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B778B965-2F8D-4A4B-8876-40DAD8D9D121}" xr6:coauthVersionLast="47" xr6:coauthVersionMax="47" xr10:uidLastSave="{00000000-0000-0000-0000-000000000000}"/>
  <bookViews>
    <workbookView xWindow="-115" yWindow="-115" windowWidth="24697" windowHeight="13381" tabRatio="829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K21" i="3"/>
  <c r="J21" i="3"/>
  <c r="I21" i="3"/>
  <c r="H21" i="3"/>
  <c r="L20" i="3" l="1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K20" i="13"/>
  <c r="J20" i="13"/>
  <c r="I20" i="13"/>
  <c r="H20" i="13"/>
  <c r="G20" i="13"/>
  <c r="K13" i="13"/>
  <c r="J13" i="13"/>
  <c r="I13" i="13"/>
  <c r="H13" i="13"/>
  <c r="G13" i="13"/>
  <c r="K8" i="13"/>
  <c r="J8" i="13"/>
  <c r="I8" i="13"/>
  <c r="H8" i="13"/>
  <c r="G8" i="13"/>
  <c r="P21" i="13"/>
  <c r="O21" i="13"/>
  <c r="N21" i="13"/>
  <c r="M21" i="13"/>
  <c r="L21" i="13"/>
  <c r="L9" i="13" a="1"/>
  <c r="L9" i="13" s="1"/>
  <c r="L11" i="3"/>
  <c r="K11" i="3"/>
  <c r="J11" i="3"/>
  <c r="I11" i="3"/>
  <c r="H11" i="3"/>
  <c r="L9" i="3"/>
  <c r="K9" i="3"/>
  <c r="J9" i="3"/>
  <c r="I9" i="3"/>
  <c r="H9" i="3"/>
  <c r="L10" i="3" l="1"/>
  <c r="K10" i="3"/>
  <c r="J10" i="3"/>
  <c r="I10" i="3"/>
  <c r="H10" i="3"/>
  <c r="L8" i="3"/>
  <c r="K8" i="3"/>
  <c r="J8" i="3"/>
  <c r="I8" i="3"/>
  <c r="H8" i="3"/>
  <c r="F11" i="3" l="1"/>
  <c r="L12" i="3" l="1"/>
  <c r="K12" i="3"/>
  <c r="J12" i="3"/>
  <c r="H12" i="3"/>
  <c r="I12" i="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C15" i="13" l="1"/>
  <c r="G15" i="13"/>
  <c r="H15" i="13" s="1"/>
  <c r="C10" i="13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G10" i="13"/>
  <c r="B1" i="5"/>
  <c r="B1" i="3"/>
  <c r="B1" i="13"/>
  <c r="B1" i="4"/>
  <c r="H10" i="13" l="1"/>
  <c r="I10" i="13" l="1"/>
  <c r="I15" i="13" l="1"/>
  <c r="J10" i="13"/>
  <c r="J15" i="13" l="1"/>
  <c r="K10" i="13" l="1"/>
  <c r="K15" i="13"/>
  <c r="H23" i="3" l="1"/>
  <c r="I23" i="3" l="1"/>
  <c r="J23" i="3" l="1"/>
  <c r="D8" i="4" l="1"/>
  <c r="G22" i="13"/>
  <c r="G23" i="13" s="1"/>
  <c r="D10" i="4"/>
  <c r="D9" i="4" l="1"/>
  <c r="D11" i="4" s="1"/>
  <c r="D12" i="4" s="1"/>
  <c r="E10" i="4"/>
  <c r="E8" i="4"/>
  <c r="H22" i="13"/>
  <c r="H23" i="13" s="1"/>
  <c r="E9" i="4" l="1"/>
  <c r="E11" i="4" s="1"/>
  <c r="E12" i="4" s="1"/>
  <c r="E13" i="4"/>
  <c r="E18" i="4" s="1"/>
  <c r="F8" i="4"/>
  <c r="F13" i="4" s="1"/>
  <c r="F10" i="4"/>
  <c r="I22" i="13"/>
  <c r="I23" i="13" s="1"/>
  <c r="F9" i="4" l="1"/>
  <c r="F11" i="4" s="1"/>
  <c r="F12" i="4" s="1"/>
  <c r="G10" i="4"/>
  <c r="J22" i="13"/>
  <c r="J23" i="13" s="1"/>
  <c r="G8" i="4"/>
  <c r="G13" i="4" s="1"/>
  <c r="F14" i="4"/>
  <c r="F18" i="4" s="1"/>
  <c r="G14" i="4" l="1"/>
  <c r="G9" i="4"/>
  <c r="G15" i="4"/>
  <c r="H8" i="4"/>
  <c r="K22" i="13"/>
  <c r="K23" i="13" s="1"/>
  <c r="H10" i="4"/>
  <c r="G18" i="4" l="1"/>
  <c r="H9" i="4"/>
  <c r="G19" i="4" s="1"/>
  <c r="F19" i="4" s="1"/>
  <c r="H13" i="4"/>
  <c r="H14" i="4"/>
  <c r="G21" i="4"/>
  <c r="H15" i="4"/>
  <c r="E19" i="4" l="1"/>
  <c r="F21" i="4"/>
  <c r="F20" i="4"/>
  <c r="D19" i="4" l="1"/>
  <c r="E20" i="4"/>
  <c r="E21" i="4"/>
  <c r="D21" i="4" l="1"/>
  <c r="D20" i="4"/>
  <c r="L23" i="3" l="1"/>
  <c r="H11" i="4" s="1"/>
  <c r="H12" i="4" s="1"/>
  <c r="H20" i="4" s="1"/>
  <c r="K23" i="3"/>
  <c r="G11" i="4" s="1"/>
  <c r="G12" i="4" s="1"/>
  <c r="H16" i="4" l="1"/>
  <c r="H18" i="4" s="1"/>
  <c r="H21" i="4" s="1"/>
  <c r="D35" i="4" s="1"/>
  <c r="G20" i="4"/>
  <c r="L14" i="13" l="1"/>
  <c r="L10" i="13"/>
  <c r="M9" i="13"/>
  <c r="N9" i="13" s="1"/>
  <c r="O9" i="13" s="1"/>
  <c r="P9" i="13" s="1"/>
  <c r="H30" i="3"/>
  <c r="H31" i="3" l="1"/>
  <c r="D26" i="4" s="1"/>
  <c r="I30" i="3"/>
  <c r="M10" i="13"/>
  <c r="M14" i="13"/>
  <c r="N14" i="13" s="1"/>
  <c r="O14" i="13" s="1"/>
  <c r="P14" i="13" s="1"/>
  <c r="L15" i="13"/>
  <c r="M15" i="13" l="1"/>
  <c r="N15" i="13" s="1"/>
  <c r="O15" i="13" s="1"/>
  <c r="P15" i="13" s="1"/>
  <c r="N10" i="13"/>
  <c r="J30" i="3"/>
  <c r="I31" i="3"/>
  <c r="E26" i="4" s="1"/>
  <c r="N22" i="13"/>
  <c r="N23" i="13" s="1"/>
  <c r="O22" i="13"/>
  <c r="O23" i="13" s="1"/>
  <c r="M22" i="13"/>
  <c r="M23" i="13" s="1"/>
  <c r="P22" i="13"/>
  <c r="P23" i="13" s="1"/>
  <c r="J31" i="3" l="1"/>
  <c r="F26" i="4" s="1"/>
  <c r="G25" i="4"/>
  <c r="F25" i="4"/>
  <c r="H25" i="4"/>
  <c r="D41" i="4"/>
  <c r="E41" i="4" s="1"/>
  <c r="F41" i="4" s="1"/>
  <c r="G41" i="4" s="1"/>
  <c r="H41" i="4" s="1"/>
  <c r="L22" i="13"/>
  <c r="L23" i="13" s="1"/>
  <c r="E25" i="4"/>
  <c r="K30" i="3"/>
  <c r="K31" i="3" s="1"/>
  <c r="G26" i="4" s="1"/>
  <c r="O10" i="13"/>
  <c r="L30" i="3" l="1"/>
  <c r="L31" i="3" s="1"/>
  <c r="H26" i="4" s="1"/>
  <c r="P10" i="13"/>
  <c r="D25" i="4"/>
  <c r="D27" i="4" s="1"/>
  <c r="D28" i="4" s="1"/>
  <c r="G27" i="4" l="1"/>
  <c r="G28" i="4" s="1"/>
  <c r="F27" i="4"/>
  <c r="F28" i="4" s="1"/>
  <c r="H27" i="4"/>
  <c r="H28" i="4" s="1"/>
  <c r="E27" i="4"/>
  <c r="E28" i="4" s="1"/>
  <c r="D31" i="4" l="1"/>
  <c r="D34" i="4" s="1"/>
  <c r="D36" i="4" s="1"/>
  <c r="D42" i="4" s="1"/>
  <c r="D33" i="4" l="1"/>
  <c r="E42" i="4"/>
  <c r="J8" i="10"/>
  <c r="F42" i="4" l="1"/>
  <c r="K8" i="10"/>
  <c r="G42" i="4" l="1"/>
  <c r="L8" i="10"/>
  <c r="M8" i="10" l="1"/>
  <c r="H42" i="4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Steven Martin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Excludes benchmark allowance equity raising costs</t>
        </r>
      </text>
    </comment>
    <comment ref="H9" authorId="2" shapeId="0" xr:uid="{8EDA82CD-2576-46F4-B8DF-CC9BD185A517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This adjustment reduces the customer contributions forecast in line with ASD amended customer contribution calculation. See 'CESS Adj 1 - Cap Cons' tab.</t>
        </r>
      </text>
    </comment>
    <comment ref="C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<sst xmlns="http://schemas.openxmlformats.org/spreadsheetml/2006/main" count="200" uniqueCount="106">
  <si>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</si>
  <si>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</si>
  <si>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</si>
  <si>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</si>
  <si>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</si>
  <si>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</si>
  <si>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</si>
  <si>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</si>
  <si>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</si>
  <si>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</si>
  <si>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</si>
  <si>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</si>
  <si>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</si>
  <si>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</si>
  <si>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</si>
  <si>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</si>
  <si>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</si>
  <si>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</si>
  <si>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</si>
  <si>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</si>
  <si>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</si>
  <si>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</si>
  <si>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</si>
  <si>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</si>
  <si>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</si>
  <si>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</si>
  <si>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</si>
  <si>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</si>
  <si>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</si>
  <si>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</si>
  <si>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</si>
  <si>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</si>
  <si>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</si>
  <si>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</si>
  <si>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</si>
  <si>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</si>
  <si>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</si>
  <si>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</si>
  <si>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</si>
  <si>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</si>
  <si>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</si>
  <si>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</si>
  <si>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</si>
  <si>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</si>
  <si>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</si>
  <si>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</si>
  <si>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</si>
  <si>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</si>
  <si>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</si>
  <si>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</si>
  <si>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</si>
  <si>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</si>
  <si>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</si>
  <si>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</si>
  <si>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</si>
  <si>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</si>
  <si>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</si>
  <si>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</si>
  <si>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</si>
  <si>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</si>
  <si>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</si>
  <si>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</si>
  <si>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</si>
  <si>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</si>
  <si>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</si>
  <si>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</si>
  <si>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</si>
  <si>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</si>
  <si>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</si>
  <si>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</si>
  <si>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</si>
  <si>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</si>
  <si>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</si>
  <si>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</si>
  <si>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</si>
  <si>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</si>
  <si>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</si>
  <si>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</si>
  <si>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</si>
  <si>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</si>
  <si>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</si>
  <si>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</si>
  <si>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</si>
  <si>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</si>
  <si>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</si>
  <si>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</si>
  <si>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</si>
  <si>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</si>
  <si>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</si>
  <si>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</si>
  <si>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</si>
  <si>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</si>
  <si>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</si>
  <si>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</si>
  <si>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</si>
  <si>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</si>
  <si>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</si>
  <si>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</si>
  <si>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</si>
  <si>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Victorian DNSP</t>
  </si>
  <si>
    <t>Discount factor</t>
  </si>
  <si>
    <t>Base regulatory year</t>
  </si>
  <si>
    <t>Proposal</t>
  </si>
  <si>
    <t>2026-31</t>
  </si>
  <si>
    <t>2026-27</t>
  </si>
  <si>
    <t>Excluded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</si>
</sst>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7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4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2" fontId="107" fillId="3" borderId="2" xfId="1" applyNumberFormat="1" applyFont="1" applyFill="1" applyBorder="1" applyAlignment="1">
      <alignment horizontal="center" vertical="center"/>
    </xf>
    <xf numFmtId="49" fontId="107" fillId="3" borderId="0" xfId="0" applyNumberFormat="1" applyFont="1" applyFill="1" applyAlignment="1" applyProtection="1">
      <alignment horizontal="left" vertical="center"/>
      <protection locked="0"/>
    </xf>
    <xf numFmtId="2" fontId="108" fillId="53" borderId="0" xfId="304" applyNumberFormat="1" applyFont="1" applyFill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FFCC"/>
      <color rgb="FF0000FF"/>
      <color rgb="FFCCFFFF"/>
      <color rgb="FFDAEEF3"/>
      <color rgb="FFFF00FF"/>
      <color rgb="FF006100"/>
      <color rgb="FFC6EFCE"/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RFM%20&#8211;%20310125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PTRM%20Model%20&#8211;%20310125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Distribution%20Regulation\AER\Pass-through\Feb%202024%20Storm\AER%20determination\AusNet%20Services%20Dx%20PTRM%20-%202024-25%20RoD%20update%20(inc%20Oct%2021%20storm%20+%20VEBM%20+%20Feb%2024%20storm)%20-%20Do%20not%20publish.xlsm" TargetMode="External"/><Relationship Id="rId1" Type="http://schemas.openxmlformats.org/officeDocument/2006/relationships/externalLinkPath" Target="/Distribution%20Regulation/AER/Pass-through/Feb%202024%20Storm/AER%20determination/AusNet%20Services%20Dx%20PTRM%20-%202024-25%20RoD%20update%20(inc%20Oct%2021%20storm%20+%20VEBM%20+%20Feb%2024%20storm)%20-%20Do%20not%20publish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Proposed%20CESS%20adjustments%20(2022-26)%20-%20310125%20-%20PUBLIC.xlsx" TargetMode="External"/><Relationship Id="rId1" Type="http://schemas.openxmlformats.org/officeDocument/2006/relationships/externalLinkPath" Target="ASD%20-%20Proposed%20CESS%20adjustments%20(2022-26)%20-%20310125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AusNet%20-%20Innovation%20fund%20true%20up%20adjustment%20model%20-%20310125%20-%20PUBLIC.xlsx" TargetMode="External"/><Relationship Id="rId1" Type="http://schemas.openxmlformats.org/officeDocument/2006/relationships/externalLinkPath" Target="ASD%20-%20AusNet%20-%20Innovation%20fund%20true%20up%20adjustment%20model%20-%20310125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Changelog"/>
      <sheetName val="Adjustment for previous period"/>
      <sheetName val="RAB roll forward"/>
      <sheetName val="Total RAB roll forward"/>
      <sheetName val="TAB roll forward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H111">
            <v>359.81872280315065</v>
          </cell>
          <cell r="I111">
            <v>347.92214741802496</v>
          </cell>
          <cell r="J111">
            <v>391.4663210806163</v>
          </cell>
          <cell r="K111">
            <v>484.45278925564952</v>
          </cell>
          <cell r="L111">
            <v>489.61822229268518</v>
          </cell>
        </row>
        <row r="165">
          <cell r="H165">
            <v>0.19891502000000003</v>
          </cell>
          <cell r="I165">
            <v>1.06238977</v>
          </cell>
          <cell r="J165">
            <v>8.2035110000000105E-2</v>
          </cell>
          <cell r="K165">
            <v>1.5795002054246059</v>
          </cell>
          <cell r="L165">
            <v>1.6268852115873442</v>
          </cell>
        </row>
        <row r="219">
          <cell r="H219">
            <v>24.307009879999999</v>
          </cell>
          <cell r="I219">
            <v>24.714040649999998</v>
          </cell>
          <cell r="J219">
            <v>24.817167029999997</v>
          </cell>
          <cell r="K219">
            <v>46.061288732701279</v>
          </cell>
          <cell r="L219">
            <v>56.738461901460937</v>
          </cell>
        </row>
        <row r="282">
          <cell r="H282">
            <v>8.6058519793459354E-3</v>
          </cell>
          <cell r="I282">
            <v>3.4982935153583528E-2</v>
          </cell>
          <cell r="J282">
            <v>7.8318219291014124E-2</v>
          </cell>
          <cell r="K282">
            <v>4.0519877675840865E-2</v>
          </cell>
          <cell r="L282">
            <v>0.03</v>
          </cell>
        </row>
        <row r="288">
          <cell r="H288">
            <v>2.7779190487684291E-2</v>
          </cell>
          <cell r="I288">
            <v>2.6951847031228882E-2</v>
          </cell>
          <cell r="J288">
            <v>2.7480962755957572E-2</v>
          </cell>
          <cell r="K288">
            <v>2.8030311010958098E-2</v>
          </cell>
          <cell r="L288">
            <v>2.0493107509391706E-2</v>
          </cell>
        </row>
        <row r="289">
          <cell r="H289">
            <v>3.6624106068473328E-2</v>
          </cell>
          <cell r="I289">
            <v>6.2877636901775169E-2</v>
          </cell>
          <cell r="J289">
            <v>0.10795144211442098</v>
          </cell>
          <cell r="K289">
            <v>6.9685973460178685E-2</v>
          </cell>
          <cell r="L289">
            <v>5.1107900734673528E-2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_Allowance"/>
      <sheetName val="Equity raising costs"/>
      <sheetName val="Chart 1-Revenue"/>
      <sheetName val="Chart 2-Price path"/>
      <sheetName val="Chart 3-Building blocks"/>
      <sheetName val="ASD - AusNet EDPR 2026-31 – PTR"/>
    </sheetNames>
    <definedNames>
      <definedName name="f" refersTo="='PTRM input'!$G$377"/>
    </definedNames>
    <sheetDataSet>
      <sheetData sheetId="0"/>
      <sheetData sheetId="1"/>
      <sheetData sheetId="2"/>
      <sheetData sheetId="3"/>
      <sheetData sheetId="4"/>
      <sheetData sheetId="5"/>
      <sheetData sheetId="6">
        <row r="377">
          <cell r="G377">
            <v>2.4999999999999911E-2</v>
          </cell>
        </row>
      </sheetData>
      <sheetData sheetId="7">
        <row r="18">
          <cell r="G18">
            <v>6.0360530205153029E-2</v>
          </cell>
          <cell r="H18">
            <v>6.1278003802165776E-2</v>
          </cell>
          <cell r="I18">
            <v>6.2358025086078517E-2</v>
          </cell>
          <cell r="J18">
            <v>6.3761644774099915E-2</v>
          </cell>
          <cell r="K18">
            <v>6.5777620209021309E-2</v>
          </cell>
        </row>
        <row r="19">
          <cell r="G19">
            <v>3.449807824892983E-2</v>
          </cell>
          <cell r="H19">
            <v>3.5393174441137362E-2</v>
          </cell>
          <cell r="I19">
            <v>3.6446853742515682E-2</v>
          </cell>
          <cell r="J19">
            <v>3.7816238804000021E-2</v>
          </cell>
          <cell r="K19">
            <v>3.9783044106362374E-2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usNet Services Dx PTRM - 2024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 t="str">
            <v>Subtransmission</v>
          </cell>
        </row>
        <row r="111">
          <cell r="G111">
            <v>357.0036369805083</v>
          </cell>
          <cell r="H111">
            <v>343.49361210815403</v>
          </cell>
          <cell r="I111">
            <v>315.52862069234789</v>
          </cell>
          <cell r="J111">
            <v>261.1867293260666</v>
          </cell>
          <cell r="K111">
            <v>254.59964963316975</v>
          </cell>
        </row>
        <row r="219">
          <cell r="G219">
            <v>1.3485519755351894</v>
          </cell>
          <cell r="H219">
            <v>1.3485519755351894</v>
          </cell>
          <cell r="I219">
            <v>1.3485519755351894</v>
          </cell>
          <cell r="J219">
            <v>1.3485519755351894</v>
          </cell>
          <cell r="K219">
            <v>1.3485519755351894</v>
          </cell>
        </row>
        <row r="273">
          <cell r="G273">
            <v>15.748957297097613</v>
          </cell>
          <cell r="H273">
            <v>22.137283224160402</v>
          </cell>
          <cell r="I273">
            <v>22.606826059794496</v>
          </cell>
          <cell r="J273">
            <v>23.076952245779331</v>
          </cell>
          <cell r="K273">
            <v>23.329839401495668</v>
          </cell>
        </row>
      </sheetData>
      <sheetData sheetId="8">
        <row r="18">
          <cell r="G18">
            <v>4.8328476585430644E-2</v>
          </cell>
        </row>
      </sheetData>
      <sheetData sheetId="9">
        <row r="4">
          <cell r="G4" t="str">
            <v>2021-22</v>
          </cell>
        </row>
      </sheetData>
      <sheetData sheetId="10">
        <row r="56">
          <cell r="K56">
            <v>-342.42001285727429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SS Adj 1 - Cap Cons"/>
      <sheetName val="CESS Adj 2 - Innovation"/>
      <sheetName val="CESS Adj 3 - Transition costs"/>
      <sheetName val="CPI"/>
    </sheetNames>
    <sheetDataSet>
      <sheetData sheetId="0">
        <row r="10">
          <cell r="C10">
            <v>477.70267838732548</v>
          </cell>
          <cell r="D10">
            <v>759.92160103956121</v>
          </cell>
          <cell r="E10">
            <v>778.89480801790523</v>
          </cell>
          <cell r="F10">
            <v>799.77985914332794</v>
          </cell>
          <cell r="G10">
            <v>812.16476567081781</v>
          </cell>
        </row>
      </sheetData>
      <sheetData sheetId="1">
        <row r="5">
          <cell r="C5">
            <v>1.2729609714722767</v>
          </cell>
          <cell r="D5">
            <v>1.2733259666755636</v>
          </cell>
          <cell r="E5">
            <v>1.273663685713587</v>
          </cell>
          <cell r="F5">
            <v>1.2740724325751995</v>
          </cell>
          <cell r="G5">
            <v>1.2746067657222986</v>
          </cell>
        </row>
      </sheetData>
      <sheetData sheetId="2">
        <row r="10">
          <cell r="G10">
            <v>629.65615997382588</v>
          </cell>
          <cell r="H10">
            <v>12917.453932579472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wance v actual revenue"/>
      <sheetName val="Revenue calculation"/>
    </sheetNames>
    <sheetDataSet>
      <sheetData sheetId="0">
        <row r="10">
          <cell r="U10">
            <v>3.1697749999999997E-2</v>
          </cell>
          <cell r="V10">
            <v>0.75842153791045497</v>
          </cell>
          <cell r="W10">
            <v>2.2568854230356399</v>
          </cell>
          <cell r="X10">
            <v>2.0723946711696284</v>
          </cell>
          <cell r="Y10">
            <v>0.67043714075840033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zoomScale="115" zoomScaleNormal="115" workbookViewId="0">
      <selection activeCell="C5" sqref="C4:C5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Victorian DNSP 2026-31 Proposal - Capital expenditure sharing scheme model</v>
      </c>
      <c r="D1" s="4"/>
      <c r="E1" s="4"/>
    </row>
    <row r="2" spans="2:13" ht="18" customHeight="1">
      <c r="B2" s="26" t="s">
        <v>30</v>
      </c>
    </row>
    <row r="3" spans="2:13" ht="3.05" customHeight="1">
      <c r="C3" s="2"/>
    </row>
    <row r="4" spans="2:13" s="8" customFormat="1" ht="12.75" customHeight="1">
      <c r="C4" s="22" t="s">
        <v>31</v>
      </c>
      <c r="D4" s="7"/>
      <c r="E4" s="7"/>
    </row>
    <row r="5" spans="2:13" ht="11.5" customHeight="1"/>
    <row r="6" spans="2:13" ht="11.5" customHeight="1">
      <c r="C6" s="24" t="s">
        <v>32</v>
      </c>
      <c r="D6" s="24" t="s">
        <v>33</v>
      </c>
      <c r="E6" s="24"/>
    </row>
    <row r="7" spans="2:13" ht="11.5" customHeight="1">
      <c r="C7" s="97" t="s">
        <v>35</v>
      </c>
      <c r="D7" s="25" t="s">
        <v>46</v>
      </c>
      <c r="E7" s="25"/>
      <c r="F7" s="23"/>
      <c r="G7" s="23"/>
      <c r="H7" s="23"/>
      <c r="I7" s="23"/>
      <c r="J7" s="23"/>
      <c r="K7" s="23"/>
      <c r="L7" s="23"/>
      <c r="M7" s="23"/>
    </row>
    <row r="8" spans="2:13" ht="11.5" customHeight="1">
      <c r="C8" s="97" t="s">
        <v>79</v>
      </c>
      <c r="D8" s="25" t="s">
        <v>78</v>
      </c>
      <c r="E8" s="25"/>
      <c r="F8" s="23"/>
      <c r="G8" s="23"/>
      <c r="H8" s="23"/>
      <c r="I8" s="23"/>
      <c r="J8" s="23"/>
      <c r="K8" s="23"/>
      <c r="L8" s="23"/>
      <c r="M8" s="23"/>
    </row>
    <row r="9" spans="2:13" ht="11.5" customHeight="1">
      <c r="C9" s="97" t="s">
        <v>55</v>
      </c>
      <c r="D9" s="25" t="s">
        <v>38</v>
      </c>
      <c r="E9" s="25"/>
      <c r="F9" s="23"/>
      <c r="G9" s="23"/>
      <c r="H9" s="23"/>
      <c r="I9" s="23"/>
      <c r="J9" s="23"/>
      <c r="K9" s="23"/>
      <c r="L9" s="23"/>
      <c r="M9" s="23"/>
    </row>
    <row r="10" spans="2:13" ht="11.5" customHeight="1">
      <c r="C10" s="97" t="s">
        <v>58</v>
      </c>
      <c r="D10" s="25" t="s">
        <v>39</v>
      </c>
      <c r="E10" s="25"/>
      <c r="F10" s="23"/>
      <c r="G10" s="23"/>
      <c r="H10" s="23"/>
      <c r="I10" s="23"/>
      <c r="J10" s="23"/>
      <c r="K10" s="23"/>
      <c r="L10" s="23"/>
      <c r="M10" s="23"/>
    </row>
    <row r="11" spans="2:13" ht="11.5" customHeight="1">
      <c r="C11" s="97" t="s">
        <v>80</v>
      </c>
      <c r="D11" s="25" t="s">
        <v>54</v>
      </c>
      <c r="E11" s="25"/>
      <c r="F11" s="23"/>
      <c r="G11" s="23"/>
      <c r="H11" s="23"/>
      <c r="I11" s="23"/>
      <c r="J11" s="23"/>
      <c r="K11" s="23"/>
      <c r="L11" s="23"/>
      <c r="M11" s="23"/>
    </row>
    <row r="12" spans="2:13" ht="12.75" customHeight="1"/>
    <row r="13" spans="2:13" s="8" customFormat="1" ht="12.75" customHeight="1">
      <c r="C13" s="22" t="s">
        <v>34</v>
      </c>
      <c r="D13" s="7"/>
      <c r="E13" s="7"/>
    </row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15" zoomScaleNormal="115" workbookViewId="0"/>
  </sheetViews>
  <sheetFormatPr defaultColWidth="0" defaultRowHeight="0" customHeight="1" zeroHeight="1"/>
  <cols>
    <col min="1" max="2" width="1.33203125" style="11" customWidth="1"/>
    <col min="3" max="3" width="56.6640625" style="12" customWidth="1"/>
    <col min="4" max="8" width="12.6640625" style="11" customWidth="1"/>
    <col min="9" max="9" width="9.44140625" style="11" customWidth="1"/>
    <col min="10" max="10" width="9.33203125" style="11" customWidth="1"/>
    <col min="11" max="12" width="2.88671875" style="11" customWidth="1"/>
    <col min="13" max="22" width="9.109375" style="11" hidden="1" customWidth="1"/>
    <col min="23" max="16384" width="12.6640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Victorian DNSP 2026-31 Proposal - Capital expenditure sharing scheme model</v>
      </c>
      <c r="F1" s="94"/>
      <c r="G1" s="95" t="s">
        <v>47</v>
      </c>
      <c r="H1" s="140" t="s">
        <v>48</v>
      </c>
      <c r="I1" s="145" t="s">
        <v>36</v>
      </c>
      <c r="M1" s="96"/>
    </row>
    <row r="2" spans="1:13" s="2" customFormat="1" ht="18" customHeight="1">
      <c r="B2" s="10" t="s">
        <v>35</v>
      </c>
    </row>
    <row r="3" spans="1:13" s="2" customFormat="1" ht="3.05" customHeight="1">
      <c r="B3" s="1"/>
    </row>
    <row r="4" spans="1:13" s="53" customFormat="1" ht="12.75" customHeight="1">
      <c r="A4" s="8"/>
      <c r="B4" s="22" t="s">
        <v>35</v>
      </c>
    </row>
    <row r="5" spans="1:13" s="23" customFormat="1" ht="11.5" customHeight="1">
      <c r="C5" s="24"/>
    </row>
    <row r="6" spans="1:13" s="61" customFormat="1" ht="11.5" customHeight="1">
      <c r="C6" s="60" t="s">
        <v>0</v>
      </c>
      <c r="D6" s="141" t="s">
        <v>99</v>
      </c>
      <c r="J6" s="70"/>
      <c r="K6" s="70"/>
      <c r="L6" s="70"/>
      <c r="M6" s="70"/>
    </row>
    <row r="7" spans="1:13" s="61" customFormat="1" ht="11.5" customHeight="1">
      <c r="C7" s="60" t="s">
        <v>89</v>
      </c>
      <c r="D7" s="141" t="s">
        <v>102</v>
      </c>
      <c r="I7" s="70"/>
      <c r="J7" s="70"/>
      <c r="K7" s="70"/>
      <c r="L7" s="70"/>
    </row>
    <row r="8" spans="1:13" s="61" customFormat="1" ht="11.5" customHeight="1">
      <c r="C8" s="60" t="s">
        <v>90</v>
      </c>
      <c r="D8" s="141" t="s">
        <v>103</v>
      </c>
      <c r="J8" s="70"/>
      <c r="K8" s="70"/>
      <c r="L8" s="70"/>
      <c r="M8" s="70"/>
    </row>
    <row r="9" spans="1:13" s="61" customFormat="1" ht="11.5" customHeight="1">
      <c r="C9" s="171" t="s">
        <v>101</v>
      </c>
      <c r="D9" s="141" t="s">
        <v>104</v>
      </c>
      <c r="J9" s="70"/>
      <c r="K9" s="70"/>
      <c r="L9" s="70"/>
      <c r="M9" s="70"/>
    </row>
    <row r="10" spans="1:13" s="61" customFormat="1" ht="11.5" customHeight="1">
      <c r="C10" s="60"/>
      <c r="J10" s="70"/>
      <c r="K10" s="70"/>
      <c r="L10" s="70"/>
      <c r="M10" s="70"/>
    </row>
    <row r="11" spans="1:13" s="61" customFormat="1" ht="11.5" customHeight="1">
      <c r="C11" s="83" t="s">
        <v>88</v>
      </c>
      <c r="J11" s="70"/>
      <c r="K11" s="70"/>
      <c r="L11" s="70"/>
      <c r="M11" s="70"/>
    </row>
    <row r="12" spans="1:13" s="61" customFormat="1" ht="11.5" customHeight="1">
      <c r="C12" s="60"/>
      <c r="D12" s="62" t="s">
        <v>63</v>
      </c>
      <c r="E12" s="62" t="s">
        <v>64</v>
      </c>
      <c r="F12" s="62" t="s">
        <v>65</v>
      </c>
      <c r="G12" s="62" t="s">
        <v>66</v>
      </c>
      <c r="H12" s="62" t="s">
        <v>67</v>
      </c>
      <c r="J12" s="70"/>
      <c r="K12" s="70"/>
      <c r="L12" s="70"/>
      <c r="M12" s="70"/>
    </row>
    <row r="13" spans="1:13" s="61" customFormat="1" ht="11.5" customHeight="1">
      <c r="C13" s="60" t="s">
        <v>61</v>
      </c>
      <c r="D13" s="170" t="str">
        <f t="shared" ref="D13:F13" si="0">IF(LEN(E13)&gt;4,CONCATENATE(LEFT(E13,4)-1&amp;"–"&amp;IF(RIGHT(E13,2)="00","99",IF(RIGHT(E13,2)-1&lt;10,"0","")&amp;RIGHT(E13,2)-1)),E13-1)</f>
        <v>2021–22</v>
      </c>
      <c r="E13" s="170" t="str">
        <f t="shared" si="0"/>
        <v>2022–23</v>
      </c>
      <c r="F13" s="170" t="str">
        <f t="shared" si="0"/>
        <v>2023–24</v>
      </c>
      <c r="G13" s="170" t="str">
        <f>IF(LEN(H13)&gt;4,CONCATENATE(LEFT(H13,4)-1&amp;"–"&amp;IF(RIGHT(H13,2)="00","99",IF(RIGHT(H13,2)-1&lt;10,"0","")&amp;RIGHT(H13,2)-1)),H13-1)</f>
        <v>2024–25</v>
      </c>
      <c r="H13" s="170" t="str">
        <f>IF(LEN(D9)&gt;4,CONCATENATE(LEFT(D9,4)-1&amp;"–"&amp;IF(RIGHT(D9,2)="00","99",IF(RIGHT(D9,2)-1&lt;10,"0","")&amp;RIGHT(D9,2)-1)),D9-1)</f>
        <v>2025–26</v>
      </c>
      <c r="J13" s="70"/>
      <c r="K13" s="70"/>
      <c r="L13" s="70"/>
      <c r="M13" s="70"/>
    </row>
    <row r="14" spans="1:13" s="61" customFormat="1" ht="11.5" customHeight="1">
      <c r="C14" s="60" t="s">
        <v>1</v>
      </c>
      <c r="D14" s="141" t="s">
        <v>8</v>
      </c>
      <c r="E14" s="141" t="s">
        <v>8</v>
      </c>
      <c r="F14" s="141" t="s">
        <v>8</v>
      </c>
      <c r="G14" s="141" t="s">
        <v>8</v>
      </c>
      <c r="H14" s="141" t="s">
        <v>8</v>
      </c>
      <c r="J14" s="70"/>
      <c r="K14" s="70"/>
      <c r="L14" s="70"/>
      <c r="M14" s="70"/>
    </row>
    <row r="15" spans="1:13" s="61" customFormat="1" ht="11.5" customHeight="1">
      <c r="C15" s="60" t="s">
        <v>2</v>
      </c>
      <c r="D15" s="141" t="s">
        <v>7</v>
      </c>
      <c r="E15" s="141" t="s">
        <v>7</v>
      </c>
      <c r="F15" s="141" t="s">
        <v>7</v>
      </c>
      <c r="G15" s="141" t="s">
        <v>29</v>
      </c>
      <c r="H15" s="141" t="s">
        <v>29</v>
      </c>
      <c r="J15" s="70"/>
      <c r="K15" s="70"/>
      <c r="L15" s="70"/>
      <c r="M15" s="70"/>
    </row>
    <row r="16" spans="1:13" s="61" customFormat="1" ht="11.5" customHeight="1">
      <c r="C16" s="60"/>
      <c r="D16" s="70"/>
      <c r="E16" s="70"/>
      <c r="F16" s="70"/>
      <c r="G16" s="70"/>
      <c r="H16" s="70"/>
      <c r="J16" s="70"/>
      <c r="K16" s="70"/>
      <c r="L16" s="70"/>
      <c r="M16" s="70"/>
    </row>
    <row r="17" spans="1:13" s="61" customFormat="1" ht="11.5" customHeight="1">
      <c r="C17" s="60"/>
      <c r="D17" s="62" t="s">
        <v>63</v>
      </c>
      <c r="E17" s="62" t="s">
        <v>64</v>
      </c>
      <c r="F17" s="62" t="s">
        <v>65</v>
      </c>
      <c r="G17" s="62" t="s">
        <v>66</v>
      </c>
      <c r="H17" s="62" t="s">
        <v>67</v>
      </c>
      <c r="J17" s="70"/>
      <c r="K17" s="70"/>
      <c r="L17" s="70"/>
      <c r="M17" s="70"/>
    </row>
    <row r="18" spans="1:13" s="61" customFormat="1" ht="11.5" customHeight="1">
      <c r="C18" s="60" t="s">
        <v>62</v>
      </c>
      <c r="D18" s="170" t="str">
        <f>D9</f>
        <v>2026-27</v>
      </c>
      <c r="E18" s="170" t="str">
        <f>IF(LEN(D18)&gt;4,CONCATENATE(LEFT(D18,4)+1&amp;"–"&amp;IF(RIGHT(D18,2)+1&gt;9,"","0")&amp;RIGHT(D18,2)+1),D18+1)</f>
        <v>2027–28</v>
      </c>
      <c r="F18" s="170" t="str">
        <f t="shared" ref="F18:H18" si="1">IF(LEN(E18)&gt;4,CONCATENATE(LEFT(E18,4)+1&amp;"–"&amp;IF(RIGHT(E18,2)+1&gt;9,"","0")&amp;RIGHT(E18,2)+1),E18+1)</f>
        <v>2028–29</v>
      </c>
      <c r="G18" s="170" t="str">
        <f t="shared" si="1"/>
        <v>2029–30</v>
      </c>
      <c r="H18" s="170" t="str">
        <f t="shared" si="1"/>
        <v>2030–31</v>
      </c>
      <c r="J18" s="70"/>
      <c r="K18" s="70"/>
      <c r="L18" s="70"/>
      <c r="M18" s="70"/>
    </row>
    <row r="19" spans="1:13" s="61" customFormat="1" ht="11.5" customHeight="1">
      <c r="C19" s="70"/>
      <c r="D19" s="70"/>
      <c r="E19" s="70"/>
      <c r="F19" s="70"/>
      <c r="G19" s="70"/>
      <c r="H19" s="70"/>
      <c r="J19" s="70"/>
      <c r="K19" s="70"/>
      <c r="L19" s="70"/>
      <c r="M19" s="70"/>
    </row>
    <row r="20" spans="1:13" s="61" customFormat="1" ht="11.5" customHeight="1">
      <c r="J20" s="70"/>
      <c r="K20" s="70"/>
      <c r="L20" s="70"/>
      <c r="M20" s="70"/>
    </row>
    <row r="21" spans="1:13" s="53" customFormat="1" ht="12.75" customHeight="1">
      <c r="A21" s="8"/>
      <c r="B21" s="22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="115" zoomScaleNormal="115" workbookViewId="0">
      <selection activeCell="G13" sqref="G13"/>
    </sheetView>
  </sheetViews>
  <sheetFormatPr defaultColWidth="0" defaultRowHeight="18" customHeight="1" zeroHeight="1"/>
  <cols>
    <col min="1" max="2" width="1.109375" style="18" customWidth="1"/>
    <col min="3" max="3" width="36.6640625" style="18" customWidth="1"/>
    <col min="4" max="5" width="22.88671875" style="18" customWidth="1"/>
    <col min="6" max="6" width="12.6640625" style="18" customWidth="1"/>
    <col min="7" max="12" width="12.6640625" style="2" customWidth="1"/>
    <col min="13" max="13" width="12.5546875" style="16" customWidth="1"/>
    <col min="14" max="16" width="12.6640625" style="18" customWidth="1"/>
    <col min="17" max="18" width="2.88671875" style="18" customWidth="1"/>
    <col min="19" max="32" width="12.6640625" style="18" hidden="1" customWidth="1"/>
    <col min="33" max="16384" width="9.109375" style="18" hidden="1"/>
  </cols>
  <sheetData>
    <row r="1" spans="1:20" s="2" customFormat="1" ht="18" customHeight="1">
      <c r="B1" s="3" t="str">
        <f>'Input | General'!$B$1</f>
        <v>Victorian DNSP 2026-31 Proposal - Capital expenditure sharing scheme model</v>
      </c>
      <c r="D1" s="3"/>
      <c r="E1" s="3"/>
      <c r="F1" s="3"/>
      <c r="G1" s="94"/>
      <c r="H1" s="95" t="s">
        <v>47</v>
      </c>
      <c r="I1" s="140" t="s">
        <v>48</v>
      </c>
      <c r="J1" s="145" t="s">
        <v>36</v>
      </c>
      <c r="K1" s="137"/>
      <c r="N1" s="96"/>
      <c r="O1" s="70"/>
      <c r="P1" s="70"/>
      <c r="Q1" s="70"/>
      <c r="R1" s="70"/>
      <c r="S1" s="70"/>
      <c r="T1" s="70"/>
    </row>
    <row r="2" spans="1:20" s="2" customFormat="1" ht="18" customHeight="1">
      <c r="C2" s="10" t="s">
        <v>91</v>
      </c>
      <c r="D2" s="10"/>
      <c r="E2" s="10"/>
      <c r="F2" s="10"/>
    </row>
    <row r="3" spans="1:20" s="2" customFormat="1" ht="3.05" customHeight="1">
      <c r="C3" s="1"/>
      <c r="D3" s="1"/>
      <c r="E3" s="1"/>
      <c r="F3" s="1"/>
      <c r="M3" s="16"/>
    </row>
    <row r="4" spans="1:20" s="72" customFormat="1" ht="12.75" customHeight="1">
      <c r="C4" s="22" t="s">
        <v>43</v>
      </c>
      <c r="D4" s="73"/>
      <c r="E4" s="73"/>
      <c r="F4" s="73"/>
      <c r="M4" s="74"/>
    </row>
    <row r="5" spans="1:20" ht="11.5" customHeight="1">
      <c r="A5" s="2"/>
      <c r="B5" s="2"/>
      <c r="C5" s="13"/>
      <c r="D5" s="70"/>
      <c r="E5" s="70"/>
      <c r="F5" s="70"/>
      <c r="N5" s="2"/>
    </row>
    <row r="6" spans="1:20" ht="11.5" customHeight="1">
      <c r="A6" s="2"/>
      <c r="B6" s="2"/>
      <c r="C6" s="13"/>
      <c r="D6" s="66" t="s">
        <v>6</v>
      </c>
      <c r="E6" s="66" t="s">
        <v>52</v>
      </c>
      <c r="F6" s="66"/>
      <c r="N6" s="2"/>
    </row>
    <row r="7" spans="1:20" ht="11.5" customHeight="1">
      <c r="A7" s="2"/>
      <c r="B7" s="2"/>
      <c r="C7" s="13"/>
      <c r="D7" s="70"/>
      <c r="E7" s="70"/>
      <c r="F7" s="158" t="str">
        <f>IF(LEN(G7)&gt;4,CONCATENATE(LEFT(G7,4)-1&amp;"–"&amp;IF(RIGHT(G7,2)="00","99",IF(RIGHT(G7,2)-1&lt;10,"0","")&amp;RIGHT(G7,2)-1)),G7-1)</f>
        <v>2020–21</v>
      </c>
      <c r="G7" s="157" t="str">
        <f>'Input | General'!D13</f>
        <v>2021–22</v>
      </c>
      <c r="H7" s="157" t="str">
        <f>'Input | General'!E13</f>
        <v>2022–23</v>
      </c>
      <c r="I7" s="157" t="str">
        <f>'Input | General'!F13</f>
        <v>2023–24</v>
      </c>
      <c r="J7" s="157" t="str">
        <f>'Input | General'!G13</f>
        <v>2024–25</v>
      </c>
      <c r="K7" s="157" t="str">
        <f>'Input | General'!H13</f>
        <v>2025–26</v>
      </c>
      <c r="L7" s="157" t="str">
        <f>'Input | General'!D18</f>
        <v>2026-27</v>
      </c>
      <c r="M7" s="157" t="str">
        <f>'Input | General'!E18</f>
        <v>2027–28</v>
      </c>
      <c r="N7" s="157" t="str">
        <f>'Input | General'!F18</f>
        <v>2028–29</v>
      </c>
      <c r="O7" s="157" t="str">
        <f>'Input | General'!G18</f>
        <v>2029–30</v>
      </c>
      <c r="P7" s="157" t="str">
        <f>'Input | General'!H18</f>
        <v>2030–31</v>
      </c>
    </row>
    <row r="8" spans="1:20" ht="11.5" customHeight="1">
      <c r="A8" s="2"/>
      <c r="B8" s="2"/>
      <c r="C8" s="71" t="s">
        <v>81</v>
      </c>
      <c r="D8" s="69" t="s">
        <v>86</v>
      </c>
      <c r="E8" s="69" t="s">
        <v>51</v>
      </c>
      <c r="F8" s="69"/>
      <c r="G8" s="142">
        <f>'[1]RFM input'!H$282</f>
        <v>8.6058519793459354E-3</v>
      </c>
      <c r="H8" s="142">
        <f>'[1]RFM input'!I$282</f>
        <v>3.4982935153583528E-2</v>
      </c>
      <c r="I8" s="142">
        <f>'[1]RFM input'!J$282</f>
        <v>7.8318219291014124E-2</v>
      </c>
      <c r="J8" s="142">
        <f>'[1]RFM input'!K$282</f>
        <v>4.0519877675840865E-2</v>
      </c>
      <c r="K8" s="142">
        <f>'[1]RFM input'!L$282</f>
        <v>0.03</v>
      </c>
      <c r="L8" s="77"/>
      <c r="M8" s="77"/>
      <c r="N8" s="77"/>
      <c r="O8" s="77"/>
      <c r="P8" s="77"/>
    </row>
    <row r="9" spans="1:20" ht="11.5" customHeight="1">
      <c r="A9" s="2"/>
      <c r="B9" s="2"/>
      <c r="C9" s="71" t="s">
        <v>82</v>
      </c>
      <c r="D9" s="69" t="s">
        <v>86</v>
      </c>
      <c r="E9" s="69" t="s">
        <v>51</v>
      </c>
      <c r="F9" s="69"/>
      <c r="G9" s="115"/>
      <c r="H9" s="115"/>
      <c r="I9" s="115"/>
      <c r="J9" s="115"/>
      <c r="K9" s="115"/>
      <c r="L9" s="142" cm="1">
        <f t="array" ref="L9">[2]!f</f>
        <v>2.4999999999999911E-2</v>
      </c>
      <c r="M9" s="127">
        <f t="shared" ref="M9:P9" si="0">L9</f>
        <v>2.4999999999999911E-2</v>
      </c>
      <c r="N9" s="127">
        <f t="shared" si="0"/>
        <v>2.4999999999999911E-2</v>
      </c>
      <c r="O9" s="127">
        <f t="shared" si="0"/>
        <v>2.4999999999999911E-2</v>
      </c>
      <c r="P9" s="127">
        <f t="shared" si="0"/>
        <v>2.4999999999999911E-2</v>
      </c>
    </row>
    <row r="10" spans="1:20" ht="11.5" customHeight="1">
      <c r="A10" s="2"/>
      <c r="B10" s="2"/>
      <c r="C10" s="124" t="str">
        <f>"CPI Index (base year "&amp;F7&amp;")"</f>
        <v>CPI Index (base year 2020–21)</v>
      </c>
      <c r="D10" s="69" t="s">
        <v>86</v>
      </c>
      <c r="E10" s="69" t="s">
        <v>30</v>
      </c>
      <c r="F10" s="122">
        <v>1</v>
      </c>
      <c r="G10" s="111">
        <f>IF(G7&lt;&gt;"",(F10*(1+G8)),"")</f>
        <v>1.0086058519793459</v>
      </c>
      <c r="H10" s="111">
        <f>IF(H7&lt;&gt;"",(G10*(1+H8)),"")</f>
        <v>1.0438898450946643</v>
      </c>
      <c r="I10" s="111">
        <f>IF(I7&lt;&gt;"",(H10*(1+I8)),"")</f>
        <v>1.1256454388984509</v>
      </c>
      <c r="J10" s="111">
        <f>IF(J7&lt;&gt;"",(I10*(1+J8)),"")</f>
        <v>1.1712564543889843</v>
      </c>
      <c r="K10" s="111">
        <f>IF(K7&lt;&gt;"",(J10*(1+K8)),"")</f>
        <v>1.2063941480206539</v>
      </c>
      <c r="L10" s="78">
        <f t="shared" ref="L10:P10" si="1">IF(L7&lt;&gt;"",(K10*(1+L9)),"")</f>
        <v>1.2365540017211702</v>
      </c>
      <c r="M10" s="78">
        <f t="shared" si="1"/>
        <v>1.2674678517641993</v>
      </c>
      <c r="N10" s="78">
        <f t="shared" si="1"/>
        <v>1.2991545480583042</v>
      </c>
      <c r="O10" s="78">
        <f t="shared" si="1"/>
        <v>1.3316334117597617</v>
      </c>
      <c r="P10" s="78">
        <f t="shared" si="1"/>
        <v>1.3649242470537557</v>
      </c>
    </row>
    <row r="11" spans="1:20" ht="11.5" customHeight="1">
      <c r="A11" s="2"/>
      <c r="B11" s="2"/>
      <c r="C11" s="71"/>
      <c r="D11" s="69"/>
      <c r="E11" s="69"/>
      <c r="F11" s="69"/>
      <c r="G11" s="77"/>
      <c r="H11" s="77"/>
      <c r="I11" s="77"/>
      <c r="J11" s="77"/>
      <c r="K11" s="116"/>
      <c r="L11" s="116"/>
      <c r="M11" s="116"/>
      <c r="N11" s="116"/>
      <c r="O11" s="116"/>
      <c r="P11" s="116"/>
    </row>
    <row r="12" spans="1:20" ht="11.5" customHeight="1">
      <c r="A12" s="2"/>
      <c r="B12" s="2"/>
      <c r="C12" s="71"/>
      <c r="D12" s="69"/>
      <c r="E12" s="69"/>
      <c r="F12" s="69"/>
      <c r="G12" s="114"/>
      <c r="H12" s="114"/>
      <c r="I12" s="114"/>
      <c r="J12" s="114"/>
      <c r="K12" s="18"/>
      <c r="L12" s="18"/>
      <c r="M12" s="18"/>
    </row>
    <row r="13" spans="1:20" ht="11.5" customHeight="1">
      <c r="A13" s="2"/>
      <c r="B13" s="2"/>
      <c r="C13" s="71" t="s">
        <v>81</v>
      </c>
      <c r="D13" s="69" t="s">
        <v>49</v>
      </c>
      <c r="E13" s="69" t="s">
        <v>51</v>
      </c>
      <c r="F13" s="69"/>
      <c r="G13" s="142">
        <f>'[1]RFM input'!H$282</f>
        <v>8.6058519793459354E-3</v>
      </c>
      <c r="H13" s="142">
        <f>'[1]RFM input'!I$282</f>
        <v>3.4982935153583528E-2</v>
      </c>
      <c r="I13" s="142">
        <f>'[1]RFM input'!J$282</f>
        <v>7.8318219291014124E-2</v>
      </c>
      <c r="J13" s="142">
        <f>'[1]RFM input'!K$282</f>
        <v>4.0519877675840865E-2</v>
      </c>
      <c r="K13" s="142">
        <f>'[1]RFM input'!L$282</f>
        <v>0.03</v>
      </c>
      <c r="L13" s="114"/>
      <c r="M13" s="114"/>
      <c r="N13" s="114"/>
      <c r="O13" s="114"/>
      <c r="P13" s="114"/>
    </row>
    <row r="14" spans="1:20" ht="11.5" customHeight="1">
      <c r="A14" s="2"/>
      <c r="B14" s="2"/>
      <c r="C14" s="71" t="s">
        <v>82</v>
      </c>
      <c r="D14" s="69" t="s">
        <v>49</v>
      </c>
      <c r="E14" s="69" t="s">
        <v>51</v>
      </c>
      <c r="F14" s="69"/>
      <c r="G14" s="77"/>
      <c r="H14" s="77"/>
      <c r="I14" s="77"/>
      <c r="J14" s="77"/>
      <c r="K14" s="77"/>
      <c r="L14" s="142">
        <f>L9</f>
        <v>2.4999999999999911E-2</v>
      </c>
      <c r="M14" s="127">
        <f t="shared" ref="M14:P14" si="2">L14</f>
        <v>2.4999999999999911E-2</v>
      </c>
      <c r="N14" s="127">
        <f t="shared" si="2"/>
        <v>2.4999999999999911E-2</v>
      </c>
      <c r="O14" s="127">
        <f t="shared" si="2"/>
        <v>2.4999999999999911E-2</v>
      </c>
      <c r="P14" s="127">
        <f t="shared" si="2"/>
        <v>2.4999999999999911E-2</v>
      </c>
    </row>
    <row r="15" spans="1:20" ht="11.5" customHeight="1">
      <c r="A15" s="2"/>
      <c r="B15" s="2"/>
      <c r="C15" s="124" t="str">
        <f>"CPI Index (base year "&amp;F7&amp;")"</f>
        <v>CPI Index (base year 2020–21)</v>
      </c>
      <c r="D15" s="69" t="s">
        <v>49</v>
      </c>
      <c r="E15" s="69" t="s">
        <v>30</v>
      </c>
      <c r="F15" s="122">
        <v>1</v>
      </c>
      <c r="G15" s="111">
        <f>IF(G7&lt;&gt;"",(F15*(1+G13)),"")</f>
        <v>1.0086058519793459</v>
      </c>
      <c r="H15" s="111">
        <f>IF(H7&lt;&gt;"",(G15*(1+H13)),"")</f>
        <v>1.0438898450946643</v>
      </c>
      <c r="I15" s="111">
        <f>IF(I7&lt;&gt;"",(H15*(1+I13)),"")</f>
        <v>1.1256454388984509</v>
      </c>
      <c r="J15" s="111">
        <f>IF(J7&lt;&gt;"",(I15*(1+J13)),"")</f>
        <v>1.1712564543889843</v>
      </c>
      <c r="K15" s="78">
        <f>IF(K7&lt;&gt;"",(J15*(1+K13)),"")</f>
        <v>1.2063941480206539</v>
      </c>
      <c r="L15" s="78">
        <f t="shared" ref="L15:P15" si="3">IF(L7&lt;&gt;"",(K15*(1+L14)),"")</f>
        <v>1.2365540017211702</v>
      </c>
      <c r="M15" s="78">
        <f t="shared" si="3"/>
        <v>1.2674678517641993</v>
      </c>
      <c r="N15" s="78">
        <f t="shared" si="3"/>
        <v>1.2991545480583042</v>
      </c>
      <c r="O15" s="78">
        <f t="shared" si="3"/>
        <v>1.3316334117597617</v>
      </c>
      <c r="P15" s="78">
        <f t="shared" si="3"/>
        <v>1.3649242470537557</v>
      </c>
    </row>
    <row r="16" spans="1:20" ht="11.5" customHeight="1">
      <c r="A16" s="2"/>
      <c r="B16" s="2"/>
      <c r="C16" s="71"/>
      <c r="D16" s="69"/>
      <c r="E16" s="69"/>
      <c r="F16" s="69"/>
      <c r="G16" s="77"/>
      <c r="H16" s="77"/>
      <c r="I16" s="77"/>
      <c r="J16" s="77"/>
      <c r="K16" s="117"/>
      <c r="L16" s="117"/>
      <c r="M16" s="117"/>
      <c r="N16" s="117"/>
      <c r="O16" s="117"/>
      <c r="P16" s="117"/>
    </row>
    <row r="17" spans="1:16" s="72" customFormat="1" ht="12.75" customHeight="1">
      <c r="C17" s="22" t="s">
        <v>68</v>
      </c>
      <c r="D17" s="73"/>
      <c r="E17" s="73"/>
      <c r="F17" s="73"/>
      <c r="M17" s="74"/>
    </row>
    <row r="18" spans="1:16" ht="11.5" customHeight="1">
      <c r="A18" s="13"/>
      <c r="B18" s="70"/>
      <c r="C18" s="70"/>
      <c r="D18" s="70"/>
      <c r="E18" s="70"/>
      <c r="F18" s="66"/>
      <c r="N18" s="2"/>
    </row>
    <row r="19" spans="1:16" ht="11.5" customHeight="1">
      <c r="C19" s="13"/>
      <c r="D19" s="66" t="s">
        <v>6</v>
      </c>
      <c r="E19" s="66" t="s">
        <v>52</v>
      </c>
      <c r="F19" s="70"/>
      <c r="G19" s="157" t="str">
        <f>G7</f>
        <v>2021–22</v>
      </c>
      <c r="H19" s="157" t="str">
        <f t="shared" ref="H19:P19" si="4">H7</f>
        <v>2022–23</v>
      </c>
      <c r="I19" s="157" t="str">
        <f t="shared" si="4"/>
        <v>2023–24</v>
      </c>
      <c r="J19" s="157" t="str">
        <f t="shared" si="4"/>
        <v>2024–25</v>
      </c>
      <c r="K19" s="157" t="str">
        <f t="shared" si="4"/>
        <v>2025–26</v>
      </c>
      <c r="L19" s="157" t="str">
        <f t="shared" si="4"/>
        <v>2026-27</v>
      </c>
      <c r="M19" s="157" t="str">
        <f t="shared" si="4"/>
        <v>2027–28</v>
      </c>
      <c r="N19" s="157" t="str">
        <f t="shared" si="4"/>
        <v>2028–29</v>
      </c>
      <c r="O19" s="157" t="str">
        <f t="shared" si="4"/>
        <v>2029–30</v>
      </c>
      <c r="P19" s="157" t="str">
        <f t="shared" si="4"/>
        <v>2030–31</v>
      </c>
    </row>
    <row r="20" spans="1:16" ht="11.5" customHeight="1">
      <c r="C20" s="71" t="s">
        <v>10</v>
      </c>
      <c r="D20" s="69" t="s">
        <v>49</v>
      </c>
      <c r="E20" s="69" t="s">
        <v>51</v>
      </c>
      <c r="F20" s="70"/>
      <c r="G20" s="142">
        <f>'[1]RFM input'!H$288</f>
        <v>2.7779190487684291E-2</v>
      </c>
      <c r="H20" s="142">
        <f>'[1]RFM input'!I$288</f>
        <v>2.6951847031228882E-2</v>
      </c>
      <c r="I20" s="142">
        <f>'[1]RFM input'!J$288</f>
        <v>2.7480962755957572E-2</v>
      </c>
      <c r="J20" s="142">
        <f>'[1]RFM input'!K$288</f>
        <v>2.8030311010958098E-2</v>
      </c>
      <c r="K20" s="142">
        <f>'[1]RFM input'!L$288</f>
        <v>2.0493107509391706E-2</v>
      </c>
      <c r="L20" s="77"/>
      <c r="M20" s="77"/>
      <c r="N20" s="77"/>
      <c r="O20" s="77"/>
      <c r="P20" s="77"/>
    </row>
    <row r="21" spans="1:16" ht="11.5" customHeight="1">
      <c r="C21" s="136" t="s">
        <v>96</v>
      </c>
      <c r="D21" s="69" t="s">
        <v>49</v>
      </c>
      <c r="E21" s="69" t="s">
        <v>51</v>
      </c>
      <c r="F21" s="70"/>
      <c r="G21" s="70"/>
      <c r="H21" s="70"/>
      <c r="I21" s="70"/>
      <c r="J21" s="70"/>
      <c r="K21" s="70"/>
      <c r="L21" s="142">
        <f>[2]WACC!G$19</f>
        <v>3.449807824892983E-2</v>
      </c>
      <c r="M21" s="142">
        <f>[2]WACC!H$19</f>
        <v>3.5393174441137362E-2</v>
      </c>
      <c r="N21" s="142">
        <f>[2]WACC!I$19</f>
        <v>3.6446853742515682E-2</v>
      </c>
      <c r="O21" s="142">
        <f>[2]WACC!J$19</f>
        <v>3.7816238804000021E-2</v>
      </c>
      <c r="P21" s="142">
        <f>[2]WACC!K$19</f>
        <v>3.9783044106362374E-2</v>
      </c>
    </row>
    <row r="22" spans="1:16" ht="11.5" customHeight="1">
      <c r="C22" s="71" t="s">
        <v>69</v>
      </c>
      <c r="D22" s="69" t="s">
        <v>60</v>
      </c>
      <c r="E22" s="69" t="s">
        <v>51</v>
      </c>
      <c r="F22" s="70"/>
      <c r="G22" s="128">
        <f>IF(AND(G13&lt;&gt;"",G20&lt;&gt;""),((1+G20)*(1+G13)-1),"")</f>
        <v>3.6624106068473328E-2</v>
      </c>
      <c r="H22" s="128">
        <f>IF(AND(H13&lt;&gt;"",H20&lt;&gt;""),((1+H20)*(1+H13)-1),"")</f>
        <v>6.2877636901775169E-2</v>
      </c>
      <c r="I22" s="128">
        <f>IF(AND(I13&lt;&gt;"",I20&lt;&gt;""),((1+I20)*(1+I13)-1),"")</f>
        <v>0.10795144211442098</v>
      </c>
      <c r="J22" s="128">
        <f>IF(AND(J13&lt;&gt;"",J20&lt;&gt;""),((1+J20)*(1+J13)-1),"")</f>
        <v>6.9685973460178685E-2</v>
      </c>
      <c r="K22" s="128">
        <f>IF(AND(K13&lt;&gt;"",K20&lt;&gt;""),((1+K20)*(1+K13)-1),"")</f>
        <v>5.1107900734673528E-2</v>
      </c>
      <c r="L22" s="128">
        <f>IF(AND(L14&lt;&gt;"",L21&lt;&gt;""),((1+L21)*(1+L14)-1),"")</f>
        <v>6.0360530205153085E-2</v>
      </c>
      <c r="M22" s="128">
        <f t="shared" ref="M22:P22" si="5">IF(AND(M14&lt;&gt;"",M21&lt;&gt;""),((1+M21)*(1+M14)-1),"")</f>
        <v>6.1278003802165637E-2</v>
      </c>
      <c r="N22" s="128">
        <f t="shared" si="5"/>
        <v>6.2358025086078683E-2</v>
      </c>
      <c r="O22" s="128">
        <f t="shared" si="5"/>
        <v>6.3761644774099846E-2</v>
      </c>
      <c r="P22" s="128">
        <f t="shared" si="5"/>
        <v>6.5777620209021448E-2</v>
      </c>
    </row>
    <row r="23" spans="1:16" ht="11.5" customHeight="1">
      <c r="A23" s="2"/>
      <c r="B23" s="2"/>
      <c r="C23" s="71"/>
      <c r="D23" s="69"/>
      <c r="E23" s="69"/>
      <c r="F23" s="70"/>
      <c r="G23" s="77" t="b">
        <f>G22='[1]RFM input'!H$289</f>
        <v>1</v>
      </c>
      <c r="H23" s="77" t="b">
        <f>H22='[1]RFM input'!I$289</f>
        <v>1</v>
      </c>
      <c r="I23" s="77" t="b">
        <f>I22='[1]RFM input'!J$289</f>
        <v>1</v>
      </c>
      <c r="J23" s="77" t="b">
        <f>J22='[1]RFM input'!K$289</f>
        <v>1</v>
      </c>
      <c r="K23" s="77" t="b">
        <f>K22='[1]RFM input'!L$289</f>
        <v>1</v>
      </c>
      <c r="L23" s="23" t="b">
        <f>ROUND(L22,2)=ROUND([2]WACC!G$18,2)</f>
        <v>1</v>
      </c>
      <c r="M23" s="23" t="b">
        <f>ROUND(M22,2)=ROUND([2]WACC!H$18,2)</f>
        <v>1</v>
      </c>
      <c r="N23" s="23" t="b">
        <f>ROUND(N22,2)=ROUND([2]WACC!I$18,2)</f>
        <v>1</v>
      </c>
      <c r="O23" s="23" t="b">
        <f>ROUND(O22,2)=ROUND([2]WACC!J$18,2)</f>
        <v>1</v>
      </c>
      <c r="P23" s="23" t="b">
        <f>ROUND(P22,2)=ROUND([2]WACC!K$18,2)</f>
        <v>1</v>
      </c>
    </row>
    <row r="24" spans="1:16" s="53" customFormat="1" ht="12.75" customHeight="1">
      <c r="A24" s="8"/>
      <c r="B24" s="22" t="s">
        <v>34</v>
      </c>
      <c r="D24" s="54"/>
      <c r="E24" s="54"/>
    </row>
    <row r="25" spans="1:16" ht="18" hidden="1" customHeight="1">
      <c r="G25" s="76"/>
      <c r="H25" s="76"/>
      <c r="I25" s="76"/>
      <c r="J25" s="76"/>
      <c r="K25" s="76"/>
      <c r="L25" s="76"/>
      <c r="M25" s="76"/>
    </row>
    <row r="26" spans="1:16" ht="18" hidden="1" customHeight="1">
      <c r="G26" s="76"/>
      <c r="H26" s="76"/>
      <c r="I26" s="76"/>
      <c r="J26" s="76"/>
      <c r="K26" s="76"/>
      <c r="L26" s="76"/>
      <c r="M26" s="76"/>
    </row>
    <row r="27" spans="1:16" ht="18" hidden="1" customHeight="1">
      <c r="G27" s="76"/>
      <c r="H27" s="76"/>
      <c r="I27" s="76"/>
      <c r="J27" s="76"/>
      <c r="K27" s="76"/>
      <c r="L27" s="76"/>
      <c r="M27" s="76"/>
    </row>
    <row r="28" spans="1:16" ht="18" hidden="1" customHeight="1">
      <c r="G28" s="76"/>
      <c r="H28" s="76"/>
      <c r="I28" s="76"/>
      <c r="J28" s="76"/>
      <c r="K28" s="76"/>
      <c r="L28" s="76"/>
      <c r="M28" s="76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tabSelected="1" zoomScaleNormal="100" workbookViewId="0">
      <selection activeCell="K21" sqref="K21"/>
    </sheetView>
  </sheetViews>
  <sheetFormatPr defaultColWidth="0" defaultRowHeight="18" customHeight="1" zeroHeight="1"/>
  <cols>
    <col min="1" max="2" width="1.33203125" style="2" customWidth="1"/>
    <col min="3" max="3" width="49.88671875" style="13" customWidth="1"/>
    <col min="4" max="4" width="23.6640625" style="13" customWidth="1"/>
    <col min="5" max="5" width="13.44140625" style="13" customWidth="1"/>
    <col min="6" max="6" width="9.109375" style="13" customWidth="1"/>
    <col min="7" max="7" width="2.88671875" style="13" customWidth="1"/>
    <col min="8" max="12" width="13.6640625" style="2" bestFit="1" customWidth="1"/>
    <col min="13" max="14" width="2.88671875" style="2" customWidth="1"/>
    <col min="15" max="23" width="0" style="2" hidden="1" customWidth="1"/>
    <col min="24" max="16384" width="12.6640625" style="2" hidden="1"/>
  </cols>
  <sheetData>
    <row r="1" spans="2:14" ht="18" customHeight="1">
      <c r="B1" s="3" t="str">
        <f>'Input | General'!$B$1</f>
        <v>Victorian DNSP 2026-31 Proposal - Capital expenditure sharing scheme model</v>
      </c>
      <c r="D1" s="3"/>
      <c r="E1" s="3"/>
      <c r="F1" s="3"/>
      <c r="G1" s="3"/>
      <c r="H1" s="94"/>
      <c r="I1" s="95" t="s">
        <v>47</v>
      </c>
      <c r="J1" s="140" t="s">
        <v>48</v>
      </c>
      <c r="K1" s="145" t="s">
        <v>36</v>
      </c>
      <c r="L1" s="70"/>
    </row>
    <row r="2" spans="2:14" ht="18" customHeight="1">
      <c r="B2" s="10" t="s">
        <v>37</v>
      </c>
      <c r="D2" s="10"/>
      <c r="E2" s="10"/>
      <c r="F2" s="10"/>
      <c r="G2" s="10"/>
    </row>
    <row r="3" spans="2:14" ht="3.05" customHeight="1">
      <c r="C3" s="1"/>
      <c r="D3" s="1"/>
      <c r="E3" s="1"/>
      <c r="F3" s="1"/>
      <c r="G3" s="1"/>
    </row>
    <row r="4" spans="2:14" s="8" customFormat="1" ht="12.75" customHeight="1">
      <c r="B4" s="22" t="s">
        <v>40</v>
      </c>
      <c r="D4" s="6"/>
      <c r="E4" s="6"/>
      <c r="F4" s="6"/>
      <c r="G4" s="6"/>
    </row>
    <row r="5" spans="2:14" ht="10.55" customHeight="1">
      <c r="D5" s="59"/>
      <c r="E5" s="59"/>
      <c r="F5" s="59"/>
      <c r="G5" s="59"/>
    </row>
    <row r="6" spans="2:14" s="59" customFormat="1" ht="10.55" customHeight="1">
      <c r="D6" s="66" t="s">
        <v>6</v>
      </c>
      <c r="E6" s="66" t="s">
        <v>52</v>
      </c>
      <c r="F6" s="66" t="s">
        <v>4</v>
      </c>
      <c r="G6" s="55"/>
      <c r="H6" s="159" t="str">
        <f>IF('Input | General'!D14="Yes",'Input | General'!D13,"n/a")</f>
        <v>2021–22</v>
      </c>
      <c r="I6" s="159" t="str">
        <f>IF('Input | General'!E14="Yes",'Input | General'!E13,"n/a")</f>
        <v>2022–23</v>
      </c>
      <c r="J6" s="159" t="str">
        <f>IF('Input | General'!F14="Yes",'Input | General'!F13,"n/a")</f>
        <v>2023–24</v>
      </c>
      <c r="K6" s="159" t="str">
        <f>IF('Input | General'!G14="Yes",'Input | General'!G13,"n/a")</f>
        <v>2024–25</v>
      </c>
      <c r="L6" s="159" t="str">
        <f>IF('Input | General'!H14="Yes",'Input | General'!H13,"n/a")</f>
        <v>2025–26</v>
      </c>
    </row>
    <row r="7" spans="2:14" s="59" customFormat="1" ht="10.55" customHeight="1"/>
    <row r="8" spans="2:14" ht="10.55" customHeight="1">
      <c r="C8" s="71" t="s">
        <v>3</v>
      </c>
      <c r="D8" s="69" t="s">
        <v>49</v>
      </c>
      <c r="E8" s="69" t="s">
        <v>50</v>
      </c>
      <c r="F8" s="69" t="str">
        <f>'Input | Inflation and Disc Rate'!$F$7</f>
        <v>2020–21</v>
      </c>
      <c r="G8" s="59"/>
      <c r="H8" s="143">
        <f>'[3]PTRM input'!G$111</f>
        <v>357.0036369805083</v>
      </c>
      <c r="I8" s="143">
        <f>'[3]PTRM input'!H$111</f>
        <v>343.49361210815403</v>
      </c>
      <c r="J8" s="143">
        <f>'[3]PTRM input'!I$111</f>
        <v>315.52862069234789</v>
      </c>
      <c r="K8" s="143">
        <f>'[3]PTRM input'!J$111</f>
        <v>261.1867293260666</v>
      </c>
      <c r="L8" s="143">
        <f>'[3]PTRM input'!K$111</f>
        <v>254.59964963316975</v>
      </c>
    </row>
    <row r="9" spans="2:14" ht="10.55" customHeight="1">
      <c r="C9" s="71" t="s">
        <v>98</v>
      </c>
      <c r="D9" s="69" t="s">
        <v>49</v>
      </c>
      <c r="E9" s="69" t="s">
        <v>50</v>
      </c>
      <c r="F9" s="69" t="str">
        <f>'Input | Inflation and Disc Rate'!$F$7</f>
        <v>2020–21</v>
      </c>
      <c r="G9" s="59"/>
      <c r="H9" s="143">
        <f>'[3]PTRM input'!G$273-'[4]CESS Adj 1 - Cap Cons'!C$10/1000</f>
        <v>15.271254618710287</v>
      </c>
      <c r="I9" s="143">
        <f>'[3]PTRM input'!H$273-'[4]CESS Adj 1 - Cap Cons'!D$10/1000</f>
        <v>21.377361623120841</v>
      </c>
      <c r="J9" s="143">
        <f>'[3]PTRM input'!I$273-'[4]CESS Adj 1 - Cap Cons'!E$10/1000</f>
        <v>21.82793125177659</v>
      </c>
      <c r="K9" s="143">
        <f>'[3]PTRM input'!J$273-'[4]CESS Adj 1 - Cap Cons'!F$10/1000</f>
        <v>22.277172386636003</v>
      </c>
      <c r="L9" s="143">
        <f>'[3]PTRM input'!K$273-'[4]CESS Adj 1 - Cap Cons'!G$10/1000</f>
        <v>22.51767463582485</v>
      </c>
    </row>
    <row r="10" spans="2:14" ht="10.55" customHeight="1">
      <c r="C10" s="71" t="s">
        <v>92</v>
      </c>
      <c r="D10" s="69" t="s">
        <v>49</v>
      </c>
      <c r="E10" s="69" t="s">
        <v>50</v>
      </c>
      <c r="F10" s="69" t="str">
        <f>'Input | Inflation and Disc Rate'!$F$7</f>
        <v>2020–21</v>
      </c>
      <c r="G10" s="59"/>
      <c r="H10" s="143">
        <f>'[3]PTRM input'!G$219</f>
        <v>1.3485519755351894</v>
      </c>
      <c r="I10" s="143">
        <f>'[3]PTRM input'!H$219</f>
        <v>1.3485519755351894</v>
      </c>
      <c r="J10" s="143">
        <f>'[3]PTRM input'!I$219</f>
        <v>1.3485519755351894</v>
      </c>
      <c r="K10" s="143">
        <f>'[3]PTRM input'!J$219</f>
        <v>1.3485519755351894</v>
      </c>
      <c r="L10" s="143">
        <f>'[3]PTRM input'!K$219</f>
        <v>1.3485519755351894</v>
      </c>
    </row>
    <row r="11" spans="2:14" s="59" customFormat="1" ht="10.55" customHeight="1">
      <c r="C11" s="174" t="s">
        <v>105</v>
      </c>
      <c r="F11" s="69" t="str">
        <f>'Input | Inflation and Disc Rate'!$F$7</f>
        <v>2020–21</v>
      </c>
      <c r="H11" s="175">
        <f>'[4]CESS Adj 2 - Innovation'!C$5</f>
        <v>1.2729609714722767</v>
      </c>
      <c r="I11" s="175">
        <f>'[4]CESS Adj 2 - Innovation'!D$5</f>
        <v>1.2733259666755636</v>
      </c>
      <c r="J11" s="175">
        <f>'[4]CESS Adj 2 - Innovation'!E$5</f>
        <v>1.273663685713587</v>
      </c>
      <c r="K11" s="175">
        <f>'[4]CESS Adj 2 - Innovation'!F$5</f>
        <v>1.2740724325751995</v>
      </c>
      <c r="L11" s="175">
        <f>'[4]CESS Adj 2 - Innovation'!G$5</f>
        <v>1.2746067657222986</v>
      </c>
    </row>
    <row r="12" spans="2:14" ht="10.55" customHeight="1">
      <c r="C12" s="68" t="s">
        <v>5</v>
      </c>
      <c r="D12" s="67" t="s">
        <v>60</v>
      </c>
      <c r="E12" s="160" t="s">
        <v>50</v>
      </c>
      <c r="F12" s="161" t="str">
        <f>'Input | Inflation and Disc Rate'!$F$7</f>
        <v>2020–21</v>
      </c>
      <c r="G12" s="59"/>
      <c r="H12" s="173">
        <f>IF(H6="", "", H8-H9-H10-H11)</f>
        <v>339.11086941479056</v>
      </c>
      <c r="I12" s="173">
        <f t="shared" ref="I12:L12" si="0">IF(I6="", "", I8-I9-I10-I11)</f>
        <v>319.49437254282242</v>
      </c>
      <c r="J12" s="173">
        <f t="shared" si="0"/>
        <v>291.07847377932251</v>
      </c>
      <c r="K12" s="173">
        <f t="shared" si="0"/>
        <v>236.28693253132019</v>
      </c>
      <c r="L12" s="173">
        <f t="shared" si="0"/>
        <v>229.4588162560874</v>
      </c>
    </row>
    <row r="13" spans="2:14" ht="10.55" customHeight="1">
      <c r="D13" s="59"/>
      <c r="E13" s="59"/>
      <c r="F13" s="59"/>
      <c r="G13" s="59"/>
      <c r="M13" s="63"/>
      <c r="N13" s="63"/>
    </row>
    <row r="14" spans="2:14" s="8" customFormat="1" ht="12.75" customHeight="1">
      <c r="B14" s="65" t="s">
        <v>41</v>
      </c>
      <c r="D14" s="15"/>
      <c r="E14" s="15"/>
      <c r="F14" s="15"/>
      <c r="G14" s="15"/>
    </row>
    <row r="15" spans="2:14" ht="10.55" customHeight="1">
      <c r="B15" s="64"/>
      <c r="C15" s="2"/>
    </row>
    <row r="16" spans="2:14" ht="10.55" customHeight="1">
      <c r="B16" s="64"/>
      <c r="C16" s="59"/>
      <c r="D16" s="66" t="s">
        <v>6</v>
      </c>
      <c r="E16" s="66" t="s">
        <v>52</v>
      </c>
      <c r="F16" s="66" t="s">
        <v>4</v>
      </c>
      <c r="G16" s="55"/>
      <c r="H16" s="159" t="str">
        <f>H6</f>
        <v>2021–22</v>
      </c>
      <c r="I16" s="159" t="str">
        <f t="shared" ref="I16:L16" si="1">I6</f>
        <v>2022–23</v>
      </c>
      <c r="J16" s="159" t="str">
        <f t="shared" si="1"/>
        <v>2023–24</v>
      </c>
      <c r="K16" s="159" t="str">
        <f t="shared" si="1"/>
        <v>2024–25</v>
      </c>
      <c r="L16" s="159" t="str">
        <f t="shared" si="1"/>
        <v>2025–26</v>
      </c>
      <c r="M16" s="59"/>
      <c r="N16" s="59"/>
    </row>
    <row r="17" spans="2:14" ht="10.55" customHeight="1">
      <c r="B17" s="64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 ht="10.55" customHeight="1">
      <c r="B18" s="64"/>
      <c r="C18" s="71" t="s">
        <v>77</v>
      </c>
      <c r="D18" s="69" t="s">
        <v>49</v>
      </c>
      <c r="E18" s="69" t="s">
        <v>50</v>
      </c>
      <c r="F18" s="69" t="s">
        <v>53</v>
      </c>
      <c r="G18" s="59"/>
      <c r="H18" s="143">
        <f>'[1]RFM input'!H$111</f>
        <v>359.81872280315065</v>
      </c>
      <c r="I18" s="143">
        <f>'[1]RFM input'!I$111</f>
        <v>347.92214741802496</v>
      </c>
      <c r="J18" s="143">
        <f>'[1]RFM input'!J$111</f>
        <v>391.4663210806163</v>
      </c>
      <c r="K18" s="143">
        <f>'[1]RFM input'!K$111</f>
        <v>484.45278925564952</v>
      </c>
      <c r="L18" s="143">
        <f>'[1]RFM input'!L$111</f>
        <v>489.61822229268518</v>
      </c>
    </row>
    <row r="19" spans="2:14" ht="10.55" customHeight="1">
      <c r="B19" s="64"/>
      <c r="C19" s="71" t="s">
        <v>98</v>
      </c>
      <c r="D19" s="69" t="s">
        <v>49</v>
      </c>
      <c r="E19" s="69" t="s">
        <v>50</v>
      </c>
      <c r="F19" s="69" t="s">
        <v>53</v>
      </c>
      <c r="G19" s="126"/>
      <c r="H19" s="144">
        <f>'[1]RFM input'!H$219</f>
        <v>24.307009879999999</v>
      </c>
      <c r="I19" s="143">
        <f>'[1]RFM input'!I$219</f>
        <v>24.714040649999998</v>
      </c>
      <c r="J19" s="143">
        <f>'[1]RFM input'!J$219</f>
        <v>24.817167029999997</v>
      </c>
      <c r="K19" s="143">
        <f>'[1]RFM input'!K$219</f>
        <v>46.061288732701279</v>
      </c>
      <c r="L19" s="143">
        <f>'[1]RFM input'!L$219</f>
        <v>56.738461901460937</v>
      </c>
    </row>
    <row r="20" spans="2:14" ht="10.55" customHeight="1">
      <c r="B20" s="64"/>
      <c r="C20" s="125" t="s">
        <v>92</v>
      </c>
      <c r="D20" s="69" t="s">
        <v>49</v>
      </c>
      <c r="E20" s="69" t="s">
        <v>50</v>
      </c>
      <c r="F20" s="69" t="s">
        <v>53</v>
      </c>
      <c r="G20" s="126"/>
      <c r="H20" s="144">
        <f>'[1]RFM input'!H$165</f>
        <v>0.19891502000000003</v>
      </c>
      <c r="I20" s="143">
        <f>'[1]RFM input'!I$165</f>
        <v>1.06238977</v>
      </c>
      <c r="J20" s="143">
        <f>'[1]RFM input'!J$165</f>
        <v>8.2035110000000105E-2</v>
      </c>
      <c r="K20" s="143">
        <f>'[1]RFM input'!K$165</f>
        <v>1.5795002054246059</v>
      </c>
      <c r="L20" s="143">
        <f>'[1]RFM input'!L$165</f>
        <v>1.6268852115873442</v>
      </c>
    </row>
    <row r="21" spans="2:14" ht="10.55" customHeight="1">
      <c r="B21" s="64"/>
      <c r="C21" s="138" t="s">
        <v>97</v>
      </c>
      <c r="D21" s="69" t="s">
        <v>49</v>
      </c>
      <c r="E21" s="69" t="s">
        <v>50</v>
      </c>
      <c r="F21" s="69" t="s">
        <v>53</v>
      </c>
      <c r="G21" s="59"/>
      <c r="H21" s="144">
        <f>'[5]Allowance v actual revenue'!U$10</f>
        <v>3.1697749999999997E-2</v>
      </c>
      <c r="I21" s="143">
        <f>'[5]Allowance v actual revenue'!V$10</f>
        <v>0.75842153791045497</v>
      </c>
      <c r="J21" s="143">
        <f>'[5]Allowance v actual revenue'!W$10</f>
        <v>2.2568854230356399</v>
      </c>
      <c r="K21" s="143">
        <f>'[5]Allowance v actual revenue'!X$10+'[4]CESS Adj 3 - Transition costs'!G$10/1000</f>
        <v>2.7020508311434543</v>
      </c>
      <c r="L21" s="143">
        <f>'[5]Allowance v actual revenue'!Y$10+'[4]CESS Adj 3 - Transition costs'!H$10/1000</f>
        <v>13.587891073337872</v>
      </c>
    </row>
    <row r="22" spans="2:14" ht="10.55" customHeight="1">
      <c r="B22" s="64"/>
      <c r="C22" s="59"/>
      <c r="D22" s="59"/>
      <c r="E22" s="59"/>
      <c r="F22" s="59"/>
      <c r="G22" s="59"/>
      <c r="H22" s="58"/>
      <c r="I22" s="58"/>
      <c r="J22" s="58"/>
      <c r="K22" s="58"/>
      <c r="L22" s="58"/>
      <c r="M22" s="59"/>
      <c r="N22" s="59"/>
    </row>
    <row r="23" spans="2:14" ht="10.55" customHeight="1">
      <c r="B23" s="64"/>
      <c r="C23" s="68" t="s">
        <v>76</v>
      </c>
      <c r="D23" s="67" t="s">
        <v>60</v>
      </c>
      <c r="E23" s="162" t="s">
        <v>50</v>
      </c>
      <c r="F23" s="162" t="s">
        <v>53</v>
      </c>
      <c r="G23" s="59"/>
      <c r="H23" s="57">
        <f>IF(H16="", "", H18-H19-H20-H21)</f>
        <v>335.28110015315065</v>
      </c>
      <c r="I23" s="57">
        <f t="shared" ref="I23:L23" si="2">IF(I16="", "", I18-I19-I20-I21)</f>
        <v>321.3872954601145</v>
      </c>
      <c r="J23" s="57">
        <f t="shared" si="2"/>
        <v>364.31023351758068</v>
      </c>
      <c r="K23" s="57">
        <f t="shared" si="2"/>
        <v>434.10994948638017</v>
      </c>
      <c r="L23" s="57">
        <f t="shared" si="2"/>
        <v>417.66498410629902</v>
      </c>
    </row>
    <row r="24" spans="2:14" ht="10.55" customHeight="1">
      <c r="B24" s="64"/>
      <c r="C24" s="2"/>
      <c r="M24" s="63"/>
      <c r="N24" s="63"/>
    </row>
    <row r="25" spans="2:14" s="8" customFormat="1" ht="12.75" customHeight="1">
      <c r="B25" s="65" t="s">
        <v>42</v>
      </c>
      <c r="D25" s="15"/>
      <c r="E25" s="15"/>
      <c r="F25" s="15"/>
      <c r="G25" s="15"/>
    </row>
    <row r="26" spans="2:14" ht="10.55" customHeight="1">
      <c r="D26" s="59"/>
      <c r="E26" s="59"/>
      <c r="F26" s="59"/>
      <c r="G26" s="59"/>
    </row>
    <row r="27" spans="2:14" ht="10.55" customHeight="1">
      <c r="D27" s="59"/>
      <c r="E27" s="59"/>
      <c r="F27" s="59"/>
      <c r="G27" s="59"/>
      <c r="H27" s="159" t="str">
        <f>'Input | General'!D18</f>
        <v>2026-27</v>
      </c>
      <c r="I27" s="159" t="str">
        <f>'Input | General'!E18</f>
        <v>2027–28</v>
      </c>
      <c r="J27" s="159" t="str">
        <f>'Input | General'!F18</f>
        <v>2028–29</v>
      </c>
      <c r="K27" s="159" t="str">
        <f>'Input | General'!G18</f>
        <v>2029–30</v>
      </c>
      <c r="L27" s="159" t="str">
        <f>'Input | General'!H18</f>
        <v>2030–31</v>
      </c>
    </row>
    <row r="28" spans="2:14" s="14" customFormat="1" ht="10.55" customHeight="1">
      <c r="C28" s="13"/>
      <c r="D28" s="59"/>
      <c r="E28" s="59"/>
      <c r="F28" s="59"/>
      <c r="G28" s="59"/>
    </row>
    <row r="29" spans="2:14" ht="11.5" customHeight="1">
      <c r="C29" s="75" t="s">
        <v>85</v>
      </c>
      <c r="D29" s="56" t="s">
        <v>86</v>
      </c>
      <c r="E29" s="69" t="s">
        <v>50</v>
      </c>
      <c r="F29" s="69" t="s">
        <v>53</v>
      </c>
      <c r="G29" s="59"/>
      <c r="H29" s="143">
        <v>0</v>
      </c>
      <c r="I29" s="143">
        <v>0</v>
      </c>
      <c r="J29" s="143">
        <v>0</v>
      </c>
      <c r="K29" s="143">
        <v>0</v>
      </c>
      <c r="L29" s="143">
        <v>0</v>
      </c>
    </row>
    <row r="30" spans="2:14" ht="11.5" customHeight="1">
      <c r="C30" s="75" t="s">
        <v>85</v>
      </c>
      <c r="D30" s="56" t="s">
        <v>60</v>
      </c>
      <c r="E30" s="69" t="s">
        <v>50</v>
      </c>
      <c r="F30" s="69" t="str">
        <f>'Input | Inflation and Disc Rate'!$F$7</f>
        <v>2020–21</v>
      </c>
      <c r="G30" s="59"/>
      <c r="H30" s="133">
        <f>IF(H29&lt;&gt;"",H29/('Input | Inflation and Disc Rate'!K10*(1+'Input | Inflation and Disc Rate'!L9)^0.5),"")</f>
        <v>0</v>
      </c>
      <c r="I30" s="133">
        <f>IF(I29&lt;&gt;"",I29/('Input | Inflation and Disc Rate'!L10*(1+'Input | Inflation and Disc Rate'!M9)^0.5),"")</f>
        <v>0</v>
      </c>
      <c r="J30" s="133">
        <f>IF(J29&lt;&gt;"",J29/('Input | Inflation and Disc Rate'!M10*(1+'Input | Inflation and Disc Rate'!N9)^0.5),"")</f>
        <v>0</v>
      </c>
      <c r="K30" s="133">
        <f>IF(K29&lt;&gt;"",K29/('Input | Inflation and Disc Rate'!N10*(1+'Input | Inflation and Disc Rate'!O9)^0.5),"")</f>
        <v>0</v>
      </c>
      <c r="L30" s="133">
        <f>IF(L29&lt;&gt;"",L29/('Input | Inflation and Disc Rate'!O10*(1+'Input | Inflation and Disc Rate'!P9)^0.5),"")</f>
        <v>0</v>
      </c>
    </row>
    <row r="31" spans="2:14" ht="11.5" customHeight="1">
      <c r="C31" s="75" t="s">
        <v>85</v>
      </c>
      <c r="D31" s="56" t="s">
        <v>49</v>
      </c>
      <c r="E31" s="69" t="s">
        <v>50</v>
      </c>
      <c r="F31" s="69" t="s">
        <v>53</v>
      </c>
      <c r="G31" s="59"/>
      <c r="H31" s="133">
        <f>IF(H29&lt;&gt;"",H30*'Input | Inflation and Disc Rate'!K15*(1+'Input | Inflation and Disc Rate'!L14)^0.5,"")</f>
        <v>0</v>
      </c>
      <c r="I31" s="133">
        <f>IF(I29&lt;&gt;"",I30*'Input | Inflation and Disc Rate'!L15*(1+'Input | Inflation and Disc Rate'!M14)^0.5,"")</f>
        <v>0</v>
      </c>
      <c r="J31" s="133">
        <f>IF(J29&lt;&gt;"",J30*'Input | Inflation and Disc Rate'!M15*(1+'Input | Inflation and Disc Rate'!N14)^0.5,"")</f>
        <v>0</v>
      </c>
      <c r="K31" s="133">
        <f>IF(K29&lt;&gt;"",K30*'Input | Inflation and Disc Rate'!N15*(1+'Input | Inflation and Disc Rate'!O14)^0.5,"")</f>
        <v>0</v>
      </c>
      <c r="L31" s="133">
        <f>IF(L29&lt;&gt;"",L30*'Input | Inflation and Disc Rate'!O15*(1+'Input | Inflation and Disc Rate'!P14)^0.5,"")</f>
        <v>0</v>
      </c>
    </row>
    <row r="32" spans="2:14" ht="10.55" customHeight="1">
      <c r="D32" s="59"/>
      <c r="E32" s="59"/>
      <c r="F32" s="59"/>
      <c r="G32" s="59"/>
      <c r="M32" s="63"/>
      <c r="N32" s="63"/>
    </row>
    <row r="33" spans="1:7" s="53" customFormat="1" ht="12.75" customHeight="1">
      <c r="A33" s="8"/>
      <c r="B33" s="22" t="s">
        <v>34</v>
      </c>
      <c r="D33" s="54"/>
      <c r="E33" s="54"/>
      <c r="F33" s="54"/>
    </row>
    <row r="34" spans="1:7" ht="10.5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4" priority="2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="115" zoomScaleNormal="115" workbookViewId="0"/>
  </sheetViews>
  <sheetFormatPr defaultColWidth="0" defaultRowHeight="0" customHeight="1" zeroHeight="1"/>
  <cols>
    <col min="1" max="2" width="1.33203125" style="2" customWidth="1"/>
    <col min="3" max="3" width="70.88671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ht="18" customHeight="1">
      <c r="B1" s="3" t="str">
        <f>'Input | General'!$B$1</f>
        <v>Victorian DNSP 2026-31 Proposal - Capital expenditure sharing scheme model</v>
      </c>
      <c r="C1" s="2"/>
      <c r="J1" s="110"/>
      <c r="K1" s="95" t="s">
        <v>47</v>
      </c>
      <c r="L1" s="140" t="s">
        <v>48</v>
      </c>
      <c r="M1" s="145" t="s">
        <v>36</v>
      </c>
      <c r="N1"/>
      <c r="Q1" s="96"/>
      <c r="R1" s="70"/>
      <c r="S1" s="70"/>
      <c r="T1" s="70"/>
      <c r="U1" s="70"/>
      <c r="V1" s="70"/>
      <c r="W1" s="70"/>
    </row>
    <row r="2" spans="2:23" ht="18" customHeight="1">
      <c r="B2" s="10" t="s">
        <v>84</v>
      </c>
      <c r="C2" s="2"/>
      <c r="J2" s="16"/>
      <c r="K2" s="16"/>
      <c r="L2" s="16"/>
    </row>
    <row r="3" spans="2:23" ht="3.05" customHeight="1">
      <c r="C3" s="1"/>
      <c r="J3" s="16"/>
      <c r="K3" s="16"/>
    </row>
    <row r="4" spans="2:23" s="8" customFormat="1" ht="11.95" customHeight="1">
      <c r="B4" s="22" t="s">
        <v>44</v>
      </c>
      <c r="J4" s="17"/>
      <c r="K4" s="17"/>
    </row>
    <row r="5" spans="2:23" ht="11.5" customHeight="1">
      <c r="C5" s="84"/>
      <c r="D5" s="84"/>
      <c r="E5" s="84"/>
      <c r="F5" s="84"/>
      <c r="G5" s="84"/>
      <c r="H5" s="84"/>
      <c r="I5" s="70"/>
      <c r="J5" s="70"/>
      <c r="K5" s="70"/>
      <c r="L5" s="70"/>
      <c r="M5" s="70"/>
      <c r="N5" s="70"/>
      <c r="O5" s="70"/>
    </row>
    <row r="6" spans="2:23" ht="11.5" customHeight="1">
      <c r="C6" s="106" t="s">
        <v>11</v>
      </c>
      <c r="D6" s="107"/>
      <c r="E6" s="108"/>
      <c r="F6" s="108"/>
      <c r="G6" s="108"/>
      <c r="H6" s="108"/>
      <c r="I6" s="86"/>
    </row>
    <row r="7" spans="2:23" ht="11.5" customHeight="1">
      <c r="C7" s="105" t="s">
        <v>9</v>
      </c>
      <c r="D7" s="159" t="str">
        <f>IF('Input | General'!D14="Yes",'Input | General'!D13,"n/a")</f>
        <v>2021–22</v>
      </c>
      <c r="E7" s="159" t="str">
        <f>IF('Input | General'!E14="Yes",'Input | General'!E13,"n/a")</f>
        <v>2022–23</v>
      </c>
      <c r="F7" s="159" t="str">
        <f>IF('Input | General'!F14="Yes",'Input | General'!F13,"n/a")</f>
        <v>2023–24</v>
      </c>
      <c r="G7" s="159" t="str">
        <f>IF('Input | General'!G14="Yes",'Input | General'!G13,"n/a")</f>
        <v>2024–25</v>
      </c>
      <c r="H7" s="163" t="str">
        <f>IF('Input | General'!H14="Yes",'Input | General'!H13,"n/a")</f>
        <v>2025–26</v>
      </c>
      <c r="I7" s="86"/>
    </row>
    <row r="8" spans="2:23" ht="11.5" customHeight="1">
      <c r="C8" s="103" t="s">
        <v>94</v>
      </c>
      <c r="D8" s="146">
        <f>'Input | Inflation and Disc Rate'!G20</f>
        <v>2.7779190487684291E-2</v>
      </c>
      <c r="E8" s="147">
        <f>'Input | Inflation and Disc Rate'!H20</f>
        <v>2.6951847031228882E-2</v>
      </c>
      <c r="F8" s="147">
        <f>'Input | Inflation and Disc Rate'!I20</f>
        <v>2.7480962755957572E-2</v>
      </c>
      <c r="G8" s="147">
        <f>'Input | Inflation and Disc Rate'!J20</f>
        <v>2.8030311010958098E-2</v>
      </c>
      <c r="H8" s="148">
        <f>'Input | Inflation and Disc Rate'!K20</f>
        <v>2.0493107509391706E-2</v>
      </c>
      <c r="I8" s="86"/>
      <c r="J8" s="70"/>
      <c r="K8" s="70"/>
    </row>
    <row r="9" spans="2:23" ht="11.5" customHeight="1">
      <c r="C9" s="131" t="s">
        <v>95</v>
      </c>
      <c r="D9" s="147">
        <f>'Input | Inflation and Disc Rate'!G22</f>
        <v>3.6624106068473328E-2</v>
      </c>
      <c r="E9" s="147">
        <f>'Input | Inflation and Disc Rate'!H22</f>
        <v>6.2877636901775169E-2</v>
      </c>
      <c r="F9" s="147">
        <f>'Input | Inflation and Disc Rate'!I22</f>
        <v>0.10795144211442098</v>
      </c>
      <c r="G9" s="147">
        <f>'Input | Inflation and Disc Rate'!J22</f>
        <v>6.9685973460178685E-2</v>
      </c>
      <c r="H9" s="148">
        <f>'Input | Inflation and Disc Rate'!K22</f>
        <v>5.1107900734673528E-2</v>
      </c>
      <c r="I9" s="86"/>
      <c r="J9" s="70"/>
      <c r="K9" s="70"/>
    </row>
    <row r="10" spans="2:23" ht="11.5" customHeight="1">
      <c r="C10" s="101" t="s">
        <v>13</v>
      </c>
      <c r="D10" s="149">
        <f>'Input | Reported Capex'!H$12*'Input | Inflation and Disc Rate'!G$15*(1+'Input | Inflation and Disc Rate'!G$20)^0.5</f>
        <v>346.74731277454731</v>
      </c>
      <c r="E10" s="150">
        <f>'Input | Reported Capex'!I$12*'Input | Inflation and Disc Rate'!H$15*(1+'Input | Inflation and Disc Rate'!H$20)^0.5</f>
        <v>337.98149764321238</v>
      </c>
      <c r="F10" s="150">
        <f>'Input | Reported Capex'!J$12*'Input | Inflation and Disc Rate'!I$15*(1+'Input | Inflation and Disc Rate'!I$20)^0.5</f>
        <v>332.12272841554989</v>
      </c>
      <c r="G10" s="150">
        <f>'Input | Reported Capex'!K$12*'Input | Inflation and Disc Rate'!J$15*(1+'Input | Inflation and Disc Rate'!J$20)^0.5</f>
        <v>280.6045193549586</v>
      </c>
      <c r="H10" s="151">
        <f>'Input | Reported Capex'!L$12*'Input | Inflation and Disc Rate'!K$15*(1+'Input | Inflation and Disc Rate'!K$20)^0.5</f>
        <v>279.639816549616</v>
      </c>
      <c r="I10" s="86"/>
      <c r="J10" s="70"/>
      <c r="K10" s="70"/>
      <c r="N10" s="123"/>
    </row>
    <row r="11" spans="2:23" ht="11.5" customHeight="1">
      <c r="C11" s="101" t="s">
        <v>15</v>
      </c>
      <c r="D11" s="152">
        <f>'Input | Reported Capex'!H23*(1+D$9)^0.5</f>
        <v>341.36557675811713</v>
      </c>
      <c r="E11" s="150">
        <f>'Input | Reported Capex'!I23*(1+E$9)^0.5</f>
        <v>331.33730823140991</v>
      </c>
      <c r="F11" s="150">
        <f>'Input | Reported Capex'!J23*(1+F$9)^0.5</f>
        <v>383.47030099224509</v>
      </c>
      <c r="G11" s="150">
        <f>'Input | Reported Capex'!K23*(1+G$9)^0.5</f>
        <v>448.98092483296682</v>
      </c>
      <c r="H11" s="151">
        <f>'Input | Reported Capex'!L23*(1+H$9)^0.5</f>
        <v>428.20498312706644</v>
      </c>
      <c r="I11" s="86"/>
      <c r="J11" s="70"/>
      <c r="K11" s="70"/>
    </row>
    <row r="12" spans="2:23" s="14" customFormat="1" ht="11.5" customHeight="1">
      <c r="C12" s="101" t="s">
        <v>17</v>
      </c>
      <c r="D12" s="79">
        <f>(D10-D11)</f>
        <v>5.3817360164301817</v>
      </c>
      <c r="E12" s="129">
        <f>(E10-E11)</f>
        <v>6.644189411802472</v>
      </c>
      <c r="F12" s="129">
        <f t="shared" ref="F12:H12" si="0">(F10-F11)</f>
        <v>-51.3475725766952</v>
      </c>
      <c r="G12" s="129">
        <f t="shared" si="0"/>
        <v>-168.37640547800822</v>
      </c>
      <c r="H12" s="134">
        <f t="shared" si="0"/>
        <v>-148.56516657745044</v>
      </c>
      <c r="I12" s="86"/>
      <c r="J12" s="70"/>
      <c r="K12" s="70"/>
    </row>
    <row r="13" spans="2:23" ht="11.5" customHeight="1">
      <c r="C13" s="101" t="s">
        <v>71</v>
      </c>
      <c r="D13" s="79"/>
      <c r="E13" s="129">
        <f>$D$12*$E$8</f>
        <v>0.14504772587728135</v>
      </c>
      <c r="F13" s="129">
        <f>$D$12*$F$8*(1+'Input | Inflation and Disc Rate'!H13)</f>
        <v>0.15306909826560136</v>
      </c>
      <c r="G13" s="129">
        <f>$D$12*$G$8*(1+'Input | Inflation and Disc Rate'!H13)*(1+'Input | Inflation and Disc Rate'!I13)</f>
        <v>0.16835671372849131</v>
      </c>
      <c r="H13" s="134">
        <f>$D$12*$H$8*(1+'Input | Inflation and Disc Rate'!H13)*(1+'Input | Inflation and Disc Rate'!I13)*(1+'Input | Inflation and Disc Rate'!J13)</f>
        <v>0.12807392609600163</v>
      </c>
      <c r="I13" s="86"/>
      <c r="J13" s="70"/>
      <c r="K13" s="70"/>
      <c r="L13" s="85"/>
      <c r="M13" s="85"/>
      <c r="N13" s="85"/>
      <c r="O13" s="85"/>
    </row>
    <row r="14" spans="2:23" ht="11.5" customHeight="1">
      <c r="C14" s="101" t="s">
        <v>72</v>
      </c>
      <c r="D14" s="79"/>
      <c r="E14" s="130"/>
      <c r="F14" s="129">
        <f>$E$12*F$8</f>
        <v>0.18258872176927138</v>
      </c>
      <c r="G14" s="129">
        <f>$E$12*G$8*(1+'Input | Inflation and Disc Rate'!I13)</f>
        <v>0.20082457863324632</v>
      </c>
      <c r="H14" s="134">
        <f>$E$12*H$8*(1+'Input | Inflation and Disc Rate'!I13)*(1+'Input | Inflation and Disc Rate'!J13)</f>
        <v>0.15277319016581845</v>
      </c>
      <c r="I14" s="86"/>
      <c r="J14" s="70"/>
      <c r="K14" s="70"/>
      <c r="L14" s="85"/>
      <c r="M14" s="85"/>
      <c r="N14" s="86"/>
      <c r="O14" s="86"/>
    </row>
    <row r="15" spans="2:23" ht="11.5" customHeight="1">
      <c r="C15" s="101" t="s">
        <v>73</v>
      </c>
      <c r="D15" s="79"/>
      <c r="E15" s="129"/>
      <c r="F15" s="129"/>
      <c r="G15" s="129">
        <f>$F$12*G$8</f>
        <v>-1.4392884289825094</v>
      </c>
      <c r="H15" s="134">
        <f>$F$12*$H$8*(1+'Input | Inflation and Disc Rate'!J13)</f>
        <v>-1.0949092305378068</v>
      </c>
      <c r="I15" s="86"/>
      <c r="J15" s="70"/>
      <c r="K15" s="70"/>
      <c r="L15" s="85"/>
      <c r="M15" s="85"/>
      <c r="N15" s="85"/>
      <c r="O15" s="85"/>
    </row>
    <row r="16" spans="2:23" ht="11.5" customHeight="1">
      <c r="C16" s="101" t="s">
        <v>74</v>
      </c>
      <c r="D16" s="79"/>
      <c r="E16" s="129"/>
      <c r="F16" s="129"/>
      <c r="G16" s="129"/>
      <c r="H16" s="134">
        <f>$G$12*$H$8</f>
        <v>-3.4505557795057529</v>
      </c>
      <c r="I16" s="86"/>
      <c r="J16" s="70"/>
      <c r="K16" s="70"/>
      <c r="L16" s="85"/>
      <c r="M16" s="85"/>
      <c r="N16" s="85"/>
      <c r="O16" s="85"/>
    </row>
    <row r="17" spans="3:15" ht="11.5" customHeight="1">
      <c r="C17" s="101" t="s">
        <v>75</v>
      </c>
      <c r="D17" s="79"/>
      <c r="E17" s="129"/>
      <c r="F17" s="129"/>
      <c r="G17" s="129"/>
      <c r="H17" s="134"/>
      <c r="I17" s="86"/>
      <c r="J17" s="70"/>
      <c r="K17" s="70"/>
      <c r="L17" s="85"/>
      <c r="M17" s="85"/>
      <c r="N17" s="85"/>
      <c r="O17" s="85"/>
    </row>
    <row r="18" spans="3:15" s="14" customFormat="1" ht="11.5" customHeight="1">
      <c r="C18" s="102" t="s">
        <v>19</v>
      </c>
      <c r="D18" s="80">
        <f>SUM(D13:D17)</f>
        <v>0</v>
      </c>
      <c r="E18" s="81">
        <f>SUM(E13:E17)</f>
        <v>0.14504772587728135</v>
      </c>
      <c r="F18" s="81">
        <f t="shared" ref="F18:H18" si="1">SUM(F13:F17)</f>
        <v>0.33565782003487277</v>
      </c>
      <c r="G18" s="81">
        <f t="shared" si="1"/>
        <v>-1.0701071366207717</v>
      </c>
      <c r="H18" s="82">
        <f t="shared" si="1"/>
        <v>-4.2646178937817396</v>
      </c>
      <c r="I18" s="86"/>
      <c r="J18" s="70"/>
      <c r="K18" s="70"/>
      <c r="L18" s="85"/>
      <c r="M18" s="85"/>
      <c r="N18" s="85"/>
      <c r="O18" s="85"/>
    </row>
    <row r="19" spans="3:15" ht="11.5" customHeight="1">
      <c r="C19" s="103" t="s">
        <v>93</v>
      </c>
      <c r="D19" s="80">
        <f>E19*(1+E$9)</f>
        <v>1.3240597942280328</v>
      </c>
      <c r="E19" s="81">
        <f>F19*(1+F$9)</f>
        <v>1.2457311625142364</v>
      </c>
      <c r="F19" s="81">
        <f>G19*(1+G$9)</f>
        <v>1.1243553780090541</v>
      </c>
      <c r="G19" s="81">
        <f>H19*(1+H$9)</f>
        <v>1.0511079007346735</v>
      </c>
      <c r="H19" s="135">
        <v>1</v>
      </c>
      <c r="I19" s="86"/>
      <c r="J19" s="70"/>
      <c r="K19" s="70"/>
      <c r="L19" s="86"/>
      <c r="M19" s="86"/>
      <c r="N19" s="86"/>
      <c r="O19" s="86"/>
    </row>
    <row r="20" spans="3:15" s="14" customFormat="1" ht="11.5" customHeight="1">
      <c r="C20" s="101" t="s">
        <v>20</v>
      </c>
      <c r="D20" s="79">
        <f>D12*D19</f>
        <v>7.1257402825041396</v>
      </c>
      <c r="E20" s="129">
        <f>E12*E19</f>
        <v>8.2768737999294739</v>
      </c>
      <c r="F20" s="129">
        <f t="shared" ref="F20:H20" si="2">F12*F19</f>
        <v>-57.732919374317468</v>
      </c>
      <c r="G20" s="129">
        <f t="shared" si="2"/>
        <v>-176.9817700952394</v>
      </c>
      <c r="H20" s="134">
        <f t="shared" si="2"/>
        <v>-148.56516657745044</v>
      </c>
      <c r="I20" s="86"/>
      <c r="J20" s="70"/>
      <c r="K20" s="70"/>
      <c r="L20" s="86"/>
      <c r="M20" s="86"/>
      <c r="N20" s="86"/>
      <c r="O20" s="86"/>
    </row>
    <row r="21" spans="3:15" s="14" customFormat="1" ht="11.5" customHeight="1">
      <c r="C21" s="102" t="s">
        <v>21</v>
      </c>
      <c r="D21" s="80">
        <f>D18*D19</f>
        <v>0</v>
      </c>
      <c r="E21" s="81">
        <f>E18*E19</f>
        <v>0.18069047217715198</v>
      </c>
      <c r="F21" s="81">
        <f t="shared" ref="F21:H21" si="3">F18*F19</f>
        <v>0.37739867512700442</v>
      </c>
      <c r="G21" s="81">
        <f t="shared" si="3"/>
        <v>-1.1247980659346519</v>
      </c>
      <c r="H21" s="82">
        <f t="shared" si="3"/>
        <v>-4.2646178937817396</v>
      </c>
      <c r="I21" s="86"/>
      <c r="J21" s="70"/>
      <c r="K21" s="70"/>
      <c r="L21" s="86"/>
      <c r="M21" s="86"/>
      <c r="N21" s="86"/>
      <c r="O21" s="86"/>
    </row>
    <row r="22" spans="3:15" s="70" customFormat="1" ht="11.5" customHeight="1"/>
    <row r="23" spans="3:15" ht="11.5" customHeight="1">
      <c r="C23" s="106" t="s">
        <v>12</v>
      </c>
      <c r="D23" s="107"/>
      <c r="E23" s="108"/>
      <c r="F23" s="108"/>
      <c r="G23" s="108"/>
      <c r="H23" s="108"/>
      <c r="I23" s="86"/>
      <c r="J23" s="70"/>
      <c r="K23" s="70"/>
      <c r="L23" s="86"/>
      <c r="M23" s="86"/>
      <c r="N23" s="86"/>
      <c r="O23" s="86"/>
    </row>
    <row r="24" spans="3:15" ht="11.5" customHeight="1">
      <c r="C24" s="100" t="s">
        <v>9</v>
      </c>
      <c r="D24" s="164" t="str">
        <f>'Input | General'!$D$18</f>
        <v>2026-27</v>
      </c>
      <c r="E24" s="164" t="str">
        <f>'Input | General'!$E$18</f>
        <v>2027–28</v>
      </c>
      <c r="F24" s="164" t="str">
        <f>'Input | General'!$F$18</f>
        <v>2028–29</v>
      </c>
      <c r="G24" s="164" t="str">
        <f>'Input | General'!$G$18</f>
        <v>2029–30</v>
      </c>
      <c r="H24" s="165" t="str">
        <f>'Input | General'!$H$18</f>
        <v>2030–31</v>
      </c>
      <c r="I24" s="86"/>
      <c r="J24" s="70"/>
      <c r="K24" s="70"/>
      <c r="L24" s="86"/>
      <c r="M24" s="86"/>
      <c r="N24" s="86"/>
      <c r="O24" s="86"/>
    </row>
    <row r="25" spans="3:15" ht="11.5" customHeight="1">
      <c r="C25" s="104" t="s">
        <v>70</v>
      </c>
      <c r="D25" s="153">
        <f>'Input | Inflation and Disc Rate'!L$22</f>
        <v>6.0360530205153085E-2</v>
      </c>
      <c r="E25" s="153">
        <f>'Input | Inflation and Disc Rate'!M$22</f>
        <v>6.1278003802165637E-2</v>
      </c>
      <c r="F25" s="153">
        <f>'Input | Inflation and Disc Rate'!N$22</f>
        <v>6.2358025086078683E-2</v>
      </c>
      <c r="G25" s="153">
        <f>'Input | Inflation and Disc Rate'!O$22</f>
        <v>6.3761644774099846E-2</v>
      </c>
      <c r="H25" s="154">
        <f>'Input | Inflation and Disc Rate'!P$22</f>
        <v>6.5777620209021448E-2</v>
      </c>
      <c r="I25" s="86"/>
      <c r="J25" s="70"/>
      <c r="K25" s="70"/>
      <c r="L25" s="86"/>
      <c r="M25" s="86"/>
      <c r="N25" s="86"/>
      <c r="O25" s="86"/>
    </row>
    <row r="26" spans="3:15" ht="11.5" customHeight="1">
      <c r="C26" s="105" t="s">
        <v>14</v>
      </c>
      <c r="D26" s="150">
        <f>'Input | Reported Capex'!H31</f>
        <v>0</v>
      </c>
      <c r="E26" s="150">
        <f>'Input | Reported Capex'!I31</f>
        <v>0</v>
      </c>
      <c r="F26" s="150">
        <f>'Input | Reported Capex'!J31</f>
        <v>0</v>
      </c>
      <c r="G26" s="150">
        <f>'Input | Reported Capex'!K31</f>
        <v>0</v>
      </c>
      <c r="H26" s="151">
        <f>'Input | Reported Capex'!L31</f>
        <v>0</v>
      </c>
      <c r="I26" s="86"/>
      <c r="J26" s="70"/>
      <c r="K26" s="70"/>
      <c r="L26" s="86"/>
      <c r="M26" s="86"/>
      <c r="N26" s="86"/>
      <c r="O26" s="86"/>
    </row>
    <row r="27" spans="3:15" ht="11.5" customHeight="1">
      <c r="C27" s="105" t="s">
        <v>16</v>
      </c>
      <c r="D27" s="112">
        <f>1/(1+D25)^(0.5)</f>
        <v>0.97112072623042167</v>
      </c>
      <c r="E27" s="112">
        <f>1/((1+E25)^(0.5)*(1+D25))</f>
        <v>0.91544417342058726</v>
      </c>
      <c r="F27" s="112">
        <f>1/((1+F25)^(0.5)*(1+E25)*(1+D25))</f>
        <v>0.86214801345924574</v>
      </c>
      <c r="G27" s="112">
        <f>1/((1+G25)^(0.5)*(1+F25)*(1+E25)*(1+D25))</f>
        <v>0.81100627924085322</v>
      </c>
      <c r="H27" s="113">
        <f>1/((1+H25)^(0.5)*(1+G25)*(1+F25)*(1+E25)*(1+D25))</f>
        <v>0.76167334031721556</v>
      </c>
      <c r="I27" s="86"/>
      <c r="J27" s="70"/>
      <c r="K27" s="70"/>
      <c r="L27" s="86"/>
      <c r="M27" s="86"/>
      <c r="N27" s="86"/>
      <c r="O27" s="86"/>
    </row>
    <row r="28" spans="3:15" ht="11.5" customHeight="1">
      <c r="C28" s="100" t="s">
        <v>18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0"/>
      <c r="K28" s="70"/>
      <c r="L28" s="86"/>
      <c r="M28" s="86"/>
      <c r="N28" s="86"/>
      <c r="O28" s="86"/>
    </row>
    <row r="29" spans="3:15" ht="11.5" customHeight="1">
      <c r="C29" s="85"/>
      <c r="D29" s="87"/>
      <c r="E29" s="87"/>
      <c r="F29" s="87"/>
      <c r="G29" s="87"/>
      <c r="H29" s="87"/>
      <c r="I29" s="86"/>
      <c r="J29" s="70"/>
      <c r="K29" s="70"/>
      <c r="L29" s="86"/>
      <c r="M29" s="86"/>
      <c r="N29" s="86"/>
      <c r="O29" s="86"/>
    </row>
    <row r="30" spans="3:15" ht="11.5" customHeight="1">
      <c r="C30" s="99" t="s">
        <v>22</v>
      </c>
      <c r="D30" s="109"/>
      <c r="E30" s="85"/>
      <c r="F30" s="85"/>
      <c r="G30" s="85"/>
      <c r="H30" s="85"/>
      <c r="I30" s="86"/>
      <c r="J30" s="70"/>
      <c r="K30" s="70"/>
      <c r="L30" s="86"/>
      <c r="M30" s="86"/>
      <c r="N30" s="86"/>
      <c r="O30" s="86"/>
    </row>
    <row r="31" spans="3:15" ht="11.5" customHeight="1">
      <c r="C31" s="101" t="s">
        <v>23</v>
      </c>
      <c r="D31" s="91">
        <f>SUM(D20:H20)-SUM(D28:H28)</f>
        <v>-367.87724196457373</v>
      </c>
      <c r="E31" s="85"/>
      <c r="F31" s="85"/>
      <c r="G31" s="85"/>
      <c r="H31" s="85"/>
      <c r="I31" s="86"/>
      <c r="J31" s="70"/>
      <c r="K31" s="70"/>
      <c r="L31" s="86"/>
      <c r="M31" s="86"/>
      <c r="N31" s="86"/>
      <c r="O31" s="86"/>
    </row>
    <row r="32" spans="3:15" ht="11.5" customHeight="1">
      <c r="C32" s="101" t="s">
        <v>24</v>
      </c>
      <c r="D32" s="90">
        <v>0.3</v>
      </c>
      <c r="E32" s="85"/>
      <c r="F32" s="85"/>
      <c r="G32" s="85"/>
      <c r="H32" s="85"/>
      <c r="I32" s="86"/>
      <c r="J32" s="70"/>
      <c r="K32" s="70"/>
      <c r="L32" s="86"/>
      <c r="M32" s="86"/>
      <c r="N32" s="86"/>
      <c r="O32" s="86"/>
    </row>
    <row r="33" spans="1:16382" ht="11.5" customHeight="1">
      <c r="C33" s="101" t="s">
        <v>25</v>
      </c>
      <c r="D33" s="91">
        <f>(1-D32)*D31</f>
        <v>-257.51406937520159</v>
      </c>
      <c r="E33" s="85"/>
      <c r="F33" s="85"/>
      <c r="G33" s="85"/>
      <c r="H33" s="85"/>
      <c r="I33" s="86"/>
      <c r="J33" s="70"/>
      <c r="K33" s="70"/>
      <c r="L33" s="86"/>
      <c r="M33" s="86"/>
      <c r="N33" s="86"/>
      <c r="O33" s="86"/>
    </row>
    <row r="34" spans="1:16382" ht="11.5" customHeight="1">
      <c r="C34" s="101" t="s">
        <v>26</v>
      </c>
      <c r="D34" s="91">
        <f>D32*D31</f>
        <v>-110.36317258937211</v>
      </c>
      <c r="E34" s="85"/>
      <c r="F34" s="85"/>
      <c r="G34" s="85"/>
      <c r="H34" s="85"/>
      <c r="I34" s="86"/>
      <c r="J34" s="70"/>
      <c r="K34" s="70"/>
      <c r="L34" s="86"/>
      <c r="M34" s="86"/>
      <c r="N34" s="86"/>
      <c r="O34" s="86"/>
    </row>
    <row r="35" spans="1:16382" ht="11.5" customHeight="1">
      <c r="C35" s="101" t="s">
        <v>27</v>
      </c>
      <c r="D35" s="91">
        <f>SUM(D21:H21)</f>
        <v>-4.831326812412235</v>
      </c>
      <c r="E35" s="85"/>
      <c r="F35" s="85"/>
      <c r="G35" s="85"/>
      <c r="H35" s="85"/>
      <c r="I35" s="86"/>
      <c r="J35" s="70"/>
      <c r="K35" s="70"/>
      <c r="L35" s="86"/>
      <c r="M35" s="86"/>
      <c r="N35" s="86"/>
      <c r="O35" s="86"/>
    </row>
    <row r="36" spans="1:16382" ht="11.5" customHeight="1">
      <c r="C36" s="102" t="s">
        <v>28</v>
      </c>
      <c r="D36" s="92">
        <f>D34-D35</f>
        <v>-105.53184577695988</v>
      </c>
      <c r="E36" s="85"/>
      <c r="F36" s="87"/>
      <c r="G36" s="85"/>
      <c r="H36" s="85"/>
      <c r="I36" s="86"/>
      <c r="J36" s="70"/>
      <c r="K36" s="70"/>
      <c r="L36" s="86"/>
      <c r="M36" s="86"/>
      <c r="N36" s="86"/>
      <c r="O36" s="86"/>
    </row>
    <row r="37" spans="1:16382" ht="11.5" customHeight="1">
      <c r="D37" s="19"/>
      <c r="J37" s="2"/>
    </row>
    <row r="38" spans="1:16382" s="8" customFormat="1" ht="11.95" customHeight="1">
      <c r="B38" s="22" t="s">
        <v>45</v>
      </c>
      <c r="J38" s="17"/>
      <c r="K38" s="17"/>
    </row>
    <row r="39" spans="1:16382" s="20" customFormat="1" ht="11.5" customHeight="1">
      <c r="H39" s="21"/>
    </row>
    <row r="40" spans="1:16382" s="23" customFormat="1" ht="11.5" customHeight="1">
      <c r="C40" s="83"/>
      <c r="D40" s="166" t="str">
        <f>'Input | General'!D18</f>
        <v>2026-27</v>
      </c>
      <c r="E40" s="166" t="str">
        <f>'Input | General'!E18</f>
        <v>2027–28</v>
      </c>
      <c r="F40" s="166" t="str">
        <f>'Input | General'!F18</f>
        <v>2028–29</v>
      </c>
      <c r="G40" s="166" t="str">
        <f>'Input | General'!G18</f>
        <v>2029–30</v>
      </c>
      <c r="H40" s="166" t="str">
        <f>'Input | General'!H18</f>
        <v>2030–31</v>
      </c>
    </row>
    <row r="41" spans="1:16382" s="23" customFormat="1" ht="11.5" customHeight="1">
      <c r="C41" s="89" t="s">
        <v>100</v>
      </c>
      <c r="D41" s="155">
        <f>1/(1+'Input | Inflation and Disc Rate'!L21)</f>
        <v>0.966652351537159</v>
      </c>
      <c r="E41" s="155">
        <f>D41/(1+'Input | Inflation and Disc Rate'!M21)</f>
        <v>0.93360896652512526</v>
      </c>
      <c r="F41" s="155">
        <f>E41/(1+'Input | Inflation and Disc Rate'!N21)</f>
        <v>0.90077842694388799</v>
      </c>
      <c r="G41" s="155">
        <f>F41/(1+'Input | Inflation and Disc Rate'!O21)</f>
        <v>0.86795561031301927</v>
      </c>
      <c r="H41" s="156">
        <f>G41/(1+'Input | Inflation and Disc Rate'!P21)</f>
        <v>0.83474683996119625</v>
      </c>
    </row>
    <row r="42" spans="1:16382" s="23" customFormat="1" ht="11.5" customHeight="1">
      <c r="C42" s="172" t="str">
        <f>CONCATENATE("CESS Payment Per Year ($", 'Output | Models'!$F$8," million)")</f>
        <v>CESS Payment Per Year ($2025–26 million)</v>
      </c>
      <c r="D42" s="98">
        <f>D36/(SUM(D41:H41))</f>
        <v>-23.432035227848964</v>
      </c>
      <c r="E42" s="98">
        <f>D42</f>
        <v>-23.432035227848964</v>
      </c>
      <c r="F42" s="98">
        <f t="shared" ref="F42:H42" si="5">E42</f>
        <v>-23.432035227848964</v>
      </c>
      <c r="G42" s="98">
        <f t="shared" si="5"/>
        <v>-23.432035227848964</v>
      </c>
      <c r="H42" s="132">
        <f t="shared" si="5"/>
        <v>-23.432035227848964</v>
      </c>
    </row>
    <row r="43" spans="1:16382" s="70" customFormat="1" ht="11.5" customHeight="1"/>
    <row r="44" spans="1:16382" s="23" customFormat="1" ht="11.5" customHeight="1">
      <c r="C44" s="172" t="str">
        <f>CONCATENATE("Total CESS Payment ($", 'Output | Models'!$F$8," million)")</f>
        <v>Total CESS Payment ($2025–26 million)</v>
      </c>
      <c r="D44" s="139">
        <f>SUM(D42:H42)</f>
        <v>-117.16017613924481</v>
      </c>
      <c r="E44" s="61"/>
      <c r="F44" s="61"/>
      <c r="G44" s="61"/>
      <c r="H44" s="61"/>
    </row>
    <row r="45" spans="1:16382" s="23" customFormat="1" ht="11.5" customHeight="1">
      <c r="C45" s="60"/>
      <c r="D45" s="88"/>
      <c r="E45" s="88"/>
      <c r="F45" s="61"/>
      <c r="G45" s="61"/>
      <c r="H45" s="61"/>
    </row>
    <row r="46" spans="1:16382" s="23" customFormat="1" ht="11.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6382" ht="11.95" customHeight="1">
      <c r="A47" s="22"/>
      <c r="B47" s="22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5" customHeight="1" zeroHeight="1"/>
  <cols>
    <col min="1" max="2" width="1.33203125" style="43" customWidth="1"/>
    <col min="3" max="3" width="36" style="43" customWidth="1"/>
    <col min="4" max="4" width="23.5546875" style="44" bestFit="1" customWidth="1"/>
    <col min="5" max="5" width="13.5546875" style="44" customWidth="1"/>
    <col min="6" max="6" width="9.109375" style="44" customWidth="1"/>
    <col min="7" max="9" width="2.88671875" style="44" customWidth="1"/>
    <col min="10" max="15" width="9.33203125" style="43" customWidth="1"/>
    <col min="16" max="17" width="3" style="43" customWidth="1"/>
    <col min="18" max="24" width="9.33203125" style="43" hidden="1" customWidth="1"/>
    <col min="25" max="48" width="0" style="43" hidden="1" customWidth="1"/>
    <col min="49" max="16384" width="0" style="43" hidden="1"/>
  </cols>
  <sheetData>
    <row r="1" spans="1:27" s="27" customFormat="1" ht="15.95">
      <c r="B1" s="3" t="str">
        <f>'Input | General'!$B$1</f>
        <v>Victorian DNSP 2026-31 Proposal - Capital expenditure sharing scheme model</v>
      </c>
      <c r="C1" s="28"/>
      <c r="D1" s="28"/>
      <c r="E1" s="28"/>
      <c r="F1" s="29"/>
      <c r="G1" s="29"/>
      <c r="H1" s="29"/>
      <c r="I1" s="29"/>
      <c r="J1" s="94"/>
      <c r="K1" s="95" t="s">
        <v>47</v>
      </c>
      <c r="L1" s="140" t="s">
        <v>48</v>
      </c>
      <c r="M1" s="145" t="s">
        <v>36</v>
      </c>
      <c r="R1" s="96"/>
      <c r="S1" s="70"/>
      <c r="T1" s="70"/>
      <c r="U1" s="70"/>
      <c r="V1" s="70"/>
      <c r="W1" s="70"/>
    </row>
    <row r="2" spans="1:27" s="30" customFormat="1" ht="13.4" thickBot="1">
      <c r="B2" s="31" t="s">
        <v>80</v>
      </c>
      <c r="C2" s="31"/>
      <c r="D2" s="31"/>
      <c r="E2" s="31"/>
      <c r="F2" s="32"/>
      <c r="G2" s="32"/>
      <c r="H2" s="32"/>
      <c r="I2" s="32"/>
    </row>
    <row r="3" spans="1:27" s="33" customFormat="1" ht="10.85">
      <c r="D3" s="34"/>
      <c r="E3" s="34"/>
      <c r="F3" s="34"/>
      <c r="G3" s="34"/>
      <c r="H3" s="34"/>
      <c r="I3" s="34"/>
      <c r="J3" s="176"/>
      <c r="K3" s="176"/>
      <c r="L3" s="176"/>
      <c r="M3" s="34"/>
      <c r="N3" s="176"/>
      <c r="O3" s="176"/>
      <c r="P3" s="176"/>
      <c r="Q3" s="176"/>
      <c r="R3" s="176"/>
      <c r="S3" s="176"/>
      <c r="T3" s="176"/>
      <c r="U3" s="35"/>
      <c r="V3" s="35"/>
      <c r="W3" s="35"/>
      <c r="X3" s="35"/>
      <c r="Y3" s="35"/>
      <c r="Z3" s="35"/>
      <c r="AA3" s="35"/>
    </row>
    <row r="4" spans="1:27" s="42" customFormat="1" ht="13.4">
      <c r="A4" s="36"/>
      <c r="B4" s="37" t="s">
        <v>56</v>
      </c>
      <c r="C4" s="36"/>
      <c r="D4" s="36"/>
      <c r="E4" s="36"/>
      <c r="F4" s="36"/>
      <c r="G4" s="38"/>
      <c r="H4" s="38"/>
      <c r="I4" s="38"/>
      <c r="J4" s="39" t="s">
        <v>57</v>
      </c>
      <c r="K4" s="40"/>
      <c r="L4" s="41"/>
      <c r="M4" s="40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</row>
    <row r="5" spans="1:27" ht="11.5" customHeight="1">
      <c r="M5" s="45"/>
      <c r="N5" s="45"/>
      <c r="O5" s="45"/>
      <c r="P5" s="45"/>
      <c r="Q5" s="70"/>
      <c r="R5" s="70"/>
      <c r="S5" s="70"/>
      <c r="T5" s="70"/>
      <c r="U5" s="70"/>
      <c r="V5" s="70"/>
      <c r="W5" s="70"/>
      <c r="X5" s="70"/>
    </row>
    <row r="6" spans="1:27" ht="11.5" customHeight="1">
      <c r="C6" s="46" t="s">
        <v>59</v>
      </c>
      <c r="D6" s="47" t="s">
        <v>6</v>
      </c>
      <c r="E6" s="47" t="s">
        <v>52</v>
      </c>
      <c r="F6" s="47" t="s">
        <v>4</v>
      </c>
      <c r="H6" s="47"/>
      <c r="I6" s="47"/>
      <c r="J6" s="167" t="str">
        <f>'Calc | CESS Revenue Increments'!D40</f>
        <v>2026-27</v>
      </c>
      <c r="K6" s="167" t="str">
        <f>'Calc | CESS Revenue Increments'!E40</f>
        <v>2027–28</v>
      </c>
      <c r="L6" s="167" t="str">
        <f>'Calc | CESS Revenue Increments'!F40</f>
        <v>2028–29</v>
      </c>
      <c r="M6" s="167" t="str">
        <f>'Calc | CESS Revenue Increments'!G40</f>
        <v>2029–30</v>
      </c>
      <c r="N6" s="167" t="str">
        <f>'Calc | CESS Revenue Increments'!H40</f>
        <v>2030–31</v>
      </c>
      <c r="O6" s="48" t="s">
        <v>87</v>
      </c>
      <c r="P6" s="120"/>
      <c r="Q6" s="70"/>
      <c r="R6" s="70"/>
      <c r="S6" s="70"/>
      <c r="T6" s="70"/>
      <c r="U6" s="70"/>
      <c r="V6" s="70"/>
      <c r="W6" s="70"/>
      <c r="X6" s="70"/>
    </row>
    <row r="7" spans="1:27" ht="11.5" customHeight="1">
      <c r="C7" s="46"/>
      <c r="D7" s="47"/>
      <c r="E7" s="47"/>
      <c r="F7" s="47"/>
      <c r="H7" s="47"/>
      <c r="I7" s="47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7" ht="11.5" customHeight="1">
      <c r="C8" s="49" t="s">
        <v>83</v>
      </c>
      <c r="D8" s="169" t="s">
        <v>58</v>
      </c>
      <c r="E8" s="44" t="s">
        <v>50</v>
      </c>
      <c r="F8" s="168" t="str">
        <f>IF(LEN(J6)&gt;4,CONCATENATE(LEFT(J6,4)-1&amp;"–"&amp;IF(RIGHT(J6,2)="00","99",IF(RIGHT(J6,2)-1&lt;10,"0","")&amp;RIGHT(J6,2)-1)),J6-1)</f>
        <v>2025–26</v>
      </c>
      <c r="H8" s="47"/>
      <c r="I8" s="47"/>
      <c r="J8" s="118">
        <f>'Calc | CESS Revenue Increments'!D42</f>
        <v>-23.432035227848964</v>
      </c>
      <c r="K8" s="118">
        <f>'Calc | CESS Revenue Increments'!E42</f>
        <v>-23.432035227848964</v>
      </c>
      <c r="L8" s="118">
        <f>'Calc | CESS Revenue Increments'!F42</f>
        <v>-23.432035227848964</v>
      </c>
      <c r="M8" s="118">
        <f>'Calc | CESS Revenue Increments'!G42</f>
        <v>-23.432035227848964</v>
      </c>
      <c r="N8" s="118">
        <f>'Calc | CESS Revenue Increments'!H42</f>
        <v>-23.432035227848964</v>
      </c>
      <c r="O8" s="51">
        <f>SUM(J8:N8)</f>
        <v>-117.16017613924481</v>
      </c>
      <c r="P8" s="121"/>
      <c r="Q8" s="70"/>
      <c r="R8" s="70"/>
      <c r="S8" s="70"/>
      <c r="T8" s="70"/>
      <c r="U8" s="70"/>
      <c r="V8" s="70"/>
      <c r="W8" s="70"/>
      <c r="X8" s="70"/>
    </row>
    <row r="9" spans="1:27" ht="11.5" customHeight="1">
      <c r="C9" s="49"/>
      <c r="D9" s="50"/>
      <c r="H9" s="47"/>
      <c r="I9" s="47"/>
      <c r="Q9" s="70"/>
      <c r="R9" s="70"/>
      <c r="S9" s="70"/>
      <c r="T9" s="70"/>
      <c r="U9" s="70"/>
      <c r="V9" s="70"/>
      <c r="W9" s="70"/>
      <c r="X9" s="70"/>
    </row>
    <row r="10" spans="1:27" ht="11.5" customHeight="1">
      <c r="D10" s="50"/>
      <c r="H10" s="47"/>
      <c r="I10" s="47"/>
      <c r="J10" s="119"/>
      <c r="K10" s="119"/>
      <c r="L10" s="119"/>
      <c r="M10" s="119"/>
      <c r="N10" s="119"/>
      <c r="Q10" s="70"/>
      <c r="R10" s="70"/>
      <c r="S10" s="70"/>
      <c r="T10" s="70"/>
      <c r="U10" s="70"/>
      <c r="V10" s="70"/>
      <c r="W10" s="70"/>
      <c r="X10" s="70"/>
    </row>
    <row r="11" spans="1:27" s="42" customFormat="1" ht="13.4">
      <c r="A11" s="36"/>
      <c r="B11" s="37" t="s">
        <v>34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40"/>
      <c r="X11" s="40"/>
    </row>
    <row r="17" spans="13:20" ht="10.85" hidden="1">
      <c r="M17" s="52"/>
      <c r="N17" s="52"/>
      <c r="O17" s="52"/>
      <c r="P17" s="52"/>
      <c r="Q17" s="52"/>
      <c r="R17" s="52"/>
      <c r="S17" s="52"/>
      <c r="T17" s="52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67832C96-955A-491D-BA8F-BB6FDA865680}"/>
</file>

<file path=customXml/itemProps2.xml><?xml version="1.0" encoding="utf-8"?>
<ds:datastoreItem xmlns:ds="http://schemas.openxmlformats.org/officeDocument/2006/customXml" ds:itemID="{74A88C47-A91B-4D8D-A794-F20AC8EA33B8}"/>
</file>

<file path=customXml/itemProps3.xml><?xml version="1.0" encoding="utf-8"?>
<ds:datastoreItem xmlns:ds="http://schemas.openxmlformats.org/officeDocument/2006/customXml" ds:itemID="{4DB79545-A85C-4813-BA0E-00AAB4160FA2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VIC</cp:keywords>
  <dc:description>6. CESS model based on FINAL RIN issued to Ergon in Qld/SA Reset 2021-25</dc:description>
  <cp:lastModifiedBy>Steven Martin</cp:lastModifiedBy>
  <dcterms:created xsi:type="dcterms:W3CDTF">2017-09-22T02:00:05Z</dcterms:created>
  <dcterms:modified xsi:type="dcterms:W3CDTF">2025-01-30T03:24:47Z</dcterms:modified>
  <cp:category>DNSP;Reset;CESS;2021-25;VIC</cp:category>
  <cp:contentStatus>20181219 - DRAFT RIN templates sent to NSPs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0x0101000B26092BDB0EB54683F161AC1502A92A</vt:lpwstr>
  </property>
</Properties>
</file>