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C9D260EA-8646-4C3B-AC0E-F510B7D47C35}" xr6:coauthVersionLast="47" xr6:coauthVersionMax="47" xr10:uidLastSave="{00000000-0000-0000-0000-000000000000}"/>
  <bookViews>
    <workbookView xWindow="-19200" yWindow="0" windowWidth="19200" windowHeight="21000" tabRatio="807" firstSheet="1" activeTab="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Lookup|Tables" sheetId="4" r:id="rId8"/>
    <sheet name="Check|List" sheetId="16" r:id="rId9"/>
  </sheets>
  <externalReferences>
    <externalReference r:id="rId10"/>
  </externalReferences>
  <definedNames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42" l="1"/>
  <c r="C72" i="42" l="1"/>
  <c r="E72" i="42"/>
  <c r="F72" i="42"/>
  <c r="C73" i="42"/>
  <c r="E73" i="42"/>
  <c r="F73" i="42"/>
  <c r="F82" i="55" l="1"/>
  <c r="F86" i="55" s="1"/>
  <c r="F80" i="55"/>
  <c r="F84" i="55" s="1"/>
  <c r="G79" i="55" l="1"/>
  <c r="F90" i="55" l="1"/>
  <c r="F94" i="55" s="1"/>
  <c r="F81" i="55"/>
  <c r="G81" i="55" s="1"/>
  <c r="F83" i="55"/>
  <c r="G83" i="55" s="1"/>
  <c r="F85" i="55" l="1"/>
  <c r="F88" i="55"/>
  <c r="F92" i="55" l="1"/>
  <c r="F87" i="55"/>
  <c r="G85" i="55"/>
  <c r="F89" i="55"/>
  <c r="F93" i="55" s="1"/>
  <c r="F91" i="55" l="1"/>
  <c r="G87" i="55"/>
  <c r="C83" i="42" l="1"/>
  <c r="C82" i="42"/>
  <c r="F82" i="42"/>
  <c r="E82" i="42"/>
  <c r="G74" i="55" l="1"/>
  <c r="G76" i="55"/>
  <c r="G77" i="55"/>
  <c r="G72" i="55" l="1"/>
  <c r="F56" i="58" l="1"/>
  <c r="E56" i="58"/>
  <c r="E84" i="42" l="1"/>
  <c r="C84" i="42"/>
  <c r="G64" i="55" l="1"/>
  <c r="E78" i="42"/>
  <c r="E76" i="42"/>
  <c r="C78" i="42"/>
  <c r="C76" i="42"/>
  <c r="C77" i="42"/>
  <c r="F51" i="58" l="1"/>
  <c r="E51" i="58"/>
  <c r="G70" i="55" l="1"/>
  <c r="E20" i="58" l="1"/>
  <c r="J47" i="58" l="1"/>
  <c r="F47" i="58" l="1"/>
  <c r="K58" i="58" l="1"/>
  <c r="L58" i="58" l="1"/>
  <c r="N58" i="58"/>
  <c r="M58" i="58"/>
  <c r="C80" i="2" l="1"/>
  <c r="C88" i="2"/>
  <c r="G71" i="55" l="1"/>
  <c r="P80" i="2" l="1"/>
  <c r="K93" i="2" l="1" a="1"/>
  <c r="K93" i="2" s="1"/>
  <c r="K47" i="58" l="1"/>
  <c r="C97" i="2" a="1"/>
  <c r="C97" i="2" s="1"/>
  <c r="F53" i="58"/>
  <c r="E53" i="58"/>
  <c r="C100" i="2" l="1"/>
  <c r="C99" i="2"/>
  <c r="C101" i="2"/>
  <c r="C98" i="2"/>
  <c r="U80" i="2" l="1"/>
  <c r="T87" i="55" l="1"/>
  <c r="T88" i="55"/>
  <c r="T89" i="55"/>
  <c r="T90" i="55"/>
  <c r="T91" i="55"/>
  <c r="T92" i="55"/>
  <c r="T93" i="55"/>
  <c r="T94" i="55"/>
  <c r="G69" i="55"/>
  <c r="G75" i="55" l="1"/>
  <c r="T78" i="55"/>
  <c r="I61" i="4"/>
  <c r="H61" i="4"/>
  <c r="T76" i="55" l="1"/>
  <c r="T77" i="55"/>
  <c r="O63" i="42"/>
  <c r="P63" i="42"/>
  <c r="H68" i="4"/>
  <c r="H70" i="4"/>
  <c r="H71" i="4"/>
  <c r="M47" i="58"/>
  <c r="M15" i="58"/>
  <c r="N15" i="58"/>
  <c r="M29" i="58"/>
  <c r="N29" i="58"/>
  <c r="Q63" i="42"/>
  <c r="R63" i="42"/>
  <c r="S63" i="42"/>
  <c r="F28" i="42"/>
  <c r="F37" i="42"/>
  <c r="F40" i="42"/>
  <c r="F43" i="42"/>
  <c r="F46" i="42"/>
  <c r="F49" i="42"/>
  <c r="J4" i="42"/>
  <c r="J14" i="42" s="1"/>
  <c r="F12" i="42"/>
  <c r="F8" i="42"/>
  <c r="F22" i="42" s="1"/>
  <c r="H65" i="4"/>
  <c r="H66" i="4"/>
  <c r="H67" i="4"/>
  <c r="H69" i="4"/>
  <c r="G69" i="4" s="1"/>
  <c r="K4" i="2"/>
  <c r="K10" i="2" s="1"/>
  <c r="K4" i="42"/>
  <c r="L4" i="2"/>
  <c r="L24" i="2" s="1"/>
  <c r="L4" i="42"/>
  <c r="L35" i="42" s="1"/>
  <c r="M4" i="2"/>
  <c r="M24" i="2" s="1"/>
  <c r="M4" i="42"/>
  <c r="M58" i="42" s="1"/>
  <c r="N4" i="2"/>
  <c r="N24" i="2" s="1"/>
  <c r="N4" i="42"/>
  <c r="N21" i="42" s="1"/>
  <c r="O4" i="2"/>
  <c r="O24" i="2" s="1"/>
  <c r="O4" i="42"/>
  <c r="O33" i="42" s="1"/>
  <c r="P4" i="2"/>
  <c r="P24" i="2" s="1"/>
  <c r="P4" i="42"/>
  <c r="P35" i="42" s="1"/>
  <c r="Q4" i="2"/>
  <c r="Q36" i="2" s="1"/>
  <c r="Q47" i="2" s="1"/>
  <c r="Q4" i="42"/>
  <c r="Q16" i="42" s="1"/>
  <c r="R4" i="2"/>
  <c r="R24" i="2" s="1"/>
  <c r="R4" i="42"/>
  <c r="R14" i="42" s="1"/>
  <c r="S4" i="2"/>
  <c r="S24" i="2" s="1"/>
  <c r="S4" i="42"/>
  <c r="S33" i="42" s="1"/>
  <c r="T4" i="2"/>
  <c r="T36" i="2" s="1"/>
  <c r="T47" i="2" s="1"/>
  <c r="J63" i="42"/>
  <c r="J65" i="42"/>
  <c r="K63" i="42"/>
  <c r="K65" i="42"/>
  <c r="L63" i="42"/>
  <c r="L65" i="42"/>
  <c r="M63" i="42"/>
  <c r="M65" i="42"/>
  <c r="N63" i="42"/>
  <c r="N65" i="42"/>
  <c r="O58" i="42"/>
  <c r="O65" i="42"/>
  <c r="P65" i="42"/>
  <c r="Q65" i="42"/>
  <c r="R65" i="42"/>
  <c r="S65" i="42"/>
  <c r="T4" i="42"/>
  <c r="T101" i="42" s="1"/>
  <c r="C81" i="42"/>
  <c r="E81" i="42"/>
  <c r="E12" i="42"/>
  <c r="E13" i="42"/>
  <c r="J4" i="58"/>
  <c r="J10" i="58" s="1"/>
  <c r="E70" i="58"/>
  <c r="E28" i="42" s="1"/>
  <c r="E29" i="42"/>
  <c r="K4" i="58"/>
  <c r="K10" i="58" s="1"/>
  <c r="L4" i="58"/>
  <c r="L10" i="58" s="1"/>
  <c r="M4" i="58"/>
  <c r="M10" i="58" s="1"/>
  <c r="N4" i="58"/>
  <c r="N10" i="58" s="1"/>
  <c r="O4" i="58"/>
  <c r="O62" i="58" s="1"/>
  <c r="P4" i="58"/>
  <c r="P10" i="58" s="1"/>
  <c r="Q4" i="58"/>
  <c r="Q62" i="58" s="1"/>
  <c r="R4" i="58"/>
  <c r="R10" i="58" s="1"/>
  <c r="S4" i="58"/>
  <c r="S10" i="58" s="1"/>
  <c r="F14" i="42"/>
  <c r="E15" i="58"/>
  <c r="E14" i="42" s="1"/>
  <c r="E15" i="42"/>
  <c r="F16" i="42"/>
  <c r="E17" i="42"/>
  <c r="E64" i="58"/>
  <c r="E37" i="42" s="1"/>
  <c r="E38" i="42"/>
  <c r="E65" i="58"/>
  <c r="E19" i="42" s="1"/>
  <c r="E41" i="42"/>
  <c r="E66" i="58"/>
  <c r="E43" i="42" s="1"/>
  <c r="E44" i="42"/>
  <c r="E67" i="58"/>
  <c r="E46" i="42" s="1"/>
  <c r="E47" i="42"/>
  <c r="E68" i="58"/>
  <c r="E49" i="42" s="1"/>
  <c r="E50" i="42"/>
  <c r="F19" i="42"/>
  <c r="E20" i="42"/>
  <c r="F21" i="42"/>
  <c r="E22" i="42"/>
  <c r="F23" i="42"/>
  <c r="E24" i="42"/>
  <c r="F74" i="42"/>
  <c r="E74" i="42"/>
  <c r="E79" i="42"/>
  <c r="E75" i="42"/>
  <c r="E77" i="42"/>
  <c r="E80" i="42"/>
  <c r="E83" i="42"/>
  <c r="E91" i="42"/>
  <c r="E92" i="42"/>
  <c r="E93" i="42"/>
  <c r="E94" i="42"/>
  <c r="E95" i="42"/>
  <c r="O37" i="42"/>
  <c r="P37" i="42"/>
  <c r="K19" i="42"/>
  <c r="G57" i="55"/>
  <c r="G61" i="55"/>
  <c r="G65" i="55"/>
  <c r="T68" i="55"/>
  <c r="G53" i="55"/>
  <c r="K15" i="58"/>
  <c r="K14" i="42" s="1"/>
  <c r="D31" i="53"/>
  <c r="D32" i="53" s="1"/>
  <c r="C94" i="42"/>
  <c r="C95" i="42"/>
  <c r="C93" i="42"/>
  <c r="C92" i="42"/>
  <c r="T63" i="42"/>
  <c r="U4" i="2"/>
  <c r="U64" i="2" s="1"/>
  <c r="U73" i="2" s="1"/>
  <c r="G71" i="4"/>
  <c r="T4" i="53"/>
  <c r="T40" i="53" s="1"/>
  <c r="T44" i="53" s="1"/>
  <c r="T4" i="58"/>
  <c r="J93" i="2" a="1"/>
  <c r="J93" i="2" s="1"/>
  <c r="L93" i="2" a="1"/>
  <c r="L93" i="2" s="1"/>
  <c r="M93" i="2" a="1"/>
  <c r="M93" i="2" s="1"/>
  <c r="T65" i="55"/>
  <c r="T66" i="55"/>
  <c r="G63" i="55"/>
  <c r="G66" i="55"/>
  <c r="C15" i="16"/>
  <c r="C14" i="16"/>
  <c r="D14" i="16"/>
  <c r="C13" i="16"/>
  <c r="D13" i="16" s="1"/>
  <c r="C12" i="16"/>
  <c r="D12" i="16" s="1"/>
  <c r="C11" i="16"/>
  <c r="D11" i="16" s="1"/>
  <c r="G65" i="4"/>
  <c r="F42" i="58"/>
  <c r="F43" i="58"/>
  <c r="F44" i="58"/>
  <c r="F45" i="58"/>
  <c r="F41" i="58"/>
  <c r="N47" i="58"/>
  <c r="O47" i="58"/>
  <c r="P47" i="58"/>
  <c r="Q47" i="58"/>
  <c r="R47" i="58"/>
  <c r="S47" i="58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N93" i="2" a="1"/>
  <c r="N93" i="2" s="1"/>
  <c r="C91" i="2"/>
  <c r="C90" i="2"/>
  <c r="C89" i="2"/>
  <c r="C87" i="2"/>
  <c r="C86" i="2"/>
  <c r="F42" i="53"/>
  <c r="O29" i="58"/>
  <c r="P29" i="58"/>
  <c r="Q29" i="58"/>
  <c r="R29" i="58"/>
  <c r="S29" i="58"/>
  <c r="E19" i="58"/>
  <c r="D15" i="58"/>
  <c r="O15" i="58"/>
  <c r="P15" i="58"/>
  <c r="Q15" i="58"/>
  <c r="R15" i="58"/>
  <c r="S15" i="58"/>
  <c r="C29" i="42"/>
  <c r="F35" i="42"/>
  <c r="E35" i="42"/>
  <c r="O58" i="58"/>
  <c r="P58" i="58"/>
  <c r="Q58" i="58"/>
  <c r="R58" i="58"/>
  <c r="S58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G70" i="4"/>
  <c r="G67" i="4"/>
  <c r="H76" i="4"/>
  <c r="G76" i="4" s="1"/>
  <c r="H75" i="4"/>
  <c r="G75" i="4" s="1"/>
  <c r="H74" i="4"/>
  <c r="G74" i="4" s="1"/>
  <c r="H73" i="4"/>
  <c r="G73" i="4" s="1"/>
  <c r="H72" i="4"/>
  <c r="G72" i="4" s="1"/>
  <c r="G66" i="4"/>
  <c r="C40" i="4"/>
  <c r="G68" i="4"/>
  <c r="F31" i="42"/>
  <c r="E31" i="42"/>
  <c r="F26" i="42"/>
  <c r="E26" i="42"/>
  <c r="S4" i="53"/>
  <c r="S9" i="53" s="1"/>
  <c r="R4" i="53"/>
  <c r="R40" i="53" s="1"/>
  <c r="Q4" i="53"/>
  <c r="Q9" i="53" s="1"/>
  <c r="P4" i="53"/>
  <c r="P40" i="53" s="1"/>
  <c r="O4" i="53"/>
  <c r="O40" i="53" s="1"/>
  <c r="N4" i="53"/>
  <c r="N40" i="53" s="1"/>
  <c r="N44" i="53" s="1"/>
  <c r="M4" i="53"/>
  <c r="M40" i="53" s="1"/>
  <c r="M44" i="53" s="1"/>
  <c r="L4" i="53"/>
  <c r="L9" i="53" s="1"/>
  <c r="L24" i="53" s="1"/>
  <c r="K4" i="53"/>
  <c r="K40" i="53" s="1"/>
  <c r="K44" i="53" s="1"/>
  <c r="J4" i="53"/>
  <c r="J28" i="53" s="1"/>
  <c r="J36" i="53" s="1"/>
  <c r="J4" i="2"/>
  <c r="J104" i="2" s="1"/>
  <c r="J108" i="2" s="1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Q79" i="2"/>
  <c r="T79" i="2"/>
  <c r="J80" i="2"/>
  <c r="K80" i="2"/>
  <c r="L80" i="2"/>
  <c r="M80" i="2"/>
  <c r="N80" i="2"/>
  <c r="O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S75" i="2"/>
  <c r="T75" i="2"/>
  <c r="N104" i="2"/>
  <c r="N108" i="2" s="1"/>
  <c r="J10" i="42"/>
  <c r="P10" i="42"/>
  <c r="O10" i="42"/>
  <c r="K10" i="4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V75" i="2"/>
  <c r="F55" i="58"/>
  <c r="E55" i="58"/>
  <c r="F54" i="58"/>
  <c r="E54" i="58"/>
  <c r="F52" i="58"/>
  <c r="E52" i="58"/>
  <c r="F50" i="58"/>
  <c r="E50" i="58"/>
  <c r="E45" i="58"/>
  <c r="E44" i="58"/>
  <c r="E43" i="58"/>
  <c r="E42" i="58"/>
  <c r="E41" i="58"/>
  <c r="E37" i="58"/>
  <c r="E25" i="58"/>
  <c r="C2" i="58"/>
  <c r="C1" i="58"/>
  <c r="F103" i="42"/>
  <c r="E103" i="42"/>
  <c r="F105" i="42"/>
  <c r="F104" i="42"/>
  <c r="F97" i="42"/>
  <c r="F85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4" i="55"/>
  <c r="G55" i="55"/>
  <c r="G56" i="55"/>
  <c r="G58" i="55"/>
  <c r="G59" i="55"/>
  <c r="G60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24" i="4"/>
  <c r="S9" i="54"/>
  <c r="P89" i="42"/>
  <c r="P71" i="42"/>
  <c r="K71" i="42"/>
  <c r="O71" i="42"/>
  <c r="K89" i="42"/>
  <c r="O89" i="42"/>
  <c r="E85" i="42"/>
  <c r="E105" i="42"/>
  <c r="F54" i="42"/>
  <c r="F52" i="42"/>
  <c r="C75" i="42"/>
  <c r="C79" i="42"/>
  <c r="C80" i="42"/>
  <c r="C91" i="42"/>
  <c r="E54" i="42"/>
  <c r="F33" i="42"/>
  <c r="E52" i="42"/>
  <c r="E104" i="42"/>
  <c r="E97" i="42"/>
  <c r="E33" i="42"/>
  <c r="B2" i="55"/>
  <c r="S11" i="54"/>
  <c r="S14" i="54"/>
  <c r="G15" i="16"/>
  <c r="B1" i="55"/>
  <c r="E12" i="2"/>
  <c r="C74" i="42"/>
  <c r="C78" i="2"/>
  <c r="C79" i="2"/>
  <c r="C81" i="2"/>
  <c r="C82" i="2"/>
  <c r="C77" i="2"/>
  <c r="S7" i="54"/>
  <c r="S10" i="54"/>
  <c r="S12" i="54"/>
  <c r="S13" i="54"/>
  <c r="D15" i="16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2"/>
  <c r="B1" i="42"/>
  <c r="E43" i="2"/>
  <c r="E42" i="2"/>
  <c r="E41" i="2"/>
  <c r="E40" i="2"/>
  <c r="E39" i="2"/>
  <c r="E38" i="2"/>
  <c r="B2" i="16"/>
  <c r="B1" i="16"/>
  <c r="C9" i="4"/>
  <c r="B2" i="4"/>
  <c r="B1" i="4"/>
  <c r="G68" i="55"/>
  <c r="T69" i="55"/>
  <c r="G67" i="55"/>
  <c r="T67" i="55"/>
  <c r="K29" i="58"/>
  <c r="K21" i="42" s="1"/>
  <c r="L47" i="58"/>
  <c r="P46" i="42"/>
  <c r="N46" i="42"/>
  <c r="O23" i="42"/>
  <c r="P21" i="42"/>
  <c r="K12" i="42"/>
  <c r="O40" i="42"/>
  <c r="R31" i="42"/>
  <c r="R16" i="42"/>
  <c r="O14" i="42"/>
  <c r="K40" i="42"/>
  <c r="K37" i="42"/>
  <c r="F92" i="42"/>
  <c r="F79" i="42"/>
  <c r="F20" i="42"/>
  <c r="P43" i="42"/>
  <c r="O21" i="42"/>
  <c r="P19" i="42"/>
  <c r="K16" i="42"/>
  <c r="K31" i="42"/>
  <c r="K49" i="42"/>
  <c r="K33" i="42"/>
  <c r="K35" i="42"/>
  <c r="P16" i="42"/>
  <c r="Q14" i="42"/>
  <c r="K46" i="42"/>
  <c r="F94" i="42"/>
  <c r="F83" i="42"/>
  <c r="P49" i="42"/>
  <c r="P33" i="42"/>
  <c r="K23" i="42"/>
  <c r="P36" i="2" l="1"/>
  <c r="P47" i="2" s="1"/>
  <c r="P49" i="2"/>
  <c r="P60" i="2" s="1"/>
  <c r="P10" i="2"/>
  <c r="P12" i="2" s="1"/>
  <c r="M14" i="2"/>
  <c r="L95" i="2"/>
  <c r="L98" i="2" s="1"/>
  <c r="S104" i="2"/>
  <c r="S108" i="2" s="1"/>
  <c r="L49" i="2"/>
  <c r="L60" i="2" s="1"/>
  <c r="P14" i="2"/>
  <c r="S10" i="2"/>
  <c r="S12" i="2" s="1"/>
  <c r="M95" i="2"/>
  <c r="L10" i="2"/>
  <c r="J75" i="2"/>
  <c r="N14" i="2"/>
  <c r="P64" i="2"/>
  <c r="P95" i="2"/>
  <c r="M49" i="2"/>
  <c r="M60" i="2" s="1"/>
  <c r="N64" i="2"/>
  <c r="N73" i="2" s="1"/>
  <c r="L75" i="2"/>
  <c r="T95" i="2"/>
  <c r="J14" i="2"/>
  <c r="N36" i="2"/>
  <c r="N47" i="2" s="1"/>
  <c r="S14" i="2"/>
  <c r="R104" i="2"/>
  <c r="R108" i="2" s="1"/>
  <c r="T14" i="2"/>
  <c r="M64" i="2"/>
  <c r="M73" i="2" s="1"/>
  <c r="M104" i="2"/>
  <c r="M108" i="2" s="1"/>
  <c r="L36" i="2"/>
  <c r="L47" i="2" s="1"/>
  <c r="P75" i="2"/>
  <c r="N95" i="2"/>
  <c r="N98" i="2" s="1"/>
  <c r="S49" i="2"/>
  <c r="S60" i="2" s="1"/>
  <c r="N75" i="2"/>
  <c r="L14" i="2"/>
  <c r="S95" i="2"/>
  <c r="M36" i="2"/>
  <c r="M47" i="2" s="1"/>
  <c r="P104" i="2"/>
  <c r="P108" i="2" s="1"/>
  <c r="L64" i="2"/>
  <c r="L73" i="2" s="1"/>
  <c r="M10" i="2"/>
  <c r="M12" i="2" s="1"/>
  <c r="S36" i="2"/>
  <c r="S47" i="2" s="1"/>
  <c r="L104" i="2"/>
  <c r="L108" i="2" s="1"/>
  <c r="S64" i="2"/>
  <c r="N10" i="2"/>
  <c r="N12" i="2" s="1"/>
  <c r="J36" i="2"/>
  <c r="J47" i="2" s="1"/>
  <c r="N49" i="2"/>
  <c r="N60" i="2" s="1"/>
  <c r="M75" i="2"/>
  <c r="E27" i="58"/>
  <c r="E26" i="58"/>
  <c r="E21" i="58"/>
  <c r="E22" i="58"/>
  <c r="E21" i="42" s="1"/>
  <c r="E23" i="58"/>
  <c r="E24" i="58"/>
  <c r="M37" i="42"/>
  <c r="M35" i="42"/>
  <c r="M71" i="42"/>
  <c r="L40" i="42"/>
  <c r="S46" i="42"/>
  <c r="J40" i="42"/>
  <c r="J49" i="42"/>
  <c r="J16" i="42"/>
  <c r="L33" i="42"/>
  <c r="L49" i="42"/>
  <c r="J21" i="42"/>
  <c r="J103" i="42"/>
  <c r="J104" i="42"/>
  <c r="E16" i="42"/>
  <c r="S40" i="53"/>
  <c r="J9" i="53"/>
  <c r="J24" i="53" s="1"/>
  <c r="O9" i="53"/>
  <c r="F17" i="42"/>
  <c r="F84" i="42"/>
  <c r="F76" i="42"/>
  <c r="F77" i="42"/>
  <c r="F78" i="42"/>
  <c r="J40" i="53"/>
  <c r="J44" i="53" s="1"/>
  <c r="P9" i="53"/>
  <c r="M31" i="42"/>
  <c r="J12" i="42"/>
  <c r="J58" i="42"/>
  <c r="J61" i="42" s="1"/>
  <c r="J67" i="42" s="1"/>
  <c r="M33" i="42"/>
  <c r="M14" i="42"/>
  <c r="M49" i="42"/>
  <c r="S31" i="42"/>
  <c r="J71" i="42"/>
  <c r="J89" i="42"/>
  <c r="M43" i="42"/>
  <c r="M16" i="42"/>
  <c r="S21" i="42"/>
  <c r="M19" i="42"/>
  <c r="S14" i="42"/>
  <c r="S89" i="42"/>
  <c r="J19" i="42"/>
  <c r="M46" i="42"/>
  <c r="J105" i="42"/>
  <c r="S23" i="42"/>
  <c r="M21" i="42"/>
  <c r="M89" i="42"/>
  <c r="M10" i="42"/>
  <c r="M12" i="42"/>
  <c r="M101" i="42"/>
  <c r="M23" i="42"/>
  <c r="J23" i="42"/>
  <c r="J43" i="42"/>
  <c r="J46" i="42"/>
  <c r="S35" i="42"/>
  <c r="S71" i="42"/>
  <c r="S10" i="42"/>
  <c r="J37" i="42"/>
  <c r="L89" i="42"/>
  <c r="F93" i="42"/>
  <c r="R43" i="42"/>
  <c r="L46" i="42"/>
  <c r="R46" i="42"/>
  <c r="L23" i="42"/>
  <c r="R23" i="42"/>
  <c r="R35" i="42"/>
  <c r="S37" i="42"/>
  <c r="R58" i="42"/>
  <c r="R40" i="42"/>
  <c r="L31" i="42"/>
  <c r="L101" i="42"/>
  <c r="L58" i="42"/>
  <c r="L61" i="42" s="1"/>
  <c r="L67" i="42" s="1"/>
  <c r="L16" i="42"/>
  <c r="L19" i="42"/>
  <c r="L43" i="42"/>
  <c r="L12" i="42"/>
  <c r="L10" i="42"/>
  <c r="L71" i="42"/>
  <c r="R10" i="42"/>
  <c r="R37" i="42"/>
  <c r="R12" i="42"/>
  <c r="L37" i="42"/>
  <c r="P58" i="42"/>
  <c r="J101" i="42"/>
  <c r="R101" i="42"/>
  <c r="R71" i="42"/>
  <c r="O101" i="42"/>
  <c r="R89" i="42"/>
  <c r="R9" i="53"/>
  <c r="Q28" i="53"/>
  <c r="Q40" i="53"/>
  <c r="E40" i="42"/>
  <c r="L34" i="58"/>
  <c r="N62" i="58"/>
  <c r="N28" i="42" s="1"/>
  <c r="J34" i="58"/>
  <c r="L62" i="58"/>
  <c r="L28" i="42" s="1"/>
  <c r="O34" i="58"/>
  <c r="E23" i="42"/>
  <c r="M34" i="58"/>
  <c r="T20" i="42"/>
  <c r="N34" i="58"/>
  <c r="P28" i="53"/>
  <c r="R62" i="58"/>
  <c r="R28" i="42" s="1"/>
  <c r="O10" i="58"/>
  <c r="O28" i="42" s="1"/>
  <c r="Q34" i="58"/>
  <c r="K34" i="58"/>
  <c r="S34" i="58"/>
  <c r="J24" i="2"/>
  <c r="L40" i="53"/>
  <c r="L44" i="53" s="1"/>
  <c r="Q58" i="42"/>
  <c r="R34" i="58"/>
  <c r="X93" i="2"/>
  <c r="R28" i="53"/>
  <c r="K75" i="2"/>
  <c r="T24" i="2"/>
  <c r="K9" i="53"/>
  <c r="K24" i="53" s="1"/>
  <c r="R95" i="2"/>
  <c r="K28" i="53"/>
  <c r="K36" i="53" s="1"/>
  <c r="P12" i="42"/>
  <c r="R10" i="2"/>
  <c r="R12" i="2" s="1"/>
  <c r="P23" i="42"/>
  <c r="R36" i="2"/>
  <c r="R47" i="2" s="1"/>
  <c r="K104" i="2"/>
  <c r="K108" i="2" s="1"/>
  <c r="R49" i="2"/>
  <c r="R60" i="2" s="1"/>
  <c r="R14" i="2"/>
  <c r="O14" i="2"/>
  <c r="J95" i="2"/>
  <c r="J99" i="2" s="1"/>
  <c r="R75" i="2"/>
  <c r="R19" i="42"/>
  <c r="R64" i="2"/>
  <c r="K14" i="2"/>
  <c r="N9" i="53"/>
  <c r="N24" i="53" s="1"/>
  <c r="N58" i="42"/>
  <c r="N28" i="53"/>
  <c r="N36" i="53" s="1"/>
  <c r="O28" i="53"/>
  <c r="T64" i="2"/>
  <c r="O64" i="2"/>
  <c r="Q10" i="2"/>
  <c r="Q12" i="2" s="1"/>
  <c r="Q14" i="2"/>
  <c r="N100" i="2"/>
  <c r="O95" i="2"/>
  <c r="T28" i="53"/>
  <c r="T36" i="53" s="1"/>
  <c r="N101" i="42"/>
  <c r="Q49" i="2"/>
  <c r="Q60" i="2" s="1"/>
  <c r="T12" i="42"/>
  <c r="K64" i="2"/>
  <c r="K73" i="2" s="1"/>
  <c r="Q19" i="42"/>
  <c r="K24" i="2"/>
  <c r="Q10" i="42"/>
  <c r="O49" i="2"/>
  <c r="O60" i="2" s="1"/>
  <c r="T49" i="2"/>
  <c r="T60" i="2" s="1"/>
  <c r="Q75" i="2"/>
  <c r="T89" i="42"/>
  <c r="S58" i="42"/>
  <c r="S101" i="42"/>
  <c r="T24" i="53"/>
  <c r="O36" i="2"/>
  <c r="O47" i="2" s="1"/>
  <c r="Q104" i="2"/>
  <c r="Q108" i="2" s="1"/>
  <c r="Q64" i="2"/>
  <c r="Q95" i="2"/>
  <c r="T72" i="42"/>
  <c r="N37" i="42"/>
  <c r="Q89" i="42"/>
  <c r="M100" i="2"/>
  <c r="N19" i="42"/>
  <c r="N49" i="42"/>
  <c r="N23" i="42"/>
  <c r="Q43" i="42"/>
  <c r="N43" i="42"/>
  <c r="J68" i="42" a="1"/>
  <c r="J68" i="42" s="1"/>
  <c r="Q33" i="42"/>
  <c r="M97" i="2"/>
  <c r="Q71" i="42"/>
  <c r="N71" i="42"/>
  <c r="O104" i="2"/>
  <c r="O108" i="2" s="1"/>
  <c r="K49" i="2"/>
  <c r="K60" i="2" s="1"/>
  <c r="T104" i="2"/>
  <c r="T108" i="2" s="1"/>
  <c r="J49" i="2"/>
  <c r="J60" i="2" s="1"/>
  <c r="P34" i="58"/>
  <c r="L97" i="2"/>
  <c r="K95" i="2"/>
  <c r="K97" i="2" s="1"/>
  <c r="T58" i="42"/>
  <c r="Q37" i="42"/>
  <c r="P101" i="42"/>
  <c r="O46" i="42"/>
  <c r="Q31" i="42"/>
  <c r="Q35" i="42"/>
  <c r="Q49" i="42"/>
  <c r="P62" i="58"/>
  <c r="P28" i="42" s="1"/>
  <c r="N89" i="42"/>
  <c r="N10" i="42"/>
  <c r="K36" i="2"/>
  <c r="K47" i="2" s="1"/>
  <c r="T10" i="2"/>
  <c r="T12" i="2" s="1"/>
  <c r="O75" i="2"/>
  <c r="N99" i="2"/>
  <c r="M9" i="53"/>
  <c r="M24" i="53" s="1"/>
  <c r="M28" i="53"/>
  <c r="M36" i="53" s="1"/>
  <c r="S12" i="42"/>
  <c r="L28" i="53"/>
  <c r="L36" i="53" s="1"/>
  <c r="M62" i="58"/>
  <c r="M28" i="42" s="1"/>
  <c r="S40" i="42"/>
  <c r="O12" i="42"/>
  <c r="Q24" i="2"/>
  <c r="O10" i="2"/>
  <c r="O12" i="2" s="1"/>
  <c r="N97" i="2"/>
  <c r="L100" i="2"/>
  <c r="M61" i="42"/>
  <c r="M67" i="42" s="1"/>
  <c r="S28" i="53"/>
  <c r="J10" i="2"/>
  <c r="L99" i="2"/>
  <c r="U49" i="2"/>
  <c r="U95" i="2"/>
  <c r="F80" i="42"/>
  <c r="S62" i="58"/>
  <c r="S28" i="42" s="1"/>
  <c r="K62" i="58"/>
  <c r="K28" i="42" s="1"/>
  <c r="J62" i="58"/>
  <c r="J28" i="42" s="1"/>
  <c r="K101" i="42"/>
  <c r="M40" i="42"/>
  <c r="K43" i="42"/>
  <c r="F13" i="42"/>
  <c r="R33" i="42"/>
  <c r="O35" i="42"/>
  <c r="P14" i="42"/>
  <c r="Q46" i="42"/>
  <c r="N40" i="42"/>
  <c r="N16" i="42"/>
  <c r="U75" i="2"/>
  <c r="Q40" i="42"/>
  <c r="Q23" i="42"/>
  <c r="P31" i="42"/>
  <c r="U104" i="2"/>
  <c r="U108" i="2" s="1"/>
  <c r="F50" i="42"/>
  <c r="F44" i="42"/>
  <c r="F38" i="42"/>
  <c r="Q12" i="42"/>
  <c r="N12" i="42"/>
  <c r="P40" i="42"/>
  <c r="R21" i="42"/>
  <c r="O31" i="42"/>
  <c r="F24" i="42"/>
  <c r="F15" i="42"/>
  <c r="Q10" i="58"/>
  <c r="Q28" i="42" s="1"/>
  <c r="F81" i="42"/>
  <c r="Q101" i="42"/>
  <c r="Q21" i="42"/>
  <c r="N14" i="42"/>
  <c r="S49" i="42"/>
  <c r="S19" i="42"/>
  <c r="S16" i="42"/>
  <c r="J64" i="2"/>
  <c r="J73" i="2" s="1"/>
  <c r="U36" i="2"/>
  <c r="U47" i="2" s="1"/>
  <c r="F91" i="42"/>
  <c r="F29" i="42"/>
  <c r="S43" i="42"/>
  <c r="O49" i="42"/>
  <c r="O19" i="42"/>
  <c r="F75" i="42"/>
  <c r="K58" i="42"/>
  <c r="O43" i="42"/>
  <c r="O16" i="42"/>
  <c r="F95" i="42"/>
  <c r="F47" i="42"/>
  <c r="F41" i="42"/>
  <c r="R49" i="42"/>
  <c r="S1" i="54"/>
  <c r="G10" i="16" s="1"/>
  <c r="M98" i="2" l="1"/>
  <c r="M99" i="2"/>
  <c r="X60" i="2"/>
  <c r="K99" i="2"/>
  <c r="X47" i="2"/>
  <c r="J97" i="2"/>
  <c r="K100" i="2"/>
  <c r="K98" i="2"/>
  <c r="X108" i="2"/>
  <c r="J98" i="2"/>
  <c r="J100" i="2"/>
  <c r="O97" i="2"/>
  <c r="O98" i="2"/>
  <c r="O100" i="2"/>
  <c r="O99" i="2"/>
  <c r="N61" i="42"/>
  <c r="N67" i="42" s="1"/>
  <c r="J12" i="2"/>
  <c r="C16" i="2" a="1"/>
  <c r="C26" i="2" a="1"/>
  <c r="K61" i="42"/>
  <c r="K67" i="42" s="1"/>
  <c r="K68" i="42" s="1" a="1"/>
  <c r="K68" i="42" s="1"/>
  <c r="T13" i="42"/>
  <c r="U97" i="2"/>
  <c r="U99" i="2"/>
  <c r="U98" i="2"/>
  <c r="U100" i="2"/>
  <c r="L68" i="42" l="1" a="1"/>
  <c r="L68" i="42" s="1"/>
  <c r="M68" i="42" a="1"/>
  <c r="M68" i="42" s="1"/>
  <c r="N68" i="42" a="1"/>
  <c r="N68" i="42" s="1"/>
  <c r="C18" i="2"/>
  <c r="C19" i="2"/>
  <c r="C21" i="2"/>
  <c r="C17" i="2"/>
  <c r="C16" i="2"/>
  <c r="J16" i="2" s="1"/>
  <c r="C20" i="2"/>
  <c r="C22" i="2"/>
  <c r="C32" i="2"/>
  <c r="M32" i="2" s="1"/>
  <c r="C30" i="2"/>
  <c r="C26" i="2"/>
  <c r="C31" i="2"/>
  <c r="C29" i="2"/>
  <c r="C28" i="2"/>
  <c r="C27" i="2"/>
  <c r="O32" i="2" l="1"/>
  <c r="T32" i="2"/>
  <c r="J32" i="2"/>
  <c r="E32" i="2"/>
  <c r="R32" i="2"/>
  <c r="Q32" i="2"/>
  <c r="D32" i="2"/>
  <c r="K32" i="2"/>
  <c r="S32" i="2"/>
  <c r="P32" i="2"/>
  <c r="N32" i="2"/>
  <c r="L32" i="2"/>
  <c r="D22" i="2"/>
  <c r="M22" i="2"/>
  <c r="E22" i="2"/>
  <c r="N22" i="2"/>
  <c r="P22" i="2"/>
  <c r="L22" i="2"/>
  <c r="K22" i="2"/>
  <c r="J22" i="2"/>
  <c r="O22" i="2"/>
  <c r="D27" i="2"/>
  <c r="R27" i="2"/>
  <c r="Q27" i="2"/>
  <c r="E27" i="2"/>
  <c r="T27" i="2"/>
  <c r="P27" i="2"/>
  <c r="S27" i="2"/>
  <c r="P20" i="2"/>
  <c r="E20" i="2"/>
  <c r="N20" i="2"/>
  <c r="M20" i="2" s="1"/>
  <c r="M30" i="2" s="1"/>
  <c r="D20" i="2"/>
  <c r="Q26" i="2"/>
  <c r="T26" i="2"/>
  <c r="R26" i="2"/>
  <c r="D26" i="2"/>
  <c r="E26" i="2"/>
  <c r="S26" i="2"/>
  <c r="P26" i="2"/>
  <c r="D19" i="2"/>
  <c r="P19" i="2"/>
  <c r="E19" i="2"/>
  <c r="M19" i="2"/>
  <c r="D28" i="2"/>
  <c r="Q28" i="2"/>
  <c r="E28" i="2"/>
  <c r="S28" i="2"/>
  <c r="T28" i="2"/>
  <c r="R28" i="2"/>
  <c r="P28" i="2"/>
  <c r="E16" i="2"/>
  <c r="P16" i="2"/>
  <c r="J26" i="2"/>
  <c r="D16" i="2"/>
  <c r="R29" i="2"/>
  <c r="E29" i="2"/>
  <c r="T29" i="2"/>
  <c r="D29" i="2"/>
  <c r="Q29" i="2"/>
  <c r="S29" i="2"/>
  <c r="P29" i="2"/>
  <c r="P17" i="2"/>
  <c r="E17" i="2"/>
  <c r="K17" i="2"/>
  <c r="D17" i="2"/>
  <c r="Q31" i="2"/>
  <c r="D31" i="2"/>
  <c r="T31" i="2"/>
  <c r="R31" i="2"/>
  <c r="E31" i="2"/>
  <c r="S31" i="2"/>
  <c r="P31" i="2"/>
  <c r="O21" i="2"/>
  <c r="P21" i="2"/>
  <c r="E21" i="2"/>
  <c r="D21" i="2"/>
  <c r="D30" i="2"/>
  <c r="Q30" i="2"/>
  <c r="R30" i="2"/>
  <c r="E30" i="2"/>
  <c r="T30" i="2"/>
  <c r="P30" i="2"/>
  <c r="S30" i="2"/>
  <c r="P18" i="2"/>
  <c r="L18" i="2"/>
  <c r="E18" i="2"/>
  <c r="D18" i="2"/>
  <c r="L19" i="2" l="1"/>
  <c r="M29" i="2"/>
  <c r="N19" i="2"/>
  <c r="N30" i="2"/>
  <c r="L20" i="2"/>
  <c r="Q95" i="42"/>
  <c r="L93" i="42"/>
  <c r="Q50" i="42"/>
  <c r="Q94" i="42"/>
  <c r="R94" i="42"/>
  <c r="Q93" i="42"/>
  <c r="L94" i="42"/>
  <c r="O20" i="2"/>
  <c r="O30" i="2" s="1"/>
  <c r="O31" i="2"/>
  <c r="L95" i="42"/>
  <c r="R50" i="42"/>
  <c r="K93" i="42"/>
  <c r="T50" i="42"/>
  <c r="N94" i="42"/>
  <c r="J94" i="42"/>
  <c r="K94" i="42"/>
  <c r="O20" i="42"/>
  <c r="O13" i="42"/>
  <c r="O26" i="42" s="1"/>
  <c r="N21" i="2"/>
  <c r="Q20" i="42"/>
  <c r="Q13" i="42"/>
  <c r="Q26" i="42" s="1"/>
  <c r="K95" i="42"/>
  <c r="K29" i="42"/>
  <c r="P50" i="42"/>
  <c r="O29" i="42"/>
  <c r="M29" i="42"/>
  <c r="N93" i="42"/>
  <c r="S20" i="42"/>
  <c r="S13" i="42"/>
  <c r="S26" i="42" s="1"/>
  <c r="J95" i="42"/>
  <c r="S50" i="42"/>
  <c r="P95" i="42"/>
  <c r="J50" i="42"/>
  <c r="S93" i="42"/>
  <c r="M50" i="42"/>
  <c r="S94" i="42"/>
  <c r="S95" i="42"/>
  <c r="J29" i="42"/>
  <c r="P29" i="42"/>
  <c r="M94" i="42"/>
  <c r="O93" i="42"/>
  <c r="R93" i="42"/>
  <c r="T29" i="42"/>
  <c r="S29" i="42"/>
  <c r="M18" i="2"/>
  <c r="M28" i="2" s="1"/>
  <c r="R20" i="42"/>
  <c r="R13" i="42"/>
  <c r="R26" i="42" s="1"/>
  <c r="P20" i="42"/>
  <c r="P13" i="42"/>
  <c r="P26" i="42" s="1"/>
  <c r="N29" i="42"/>
  <c r="R95" i="42"/>
  <c r="N95" i="42"/>
  <c r="Q29" i="42"/>
  <c r="M93" i="42"/>
  <c r="P94" i="42"/>
  <c r="N50" i="42"/>
  <c r="O50" i="42"/>
  <c r="O94" i="42"/>
  <c r="R29" i="42"/>
  <c r="L50" i="42"/>
  <c r="J93" i="42"/>
  <c r="M95" i="42"/>
  <c r="O95" i="42"/>
  <c r="L29" i="42"/>
  <c r="P93" i="42"/>
  <c r="K50" i="42"/>
  <c r="O19" i="2" l="1"/>
  <c r="N29" i="2"/>
  <c r="M21" i="2"/>
  <c r="M31" i="2" s="1"/>
  <c r="N31" i="2"/>
  <c r="N18" i="2"/>
  <c r="Q73" i="42" l="1"/>
  <c r="R73" i="42"/>
  <c r="O72" i="42"/>
  <c r="P72" i="42"/>
  <c r="Q72" i="42"/>
  <c r="R72" i="42"/>
  <c r="S73" i="42"/>
  <c r="P73" i="42"/>
  <c r="O73" i="42"/>
  <c r="S72" i="42"/>
  <c r="L13" i="42"/>
  <c r="M82" i="42"/>
  <c r="N82" i="42"/>
  <c r="J82" i="42"/>
  <c r="K82" i="42"/>
  <c r="L82" i="42"/>
  <c r="O29" i="2"/>
  <c r="O18" i="2"/>
  <c r="N28" i="2"/>
  <c r="M20" i="42"/>
  <c r="M13" i="42"/>
  <c r="M26" i="42" s="1"/>
  <c r="L21" i="2"/>
  <c r="O74" i="42" l="1"/>
  <c r="J41" i="42"/>
  <c r="O44" i="42"/>
  <c r="S41" i="42"/>
  <c r="T47" i="42"/>
  <c r="J47" i="42"/>
  <c r="J44" i="42"/>
  <c r="T44" i="42"/>
  <c r="S47" i="42"/>
  <c r="L47" i="42"/>
  <c r="P44" i="42"/>
  <c r="O47" i="42"/>
  <c r="Q44" i="42"/>
  <c r="K41" i="42"/>
  <c r="K44" i="42"/>
  <c r="M44" i="42"/>
  <c r="L44" i="42"/>
  <c r="O41" i="42"/>
  <c r="N44" i="42"/>
  <c r="R41" i="42"/>
  <c r="N47" i="42"/>
  <c r="P47" i="42"/>
  <c r="R47" i="42"/>
  <c r="L41" i="42"/>
  <c r="R44" i="42"/>
  <c r="S44" i="42"/>
  <c r="T41" i="42"/>
  <c r="M47" i="42"/>
  <c r="M41" i="42"/>
  <c r="P41" i="42"/>
  <c r="K47" i="42"/>
  <c r="N41" i="42"/>
  <c r="Q47" i="42"/>
  <c r="Q41" i="42"/>
  <c r="R38" i="42"/>
  <c r="M38" i="42"/>
  <c r="P38" i="42"/>
  <c r="T38" i="42"/>
  <c r="O38" i="42"/>
  <c r="L38" i="42"/>
  <c r="J38" i="42"/>
  <c r="Q38" i="42"/>
  <c r="K38" i="42"/>
  <c r="N38" i="42"/>
  <c r="S38" i="42"/>
  <c r="R76" i="42"/>
  <c r="O76" i="42"/>
  <c r="O75" i="42"/>
  <c r="Q76" i="42"/>
  <c r="S76" i="42"/>
  <c r="P76" i="42"/>
  <c r="N83" i="42"/>
  <c r="L83" i="42"/>
  <c r="K83" i="42"/>
  <c r="J83" i="42"/>
  <c r="M83" i="42"/>
  <c r="L81" i="42"/>
  <c r="N81" i="42"/>
  <c r="O81" i="42"/>
  <c r="M81" i="42"/>
  <c r="J81" i="42"/>
  <c r="K81" i="42"/>
  <c r="P81" i="42"/>
  <c r="S81" i="42"/>
  <c r="R81" i="42"/>
  <c r="Q81" i="42"/>
  <c r="N13" i="42"/>
  <c r="N26" i="42" s="1"/>
  <c r="N20" i="42"/>
  <c r="L20" i="42"/>
  <c r="L26" i="42"/>
  <c r="O28" i="2"/>
  <c r="M52" i="42" l="1"/>
  <c r="M54" i="42" s="1"/>
  <c r="R52" i="42"/>
  <c r="R54" i="42" s="1"/>
  <c r="S52" i="42"/>
  <c r="S54" i="42" s="1"/>
  <c r="K52" i="42"/>
  <c r="K54" i="42" s="1"/>
  <c r="L52" i="42"/>
  <c r="L54" i="42" s="1"/>
  <c r="O52" i="42"/>
  <c r="O54" i="42" s="1"/>
  <c r="Q52" i="42"/>
  <c r="Q54" i="42" s="1"/>
  <c r="P52" i="42"/>
  <c r="P54" i="42" s="1"/>
  <c r="J31" i="42"/>
  <c r="K104" i="42" l="1"/>
  <c r="K105" i="42" s="1"/>
  <c r="K103" i="42"/>
  <c r="M104" i="42"/>
  <c r="M105" i="42" s="1"/>
  <c r="N104" i="42"/>
  <c r="N105" i="42" s="1"/>
  <c r="M103" i="42"/>
  <c r="N103" i="42"/>
  <c r="L103" i="42"/>
  <c r="L104" i="42"/>
  <c r="L105" i="42" s="1"/>
  <c r="J33" i="42" l="1"/>
  <c r="J52" i="42" s="1"/>
  <c r="J35" i="42"/>
  <c r="T72" i="55"/>
  <c r="K12" i="2"/>
  <c r="L12" i="2"/>
  <c r="L30" i="2" s="1"/>
  <c r="K16" i="2" l="1"/>
  <c r="L16" i="2" s="1"/>
  <c r="J17" i="2"/>
  <c r="T71" i="55"/>
  <c r="K18" i="2"/>
  <c r="J18" i="2" s="1"/>
  <c r="L28" i="2"/>
  <c r="K21" i="2"/>
  <c r="L29" i="2"/>
  <c r="T70" i="55"/>
  <c r="K27" i="2"/>
  <c r="K20" i="2"/>
  <c r="K19" i="2"/>
  <c r="L17" i="2"/>
  <c r="J54" i="42"/>
  <c r="L31" i="2"/>
  <c r="J27" i="2" l="1"/>
  <c r="T80" i="55"/>
  <c r="K26" i="2"/>
  <c r="J20" i="2"/>
  <c r="J30" i="2" s="1"/>
  <c r="K30" i="2"/>
  <c r="L27" i="2"/>
  <c r="M17" i="2"/>
  <c r="K31" i="2"/>
  <c r="J21" i="2"/>
  <c r="J19" i="2"/>
  <c r="K29" i="2"/>
  <c r="K28" i="2"/>
  <c r="K13" i="42"/>
  <c r="K20" i="42"/>
  <c r="T74" i="55"/>
  <c r="G73" i="55"/>
  <c r="J31" i="2" l="1"/>
  <c r="J28" i="2"/>
  <c r="J29" i="2"/>
  <c r="T84" i="55"/>
  <c r="T75" i="55"/>
  <c r="T79" i="55"/>
  <c r="K26" i="42"/>
  <c r="L26" i="2"/>
  <c r="M16" i="2"/>
  <c r="J20" i="42"/>
  <c r="J13" i="42"/>
  <c r="J26" i="42" s="1"/>
  <c r="T73" i="55"/>
  <c r="M27" i="2"/>
  <c r="N17" i="2"/>
  <c r="J58" i="58" l="1"/>
  <c r="J29" i="58"/>
  <c r="X58" i="58"/>
  <c r="T82" i="55"/>
  <c r="M26" i="2"/>
  <c r="N16" i="2"/>
  <c r="O16" i="2" s="1"/>
  <c r="N27" i="2"/>
  <c r="O17" i="2"/>
  <c r="X29" i="58" l="1"/>
  <c r="S1" i="58" s="1"/>
  <c r="G12" i="16" s="1"/>
  <c r="S83" i="42"/>
  <c r="R83" i="42"/>
  <c r="Q83" i="42"/>
  <c r="P83" i="42"/>
  <c r="O83" i="42"/>
  <c r="L29" i="58"/>
  <c r="L21" i="42" s="1"/>
  <c r="J15" i="58"/>
  <c r="O27" i="2"/>
  <c r="M79" i="42"/>
  <c r="N79" i="42"/>
  <c r="K80" i="42"/>
  <c r="J79" i="42"/>
  <c r="N80" i="42"/>
  <c r="K79" i="42"/>
  <c r="M80" i="42"/>
  <c r="J80" i="42"/>
  <c r="L80" i="42"/>
  <c r="L79" i="42"/>
  <c r="T86" i="55"/>
  <c r="N26" i="2"/>
  <c r="L15" i="58" l="1"/>
  <c r="L14" i="42" s="1"/>
  <c r="L15" i="42" s="1"/>
  <c r="Q77" i="42"/>
  <c r="N75" i="42"/>
  <c r="Q92" i="42"/>
  <c r="S77" i="42"/>
  <c r="P92" i="42"/>
  <c r="N91" i="42"/>
  <c r="N92" i="42"/>
  <c r="K75" i="42"/>
  <c r="M91" i="42"/>
  <c r="R77" i="42"/>
  <c r="N77" i="42"/>
  <c r="S92" i="42"/>
  <c r="J75" i="42"/>
  <c r="K92" i="42"/>
  <c r="L75" i="42"/>
  <c r="M75" i="42"/>
  <c r="K91" i="42"/>
  <c r="J92" i="42"/>
  <c r="J91" i="42"/>
  <c r="L92" i="42"/>
  <c r="P77" i="42"/>
  <c r="M77" i="42"/>
  <c r="L91" i="42"/>
  <c r="K77" i="42"/>
  <c r="J77" i="42"/>
  <c r="L77" i="42"/>
  <c r="R92" i="42"/>
  <c r="O77" i="42"/>
  <c r="M92" i="42"/>
  <c r="O92" i="42"/>
  <c r="R74" i="42"/>
  <c r="Q74" i="42"/>
  <c r="L74" i="42"/>
  <c r="P74" i="42"/>
  <c r="S74" i="42"/>
  <c r="N74" i="42"/>
  <c r="J74" i="42"/>
  <c r="M74" i="42"/>
  <c r="K74" i="42"/>
  <c r="L24" i="42"/>
  <c r="K22" i="42"/>
  <c r="J17" i="42"/>
  <c r="P24" i="42"/>
  <c r="M17" i="42"/>
  <c r="M15" i="42"/>
  <c r="O22" i="42"/>
  <c r="T17" i="42"/>
  <c r="N24" i="42"/>
  <c r="J24" i="42"/>
  <c r="R24" i="42"/>
  <c r="R17" i="42"/>
  <c r="Q22" i="42"/>
  <c r="P15" i="42"/>
  <c r="P17" i="42"/>
  <c r="Q24" i="42"/>
  <c r="N15" i="42"/>
  <c r="O15" i="42"/>
  <c r="J15" i="42"/>
  <c r="S24" i="42"/>
  <c r="M24" i="42"/>
  <c r="R15" i="42"/>
  <c r="Q15" i="42"/>
  <c r="K17" i="42"/>
  <c r="M22" i="42"/>
  <c r="T24" i="42"/>
  <c r="O24" i="42"/>
  <c r="T22" i="42"/>
  <c r="L17" i="42"/>
  <c r="R22" i="42"/>
  <c r="P22" i="42"/>
  <c r="Q17" i="42"/>
  <c r="K15" i="42"/>
  <c r="N22" i="42"/>
  <c r="N17" i="42"/>
  <c r="L22" i="42"/>
  <c r="S22" i="42"/>
  <c r="S15" i="42"/>
  <c r="J22" i="42"/>
  <c r="S17" i="42"/>
  <c r="T15" i="42"/>
  <c r="O17" i="42"/>
  <c r="K24" i="42"/>
  <c r="O26" i="2"/>
  <c r="K97" i="42" l="1"/>
  <c r="J85" i="42"/>
  <c r="N97" i="42"/>
  <c r="K85" i="42"/>
  <c r="M85" i="42"/>
  <c r="L85" i="42"/>
  <c r="N85" i="42"/>
  <c r="L97" i="42"/>
  <c r="M97" i="42"/>
  <c r="J97" i="42"/>
  <c r="N31" i="42"/>
  <c r="O36" i="53" l="1"/>
  <c r="O91" i="42"/>
  <c r="S36" i="53"/>
  <c r="S91" i="42"/>
  <c r="N33" i="42"/>
  <c r="Q91" i="42" l="1"/>
  <c r="Q36" i="53"/>
  <c r="P91" i="42"/>
  <c r="P36" i="53"/>
  <c r="R36" i="53"/>
  <c r="R91" i="42"/>
  <c r="N52" i="42"/>
  <c r="N54" i="42" s="1"/>
  <c r="W36" i="53"/>
  <c r="S97" i="42"/>
  <c r="O97" i="42"/>
  <c r="R97" i="42" l="1"/>
  <c r="Q97" i="42"/>
  <c r="P97" i="42"/>
  <c r="S75" i="42"/>
  <c r="R75" i="42"/>
  <c r="P75" i="42"/>
  <c r="Q75" i="42"/>
  <c r="S79" i="2" l="1"/>
  <c r="R79" i="2"/>
  <c r="T81" i="55" l="1"/>
  <c r="T85" i="55" l="1"/>
  <c r="T83" i="55"/>
  <c r="T1" i="55" l="1"/>
  <c r="G11" i="16" s="1"/>
  <c r="O73" i="2" l="1"/>
  <c r="P78" i="2" l="1"/>
  <c r="P73" i="2"/>
  <c r="Q73" i="2" l="1"/>
  <c r="Q78" i="2"/>
  <c r="P101" i="2"/>
  <c r="P100" i="2"/>
  <c r="P97" i="2"/>
  <c r="P98" i="2"/>
  <c r="P99" i="2"/>
  <c r="O61" i="42" l="1"/>
  <c r="R73" i="2"/>
  <c r="Q99" i="2"/>
  <c r="Q98" i="2"/>
  <c r="Q100" i="2"/>
  <c r="Q101" i="2"/>
  <c r="Q97" i="2"/>
  <c r="P61" i="42" s="1"/>
  <c r="R78" i="2"/>
  <c r="P67" i="42" l="1"/>
  <c r="O67" i="42"/>
  <c r="R98" i="2"/>
  <c r="R99" i="2"/>
  <c r="R100" i="2"/>
  <c r="R101" i="2"/>
  <c r="R97" i="2"/>
  <c r="Q61" i="42" s="1"/>
  <c r="S73" i="2"/>
  <c r="S78" i="2"/>
  <c r="T73" i="2"/>
  <c r="X73" i="2" s="1"/>
  <c r="T1" i="2" s="1"/>
  <c r="G13" i="16" s="1"/>
  <c r="P68" i="42" l="1" a="1"/>
  <c r="P68" i="42" s="1"/>
  <c r="O68" i="42" a="1"/>
  <c r="O68" i="42" s="1"/>
  <c r="Q67" i="42"/>
  <c r="T78" i="2"/>
  <c r="T100" i="2" s="1"/>
  <c r="S98" i="2"/>
  <c r="S99" i="2"/>
  <c r="S100" i="2"/>
  <c r="S97" i="2"/>
  <c r="S101" i="2"/>
  <c r="T99" i="2" l="1"/>
  <c r="T101" i="2"/>
  <c r="T98" i="2"/>
  <c r="Q68" i="42" a="1"/>
  <c r="Q68" i="42" s="1"/>
  <c r="R61" i="42"/>
  <c r="T97" i="2"/>
  <c r="S61" i="42" s="1"/>
  <c r="S67" i="42" l="1"/>
  <c r="R67" i="42"/>
  <c r="R68" i="42" l="1" a="1"/>
  <c r="R68" i="42" s="1"/>
  <c r="S68" i="42" a="1"/>
  <c r="S68" i="42" s="1"/>
  <c r="R79" i="42" l="1"/>
  <c r="P79" i="42"/>
  <c r="S79" i="42"/>
  <c r="O79" i="42"/>
  <c r="Q79" i="42"/>
  <c r="O84" i="42" l="1"/>
  <c r="P84" i="42" l="1"/>
  <c r="Q84" i="42" l="1"/>
  <c r="R84" i="42" l="1"/>
  <c r="S84" i="42" l="1"/>
  <c r="O78" i="42" l="1"/>
  <c r="P80" i="42"/>
  <c r="O82" i="42"/>
  <c r="P82" i="42"/>
  <c r="Q82" i="42"/>
  <c r="O80" i="42"/>
  <c r="P78" i="42" l="1"/>
  <c r="P24" i="53"/>
  <c r="O24" i="53"/>
  <c r="O85" i="42"/>
  <c r="Q80" i="42"/>
  <c r="Q78" i="42" l="1"/>
  <c r="Q24" i="53"/>
  <c r="O103" i="42"/>
  <c r="O104" i="42"/>
  <c r="P85" i="42"/>
  <c r="S82" i="42"/>
  <c r="S80" i="42"/>
  <c r="R80" i="42"/>
  <c r="R78" i="42" l="1"/>
  <c r="P104" i="42"/>
  <c r="P103" i="42"/>
  <c r="Q85" i="42"/>
  <c r="R82" i="42"/>
  <c r="Q103" i="42" l="1"/>
  <c r="Q104" i="42"/>
  <c r="S78" i="42"/>
  <c r="S24" i="53"/>
  <c r="W24" i="53" s="1"/>
  <c r="R24" i="53"/>
  <c r="R85" i="42"/>
  <c r="S85" i="42" l="1"/>
  <c r="R104" i="42"/>
  <c r="R103" i="42"/>
  <c r="S103" i="42" l="1"/>
  <c r="S104" i="42"/>
  <c r="O42" i="53" l="1"/>
  <c r="O44" i="53" l="1"/>
  <c r="O105" i="42"/>
  <c r="P42" i="53" l="1"/>
  <c r="P44" i="53" l="1"/>
  <c r="P105" i="42"/>
  <c r="Q42" i="53" l="1"/>
  <c r="R42" i="53" l="1"/>
  <c r="Q44" i="53"/>
  <c r="Q105" i="42"/>
  <c r="S42" i="53" l="1"/>
  <c r="R44" i="53"/>
  <c r="R105" i="42"/>
  <c r="S44" i="53" l="1"/>
  <c r="W44" i="53" s="1"/>
  <c r="S1" i="53" s="1"/>
  <c r="G14" i="16" s="1"/>
  <c r="S1" i="16" s="1"/>
  <c r="S105" i="42"/>
  <c r="X1" i="2" l="1"/>
  <c r="W1" i="55"/>
  <c r="V1" i="54"/>
  <c r="W1" i="58"/>
  <c r="V1" i="53"/>
  <c r="W1" i="42"/>
  <c r="V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<sst xmlns="http://schemas.openxmlformats.org/spreadsheetml/2006/main" count="730" uniqueCount="212">
  <si>
    <t>Step changes</t>
  </si>
  <si>
    <t>AER opex model v1.8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</si>
  <si>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</si>
  <si>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</si>
  <si>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</si>
  <si>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</si>
  <si>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</si>
  <si>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</si>
  <si>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</si>
  <si>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</si>
  <si>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</si>
  <si>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</si>
  <si>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</si>
  <si>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</si>
  <si>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</si>
  <si>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</si>
  <si>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</si>
  <si>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</si>
  <si>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</si>
  <si>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</si>
  <si>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</si>
  <si>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</si>
  <si>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</si>
  <si>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Actual</t>
  </si>
  <si>
    <t>GSLs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</si>
  <si>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</si>
  <si>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</si>
  <si>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</si>
  <si>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</si>
  <si>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</si>
  <si>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</si>
  <si>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</si>
  <si>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</si>
  <si>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</si>
  <si>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</si>
  <si>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</si>
  <si>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</si>
  <si>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</si>
  <si>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Decision stage</t>
  </si>
  <si>
    <t>AER</t>
  </si>
  <si>
    <t>draft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</si>
  <si>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</si>
  <si>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</si>
  <si>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</si>
  <si>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</si>
  <si>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</si>
  <si>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</si>
  <si>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</si>
  <si>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</si>
  <si>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</si>
  <si>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</si>
  <si>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</si>
  <si>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</si>
  <si>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</si>
  <si>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</si>
  <si>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</si>
  <si>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</si>
  <si>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</si>
  <si>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</si>
  <si>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$millions</t>
  </si>
  <si>
    <t>Allowances related to category specific forecasts</t>
  </si>
  <si>
    <t>GSL payments</t>
  </si>
  <si>
    <t>Innovation</t>
  </si>
  <si>
    <t>Debt raising cost</t>
  </si>
  <si>
    <t>Total opex, categories forecast specifically</t>
  </si>
  <si>
    <t>Estimate</t>
  </si>
  <si>
    <t>RIN</t>
  </si>
  <si>
    <t>nominal</t>
  </si>
  <si>
    <t>Categories of opex to be excluded from forecast opex (excluding category specific forecasts)</t>
  </si>
  <si>
    <t>Movement in provisions</t>
  </si>
  <si>
    <t>Innovation fund</t>
  </si>
  <si>
    <t>Total opex to be trended</t>
  </si>
  <si>
    <t>Expenditure related to category specific forecasts</t>
  </si>
  <si>
    <t>Input | Adjustments</t>
  </si>
  <si>
    <t>Adjustment</t>
  </si>
  <si>
    <t>External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</si>
  <si>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</si>
  <si>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</si>
  <si>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</si>
  <si>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</si>
  <si>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</si>
  <si>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</si>
  <si>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</si>
  <si>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</si>
  <si>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</si>
  <si>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external</t>
  </si>
  <si>
    <t>WPI - Average</t>
  </si>
  <si>
    <t>CPI</t>
  </si>
  <si>
    <t>Check</t>
  </si>
  <si>
    <t>Ok/Check</t>
  </si>
  <si>
    <t>n/a</t>
  </si>
  <si>
    <t>Weights</t>
  </si>
  <si>
    <t>Input | Forecast output growth</t>
  </si>
  <si>
    <t>Output measure</t>
  </si>
  <si>
    <t>Customer numbers (#)</t>
  </si>
  <si>
    <t>number</t>
  </si>
  <si>
    <t>Circuit Length (km)</t>
  </si>
  <si>
    <t>Ratcheted Maximum Demand (MW)</t>
  </si>
  <si>
    <t>Growth rate</t>
  </si>
  <si>
    <t>Output weights</t>
  </si>
  <si>
    <t>SFA CD</t>
  </si>
  <si>
    <t>LSE CD</t>
  </si>
  <si>
    <t>LSE TLG</t>
  </si>
  <si>
    <t>SFA TLG</t>
  </si>
  <si>
    <t>Forecast output growth</t>
  </si>
  <si>
    <t>Input | Forecast productivity</t>
  </si>
  <si>
    <t>Partial factor productivity</t>
  </si>
  <si>
    <t>Input |Step changes</t>
  </si>
  <si>
    <t>Step change</t>
  </si>
  <si>
    <t>Input | Category specifc forecasts</t>
  </si>
  <si>
    <t>Category specific forecasts</t>
  </si>
  <si>
    <t>Input | Debt raising costs</t>
  </si>
  <si>
    <t>Debt Raising Costs</t>
  </si>
  <si>
    <t>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</si>
  <si>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</si>
  <si>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</si>
  <si>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</si>
  <si>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</si>
  <si>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</si>
  <si>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</si>
  <si>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</si>
  <si>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</si>
  <si>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</si>
  <si>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</si>
  <si>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</si>
  <si>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</si>
  <si>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</si>
  <si>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</si>
  <si>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</si>
  <si>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</si>
  <si>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</si>
  <si>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</t>
  </si>
  <si>
    <t>Forecast productivity change</t>
  </si>
  <si>
    <t>Forecast rate of change, year-on-year</t>
  </si>
  <si>
    <t>Forecast rate of change, cumulative</t>
  </si>
  <si>
    <t>Calc | Step changes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</si>
  <si>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</si>
  <si>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</si>
  <si>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</si>
  <si>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</si>
  <si>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</si>
  <si>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</si>
  <si>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</si>
  <si>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Unit Denominations</t>
  </si>
  <si>
    <t>Ref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</si>
  <si>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</si>
  <si>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</si>
  <si>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</si>
  <si>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</si>
  <si>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</si>
  <si>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</si>
  <si>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</si>
  <si>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</si>
  <si>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</si>
  <si>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</si>
  <si>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</si>
  <si>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</si>
  <si>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</si>
  <si>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</si>
  <si>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</si>
  <si>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</si>
  <si>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</si>
  <si>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</si>
  <si>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</si>
  <si>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</si>
  <si>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</si>
  <si>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</si>
  <si>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</si>
  <si>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</si>
  <si>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</si>
  <si>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</si>
  <si>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AN: added this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</si>
  <si>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</si>
  <si>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</si>
  <si>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</si>
  <si>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</si>
  <si>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</si>
  <si>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</si>
  <si>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</si>
  <si>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</si>
  <si>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</si>
  <si>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</si>
  <si>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</si>
  <si>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</si>
  <si>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</si>
  <si>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</si>
  <si>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</si>
  <si>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</si>
  <si>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</si>
  <si>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GSL payments (June 2021 Storms)</t>
  </si>
  <si>
    <t>Fleet Electrification</t>
  </si>
  <si>
    <t>Resilience (Hazard tree program)</t>
  </si>
  <si>
    <t>-</t>
  </si>
  <si>
    <t>Adjustment - Corporate Overheads</t>
  </si>
  <si>
    <t>WPI - Oxford Economics</t>
  </si>
  <si>
    <t>GSLs (February 2024 Storms)</t>
  </si>
  <si>
    <t xml:space="preserve">Preparedness and Response </t>
  </si>
  <si>
    <t xml:space="preserve">ESV more frequent pole inspections </t>
  </si>
  <si>
    <t xml:space="preserve">EFD Rollout </t>
  </si>
  <si>
    <t>Flexible services and non-network solutions</t>
  </si>
  <si>
    <t>Digital (SaaS, Licenses, etc.)</t>
  </si>
  <si>
    <t>Emergency Backstop Mechanism</t>
  </si>
  <si>
    <t>Customer relationship management and broad communications</t>
  </si>
  <si>
    <t>Digital Efficiencies</t>
  </si>
  <si>
    <t>AusNet</t>
  </si>
  <si>
    <t xml:space="preserve">Adjustment - Property </t>
  </si>
  <si>
    <t>Insurance</t>
  </si>
  <si>
    <t>Source: RBA Statement of Monetary Policy, Nov 2024</t>
  </si>
  <si>
    <t>AEMO Fees</t>
  </si>
  <si>
    <t>DMIA (Opex)</t>
  </si>
  <si>
    <t>WPI - Deloitte Aus</t>
  </si>
  <si>
    <t>Based on the RBA's LT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</si>
</sst>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/mmm"/>
    <numFmt numFmtId="170" formatCode="_(#,##0_);\(#,##0\);_(&quot;-&quot;_)"/>
    <numFmt numFmtId="171" formatCode="_(#,##0.00%_);\(#,##0.00%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#,##0_);\(#,##0\);\-\-_)"/>
    <numFmt numFmtId="205" formatCode="###\ ##0.00;\-###\ ##0.00;&quot;-&quot;"/>
    <numFmt numFmtId="206" formatCode="####\ ##0.00;\-####\ ##0.00;&quot;-&quot;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0">
    <xf numFmtId="0" fontId="0" fillId="0" borderId="0"/>
    <xf numFmtId="169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0" fontId="15" fillId="0" borderId="5">
      <alignment horizontal="right" vertical="center"/>
      <protection locked="0"/>
    </xf>
    <xf numFmtId="167" fontId="13" fillId="0" borderId="0" applyFon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7" fontId="15" fillId="0" borderId="0"/>
    <xf numFmtId="177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4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5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79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1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82" fontId="22" fillId="6" borderId="0" applyFont="0" applyBorder="0">
      <alignment horizontal="right"/>
      <protection locked="0"/>
    </xf>
    <xf numFmtId="182" fontId="22" fillId="6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3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4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5" fontId="22" fillId="0" borderId="0" applyFill="0" applyBorder="0"/>
    <xf numFmtId="185" fontId="22" fillId="0" borderId="0" applyFill="0" applyBorder="0"/>
    <xf numFmtId="185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6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7" fontId="22" fillId="0" borderId="0"/>
    <xf numFmtId="187" fontId="22" fillId="0" borderId="0"/>
    <xf numFmtId="187" fontId="22" fillId="0" borderId="0"/>
    <xf numFmtId="188" fontId="15" fillId="0" borderId="0" applyFill="0" applyBorder="0">
      <alignment horizontal="right" vertical="center"/>
    </xf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3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191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5" fillId="42" borderId="0"/>
    <xf numFmtId="201" fontId="76" fillId="0" borderId="23">
      <alignment horizontal="center"/>
    </xf>
    <xf numFmtId="0" fontId="77" fillId="43" borderId="6">
      <alignment horizontal="center" vertical="center"/>
    </xf>
    <xf numFmtId="0" fontId="22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2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4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3" fillId="0" borderId="0"/>
    <xf numFmtId="0" fontId="91" fillId="50" borderId="29">
      <alignment vertical="center"/>
    </xf>
    <xf numFmtId="167" fontId="13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2" fillId="0" borderId="0"/>
    <xf numFmtId="9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0" fontId="2" fillId="0" borderId="0"/>
    <xf numFmtId="167" fontId="92" fillId="0" borderId="0" applyFont="0" applyFill="0" applyBorder="0" applyAlignment="0" applyProtection="0"/>
    <xf numFmtId="0" fontId="92" fillId="0" borderId="0"/>
    <xf numFmtId="204" fontId="22" fillId="0" borderId="0" applyFill="0" applyBorder="0">
      <alignment vertical="center"/>
    </xf>
    <xf numFmtId="0" fontId="93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2" fillId="53" borderId="0" applyFont="0" applyBorder="0" applyAlignment="0">
      <alignment horizontal="right"/>
      <protection locked="0"/>
    </xf>
    <xf numFmtId="41" fontId="22" fillId="10" borderId="0" applyFont="0" applyBorder="0">
      <alignment horizontal="right"/>
      <protection locked="0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3" fillId="0" borderId="0"/>
    <xf numFmtId="0" fontId="1" fillId="0" borderId="0"/>
    <xf numFmtId="0" fontId="84" fillId="54" borderId="0">
      <alignment horizontal="left" vertical="center"/>
      <protection locked="0"/>
    </xf>
    <xf numFmtId="0" fontId="94" fillId="50" borderId="0">
      <alignment vertical="center"/>
      <protection locked="0"/>
    </xf>
    <xf numFmtId="0" fontId="22" fillId="0" borderId="0" applyFill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5" fillId="50" borderId="0">
      <alignment vertical="center"/>
      <protection locked="0"/>
    </xf>
  </cellStyleXfs>
  <cellXfs count="189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7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72" fontId="15" fillId="0" borderId="0" xfId="5" applyNumberFormat="1" applyBorder="1" applyAlignment="1" applyProtection="1">
      <alignment horizontal="center" vertical="center"/>
    </xf>
    <xf numFmtId="173" fontId="12" fillId="0" borderId="0" xfId="5" applyNumberFormat="1" applyFont="1" applyBorder="1" applyAlignment="1" applyProtection="1">
      <alignment horizontal="center" vertical="center"/>
    </xf>
    <xf numFmtId="173" fontId="20" fillId="0" borderId="0" xfId="5" applyNumberFormat="1" applyFont="1" applyBorder="1" applyAlignment="1" applyProtection="1">
      <alignment horizontal="center" vertical="center"/>
    </xf>
    <xf numFmtId="174" fontId="6" fillId="0" borderId="0" xfId="0" applyNumberFormat="1" applyFont="1"/>
    <xf numFmtId="176" fontId="15" fillId="0" borderId="0" xfId="5" applyNumberFormat="1" applyBorder="1" applyAlignment="1" applyProtection="1">
      <alignment horizontal="center" vertical="center"/>
    </xf>
    <xf numFmtId="168" fontId="7" fillId="3" borderId="0" xfId="0" applyNumberFormat="1" applyFont="1" applyFill="1" applyAlignment="1">
      <alignment horizontal="center"/>
    </xf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" fontId="6" fillId="41" borderId="3" xfId="0" applyNumberFormat="1" applyFont="1" applyFill="1" applyBorder="1" applyAlignment="1" applyProtection="1">
      <alignment horizontal="center"/>
      <protection locked="0"/>
    </xf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0" fontId="6" fillId="41" borderId="3" xfId="2" applyNumberFormat="1" applyFont="1" applyFill="1" applyBorder="1" applyAlignment="1" applyProtection="1">
      <alignment horizontal="center"/>
      <protection locked="0"/>
    </xf>
    <xf numFmtId="49" fontId="6" fillId="41" borderId="3" xfId="0" applyNumberFormat="1" applyFont="1" applyFill="1" applyBorder="1" applyAlignment="1" applyProtection="1">
      <alignment horizontal="left" indent="1"/>
      <protection locked="0"/>
    </xf>
    <xf numFmtId="168" fontId="18" fillId="0" borderId="0" xfId="0" applyNumberFormat="1" applyFont="1" applyAlignment="1">
      <alignment horizontal="center" wrapText="1"/>
    </xf>
    <xf numFmtId="192" fontId="6" fillId="41" borderId="3" xfId="0" applyNumberFormat="1" applyFont="1" applyFill="1" applyBorder="1" applyAlignment="1" applyProtection="1">
      <alignment horizontal="center"/>
      <protection locked="0"/>
    </xf>
    <xf numFmtId="196" fontId="6" fillId="0" borderId="0" xfId="0" applyNumberFormat="1" applyFont="1" applyAlignment="1">
      <alignment horizontal="left"/>
    </xf>
    <xf numFmtId="194" fontId="6" fillId="0" borderId="0" xfId="0" applyNumberFormat="1" applyFont="1"/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6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7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7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4" fontId="8" fillId="0" borderId="0" xfId="0" applyNumberFormat="1" applyFont="1" applyAlignment="1">
      <alignment horizontal="center"/>
    </xf>
    <xf numFmtId="200" fontId="6" fillId="0" borderId="0" xfId="0" applyNumberFormat="1" applyFont="1" applyAlignment="1">
      <alignment horizontal="center"/>
    </xf>
    <xf numFmtId="200" fontId="8" fillId="0" borderId="0" xfId="0" applyNumberFormat="1" applyFont="1" applyAlignment="1">
      <alignment horizontal="center"/>
    </xf>
    <xf numFmtId="198" fontId="12" fillId="0" borderId="4" xfId="5" applyNumberFormat="1" applyFont="1" applyBorder="1" applyAlignment="1" applyProtection="1">
      <alignment horizontal="center" vertical="center"/>
    </xf>
    <xf numFmtId="49" fontId="7" fillId="41" borderId="22" xfId="0" applyNumberFormat="1" applyFont="1" applyFill="1" applyBorder="1" applyAlignment="1" applyProtection="1">
      <alignment horizontal="center"/>
      <protection locked="0"/>
    </xf>
    <xf numFmtId="167" fontId="12" fillId="0" borderId="3" xfId="0" applyNumberFormat="1" applyFont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68" fontId="8" fillId="0" borderId="4" xfId="0" applyNumberFormat="1" applyFont="1" applyBorder="1" applyAlignment="1">
      <alignment horizontal="left"/>
    </xf>
    <xf numFmtId="168" fontId="7" fillId="0" borderId="4" xfId="0" applyNumberFormat="1" applyFont="1" applyBorder="1" applyAlignment="1">
      <alignment horizontal="center"/>
    </xf>
    <xf numFmtId="167" fontId="6" fillId="0" borderId="0" xfId="0" applyNumberFormat="1" applyFont="1"/>
    <xf numFmtId="10" fontId="6" fillId="0" borderId="0" xfId="2" applyNumberFormat="1" applyFont="1" applyBorder="1" applyAlignment="1" applyProtection="1">
      <alignment horizontal="center"/>
    </xf>
    <xf numFmtId="168" fontId="7" fillId="0" borderId="0" xfId="6" applyNumberFormat="1" applyFont="1" applyAlignment="1" applyProtection="1">
      <alignment horizontal="center"/>
    </xf>
    <xf numFmtId="171" fontId="15" fillId="0" borderId="0" xfId="2" applyNumberFormat="1" applyFont="1" applyFill="1" applyBorder="1" applyAlignment="1" applyProtection="1">
      <alignment horizontal="center" vertical="center"/>
    </xf>
    <xf numFmtId="175" fontId="6" fillId="0" borderId="0" xfId="0" applyNumberFormat="1" applyFont="1"/>
    <xf numFmtId="168" fontId="6" fillId="0" borderId="0" xfId="0" applyNumberFormat="1" applyFont="1" applyAlignment="1">
      <alignment horizontal="left"/>
    </xf>
    <xf numFmtId="193" fontId="6" fillId="8" borderId="3" xfId="0" applyNumberFormat="1" applyFont="1" applyFill="1" applyBorder="1" applyAlignment="1">
      <alignment horizontal="left" indent="1"/>
    </xf>
    <xf numFmtId="195" fontId="7" fillId="41" borderId="3" xfId="2" applyNumberFormat="1" applyFont="1" applyFill="1" applyBorder="1" applyAlignment="1" applyProtection="1">
      <alignment horizontal="center"/>
      <protection locked="0"/>
    </xf>
    <xf numFmtId="199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2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3" fontId="74" fillId="39" borderId="4" xfId="0" applyNumberFormat="1" applyFont="1" applyFill="1" applyBorder="1" applyAlignment="1">
      <alignment horizontal="center" wrapText="1"/>
    </xf>
    <xf numFmtId="203" fontId="90" fillId="38" borderId="2" xfId="0" applyNumberFormat="1" applyFont="1" applyFill="1" applyBorder="1" applyAlignment="1">
      <alignment horizontal="center"/>
    </xf>
    <xf numFmtId="203" fontId="74" fillId="38" borderId="2" xfId="0" applyNumberFormat="1" applyFont="1" applyFill="1" applyBorder="1" applyAlignment="1">
      <alignment horizontal="left"/>
    </xf>
    <xf numFmtId="203" fontId="8" fillId="0" borderId="7" xfId="0" applyNumberFormat="1" applyFont="1" applyBorder="1" applyAlignment="1">
      <alignment horizontal="center"/>
    </xf>
    <xf numFmtId="203" fontId="6" fillId="0" borderId="0" xfId="0" applyNumberFormat="1" applyFont="1" applyAlignment="1">
      <alignment horizontal="left" indent="1"/>
    </xf>
    <xf numFmtId="203" fontId="7" fillId="0" borderId="0" xfId="0" applyNumberFormat="1" applyFont="1" applyAlignment="1">
      <alignment horizontal="center"/>
    </xf>
    <xf numFmtId="203" fontId="7" fillId="41" borderId="22" xfId="0" applyNumberFormat="1" applyFont="1" applyFill="1" applyBorder="1" applyAlignment="1" applyProtection="1">
      <alignment horizontal="center"/>
      <protection locked="0"/>
    </xf>
    <xf numFmtId="203" fontId="8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center"/>
      <protection locked="0"/>
    </xf>
    <xf numFmtId="168" fontId="14" fillId="0" borderId="0" xfId="3" applyNumberFormat="1" applyAlignment="1" applyProtection="1">
      <alignment horizontal="center"/>
    </xf>
    <xf numFmtId="10" fontId="6" fillId="41" borderId="26" xfId="2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Border="1" applyAlignment="1" applyProtection="1">
      <alignment horizontal="center"/>
      <protection locked="0"/>
    </xf>
    <xf numFmtId="195" fontId="6" fillId="0" borderId="0" xfId="2" applyNumberFormat="1" applyFont="1" applyFill="1" applyBorder="1" applyAlignment="1" applyProtection="1">
      <alignment horizontal="center"/>
      <protection locked="0"/>
    </xf>
    <xf numFmtId="203" fontId="6" fillId="41" borderId="3" xfId="2" applyNumberFormat="1" applyFont="1" applyFill="1" applyBorder="1" applyAlignment="1" applyProtection="1">
      <alignment horizontal="center"/>
      <protection locked="0"/>
    </xf>
    <xf numFmtId="0" fontId="74" fillId="38" borderId="27" xfId="0" applyFont="1" applyFill="1" applyBorder="1"/>
    <xf numFmtId="203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3" fontId="7" fillId="0" borderId="7" xfId="0" applyNumberFormat="1" applyFont="1" applyBorder="1" applyAlignment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3" fontId="6" fillId="0" borderId="3" xfId="0" applyNumberFormat="1" applyFont="1" applyBorder="1" applyAlignment="1" applyProtection="1">
      <alignment horizontal="center"/>
      <protection locked="0"/>
    </xf>
    <xf numFmtId="2" fontId="12" fillId="0" borderId="4" xfId="5" applyNumberFormat="1" applyFont="1" applyBorder="1" applyAlignment="1" applyProtection="1">
      <alignment horizontal="center" vertical="center"/>
    </xf>
    <xf numFmtId="0" fontId="14" fillId="38" borderId="0" xfId="3" applyFill="1" applyBorder="1" applyAlignment="1" applyProtection="1">
      <alignment horizontal="right"/>
    </xf>
    <xf numFmtId="194" fontId="6" fillId="0" borderId="0" xfId="0" applyNumberFormat="1" applyFont="1" applyProtection="1">
      <protection locked="0"/>
    </xf>
    <xf numFmtId="194" fontId="8" fillId="0" borderId="0" xfId="0" applyNumberFormat="1" applyFont="1" applyProtection="1">
      <protection locked="0"/>
    </xf>
    <xf numFmtId="49" fontId="7" fillId="0" borderId="22" xfId="0" applyNumberFormat="1" applyFont="1" applyBorder="1" applyAlignment="1">
      <alignment horizontal="center"/>
    </xf>
    <xf numFmtId="203" fontId="7" fillId="0" borderId="22" xfId="0" applyNumberFormat="1" applyFont="1" applyBorder="1" applyAlignment="1">
      <alignment horizontal="center"/>
    </xf>
    <xf numFmtId="10" fontId="6" fillId="0" borderId="0" xfId="2" applyNumberFormat="1" applyFont="1" applyFill="1" applyBorder="1" applyAlignment="1" applyProtection="1">
      <alignment horizontal="center"/>
    </xf>
    <xf numFmtId="181" fontId="6" fillId="0" borderId="0" xfId="2" applyNumberFormat="1" applyFont="1" applyAlignment="1" applyProtection="1">
      <alignment horizontal="center"/>
      <protection locked="0"/>
    </xf>
    <xf numFmtId="173" fontId="12" fillId="0" borderId="0" xfId="5" applyNumberFormat="1" applyFont="1" applyBorder="1" applyAlignment="1">
      <alignment horizontal="center" vertical="center"/>
      <protection locked="0"/>
    </xf>
    <xf numFmtId="168" fontId="15" fillId="0" borderId="0" xfId="5" applyNumberFormat="1" applyBorder="1" applyAlignment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left" indent="1"/>
      <protection locked="0"/>
    </xf>
    <xf numFmtId="203" fontId="6" fillId="0" borderId="0" xfId="2" applyNumberFormat="1" applyFont="1" applyFill="1" applyBorder="1" applyAlignment="1" applyProtection="1">
      <alignment horizontal="center"/>
      <protection locked="0"/>
    </xf>
    <xf numFmtId="181" fontId="6" fillId="0" borderId="0" xfId="2" applyNumberFormat="1" applyFont="1" applyFill="1" applyBorder="1" applyAlignment="1" applyProtection="1">
      <alignment horizontal="center"/>
      <protection locked="0"/>
    </xf>
    <xf numFmtId="203" fontId="7" fillId="0" borderId="22" xfId="0" applyNumberFormat="1" applyFont="1" applyBorder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3" fontId="19" fillId="8" borderId="9" xfId="0" applyNumberFormat="1" applyFont="1" applyFill="1" applyBorder="1" applyAlignment="1" applyProtection="1">
      <alignment horizontal="center"/>
      <protection locked="0"/>
    </xf>
    <xf numFmtId="10" fontId="15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Protection="1">
      <protection locked="0"/>
    </xf>
    <xf numFmtId="203" fontId="15" fillId="8" borderId="9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3" fontId="6" fillId="0" borderId="0" xfId="0" applyNumberFormat="1" applyFont="1" applyAlignment="1" applyProtection="1">
      <alignment horizontal="center"/>
      <protection locked="0"/>
    </xf>
    <xf numFmtId="168" fontId="7" fillId="41" borderId="3" xfId="0" applyNumberFormat="1" applyFont="1" applyFill="1" applyBorder="1" applyAlignment="1">
      <alignment horizontal="center"/>
    </xf>
    <xf numFmtId="203" fontId="7" fillId="41" borderId="3" xfId="0" applyNumberFormat="1" applyFont="1" applyFill="1" applyBorder="1" applyAlignment="1">
      <alignment horizontal="center"/>
    </xf>
    <xf numFmtId="0" fontId="72" fillId="38" borderId="0" xfId="3" applyFont="1" applyFill="1" applyBorder="1" applyAlignment="1" applyProtection="1"/>
    <xf numFmtId="168" fontId="6" fillId="51" borderId="3" xfId="0" applyNumberFormat="1" applyFont="1" applyFill="1" applyBorder="1" applyAlignment="1" applyProtection="1">
      <alignment horizontal="left" indent="1"/>
      <protection locked="0"/>
    </xf>
    <xf numFmtId="0" fontId="6" fillId="41" borderId="3" xfId="0" applyFont="1" applyFill="1" applyBorder="1" applyAlignment="1" applyProtection="1">
      <alignment horizontal="left" indent="1"/>
      <protection locked="0"/>
    </xf>
    <xf numFmtId="193" fontId="8" fillId="40" borderId="28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Protection="1"/>
    <xf numFmtId="192" fontId="6" fillId="52" borderId="3" xfId="0" applyNumberFormat="1" applyFont="1" applyFill="1" applyBorder="1" applyAlignment="1" applyProtection="1">
      <alignment horizontal="center"/>
      <protection locked="0"/>
    </xf>
    <xf numFmtId="10" fontId="6" fillId="0" borderId="0" xfId="2" applyNumberFormat="1" applyFont="1" applyFill="1" applyProtection="1">
      <protection locked="0"/>
    </xf>
    <xf numFmtId="168" fontId="6" fillId="0" borderId="0" xfId="0" applyNumberFormat="1" applyFont="1" applyAlignment="1">
      <alignment horizontal="right"/>
    </xf>
    <xf numFmtId="181" fontId="6" fillId="0" borderId="0" xfId="2" applyNumberFormat="1" applyFont="1" applyAlignment="1" applyProtection="1">
      <alignment horizontal="left"/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6" fillId="0" borderId="0" xfId="2" applyNumberFormat="1" applyFont="1" applyFill="1" applyProtection="1"/>
    <xf numFmtId="10" fontId="6" fillId="0" borderId="0" xfId="2" applyNumberFormat="1" applyFont="1" applyFill="1" applyAlignment="1" applyProtection="1">
      <alignment horizontal="center"/>
    </xf>
    <xf numFmtId="203" fontId="8" fillId="0" borderId="0" xfId="0" applyNumberFormat="1" applyFont="1" applyAlignment="1">
      <alignment horizontal="left"/>
    </xf>
    <xf numFmtId="10" fontId="6" fillId="38" borderId="0" xfId="2" applyNumberFormat="1" applyFont="1" applyFill="1" applyAlignment="1" applyProtection="1">
      <alignment horizontal="center"/>
    </xf>
    <xf numFmtId="194" fontId="6" fillId="38" borderId="0" xfId="0" applyNumberFormat="1" applyFont="1" applyFill="1" applyProtection="1">
      <protection locked="0"/>
    </xf>
    <xf numFmtId="168" fontId="6" fillId="38" borderId="0" xfId="0" applyNumberFormat="1" applyFont="1" applyFill="1"/>
    <xf numFmtId="10" fontId="6" fillId="38" borderId="0" xfId="2" applyNumberFormat="1" applyFont="1" applyFill="1" applyProtection="1"/>
    <xf numFmtId="192" fontId="6" fillId="40" borderId="3" xfId="0" applyNumberFormat="1" applyFont="1" applyFill="1" applyBorder="1" applyAlignment="1" applyProtection="1">
      <alignment horizontal="center"/>
      <protection locked="0"/>
    </xf>
    <xf numFmtId="2" fontId="6" fillId="52" borderId="0" xfId="0" applyNumberFormat="1" applyFont="1" applyFill="1" applyAlignment="1" applyProtection="1">
      <alignment horizontal="center"/>
      <protection locked="0"/>
    </xf>
    <xf numFmtId="195" fontId="6" fillId="55" borderId="0" xfId="2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00" fontId="6" fillId="0" borderId="0" xfId="0" applyNumberFormat="1" applyFont="1" applyAlignment="1">
      <alignment horizontal="left"/>
    </xf>
    <xf numFmtId="195" fontId="6" fillId="52" borderId="0" xfId="2" applyNumberFormat="1" applyFont="1" applyFill="1" applyBorder="1" applyAlignment="1" applyProtection="1">
      <alignment horizontal="center"/>
      <protection locked="0"/>
    </xf>
    <xf numFmtId="205" fontId="6" fillId="0" borderId="0" xfId="0" applyNumberFormat="1" applyFont="1" applyAlignment="1">
      <alignment horizontal="center"/>
    </xf>
    <xf numFmtId="206" fontId="6" fillId="0" borderId="0" xfId="0" applyNumberFormat="1" applyFont="1" applyAlignment="1">
      <alignment horizontal="center"/>
    </xf>
    <xf numFmtId="2" fontId="6" fillId="0" borderId="0" xfId="0" applyNumberFormat="1" applyFont="1" applyAlignment="1" applyProtection="1">
      <alignment horizontal="left"/>
      <protection locked="0"/>
    </xf>
    <xf numFmtId="195" fontId="6" fillId="0" borderId="0" xfId="2" applyNumberFormat="1" applyFont="1" applyFill="1" applyBorder="1" applyAlignment="1" applyProtection="1">
      <alignment horizontal="left"/>
      <protection locked="0"/>
    </xf>
    <xf numFmtId="181" fontId="6" fillId="0" borderId="0" xfId="2" applyNumberFormat="1" applyFont="1" applyFill="1" applyAlignment="1" applyProtection="1">
      <alignment horizontal="left"/>
      <protection locked="0"/>
    </xf>
    <xf numFmtId="0" fontId="74" fillId="38" borderId="2" xfId="0" applyFont="1" applyFill="1" applyBorder="1" applyAlignment="1">
      <alignment horizontal="center"/>
    </xf>
    <xf numFmtId="168" fontId="6" fillId="0" borderId="0" xfId="0" applyNumberFormat="1" applyFont="1" applyFill="1"/>
    <xf numFmtId="0" fontId="0" fillId="0" borderId="0" xfId="0" applyFill="1"/>
    <xf numFmtId="168" fontId="6" fillId="0" borderId="0" xfId="0" applyNumberFormat="1" applyFont="1" applyFill="1" applyAlignment="1">
      <alignment horizontal="left"/>
    </xf>
  </cellXfs>
  <cellStyles count="330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1" xfId="306" xr:uid="{5A1D4BCC-4446-4C82-8174-C398487D05D0}"/>
    <cellStyle name="Comma 12" xfId="328" xr:uid="{424E6CBA-72CD-4A1F-95CB-12A0290310DD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2 7" xfId="326" xr:uid="{3335DFE6-8C1E-4A39-9F2A-AE1A0C24520E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3 4" xfId="323" xr:uid="{DF562096-CD26-46D6-B295-DDEF7208A798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2 3" xfId="311" xr:uid="{3EBA174C-C589-4A9C-958D-11BBE17AAE91}"/>
    <cellStyle name="Currency 2 3" xfId="283" xr:uid="{00000000-0005-0000-0000-00006A000000}"/>
    <cellStyle name="Currency 2 3 2" xfId="312" xr:uid="{A5FB8AC6-242D-4145-AD80-C33E7D839391}"/>
    <cellStyle name="Currency 2 4" xfId="327" xr:uid="{3FF4B43F-DD70-4B39-972E-AE6BE88959F9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Currency 7" xfId="307" xr:uid="{507B4EA2-514E-4219-B50B-8BA5D697433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1 4" xfId="308" xr:uid="{E43BC341-3A3A-4016-B244-1E151A6CA595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3 4" xfId="309" xr:uid="{D3EA821C-815A-4232-B365-05C6D26B9188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2 2" xfId="319" xr:uid="{9E674813-2ABE-4862-884A-3DE1B17725B6}"/>
    <cellStyle name="Normal 11" xfId="264" xr:uid="{00000000-0005-0000-0000-0000B3000000}"/>
    <cellStyle name="Normal 11 2" xfId="298" xr:uid="{00000000-0005-0000-0000-0000B4000000}"/>
    <cellStyle name="Normal 114" xfId="318" xr:uid="{41499A24-DC71-4A91-AF6E-C96BE71EDB21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5" xr:uid="{3A02DF99-FD14-4FDF-98E0-BB52A9442F51}"/>
    <cellStyle name="Normal 15" xfId="139" xr:uid="{00000000-0005-0000-0000-0000B9000000}"/>
    <cellStyle name="Normal 16" xfId="140" xr:uid="{00000000-0005-0000-0000-0000BA000000}"/>
    <cellStyle name="Normal 17" xfId="314" xr:uid="{C1E11F58-D838-46D2-AB16-5EA4D17217B4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 4" xfId="315" xr:uid="{A88F6E25-EB83-4879-895A-0FD18FDEE326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5 3" xfId="320" xr:uid="{64DB9DE6-590A-4648-A08A-839064B2B9AC}"/>
    <cellStyle name="Normal 6" xfId="165" xr:uid="{00000000-0005-0000-0000-0000D5000000}"/>
    <cellStyle name="Normal 6 2" xfId="166" xr:uid="{00000000-0005-0000-0000-0000D6000000}"/>
    <cellStyle name="Normal 6 2 2" xfId="325" xr:uid="{73EC620E-0CEA-42D7-A597-FEB15B1BEE4B}"/>
    <cellStyle name="Normal 6 3" xfId="321" xr:uid="{C4087129-AA3A-4944-B477-D82D2F530D05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3" xfId="322" xr:uid="{819ADFCB-E9C7-450C-AB7D-6B539DD14B11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4 2" xfId="324" xr:uid="{25151AE5-AB5E-4250-86DE-8D94E6200618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 8" xfId="310" xr:uid="{F834B02F-C7CA-4F33-9859-6E095EF2DEC8}"/>
    <cellStyle name="Percent 9" xfId="313" xr:uid="{F71233A9-7C26-4EC3-9FE9-A0AA0EC41D48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RIN_TB3" xfId="329" xr:uid="{D19F456A-5050-47F7-9FC3-34125ED5C203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ableLvl2" xfId="316" xr:uid="{F7A7049D-E283-4A05-A721-028E7246AF91}"/>
    <cellStyle name="TableLvl3" xfId="317" xr:uid="{619EFC1E-E70B-43B1-8702-933CC39FAE03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auto="1"/>
        </top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C0504D"/>
      <color rgb="FFFFFFCC"/>
      <color rgb="FFDBE5F1"/>
      <color rgb="FF006100"/>
      <color rgb="FFC6EFCE"/>
      <color rgb="FF9C0006"/>
      <color rgb="FFFFFF99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SCS\ASD%20-%20AusNet%20EDPR%202026-31%20&#8211;%20PTRM%20Model%20&#8211;%20310125%20-%20PUBLIC.xlsm" TargetMode="External"/><Relationship Id="rId1" Type="http://schemas.openxmlformats.org/officeDocument/2006/relationships/externalLinkPath" Target="ASD%20-%20AusNet%20EDPR%202026-31%20&#8211;%20PTRM%20Model%20&#8211;%20310125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0">
          <cell r="G340">
            <v>2.9864334303291766</v>
          </cell>
          <cell r="H340">
            <v>3.1326963142880633</v>
          </cell>
          <cell r="I340">
            <v>3.3131286135674807</v>
          </cell>
          <cell r="J340">
            <v>3.5039626861955711</v>
          </cell>
          <cell r="K340">
            <v>3.6900946653676079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0"/>
  <sheetViews>
    <sheetView showGridLines="0" workbookViewId="0">
      <selection activeCell="C15" sqref="C15"/>
    </sheetView>
  </sheetViews>
  <sheetFormatPr defaultColWidth="0" defaultRowHeight="10" zeroHeight="1"/>
  <cols>
    <col min="1" max="2" width="1.44140625" style="8" customWidth="1"/>
    <col min="3" max="3" width="30.6640625" style="8" customWidth="1"/>
    <col min="4" max="4" width="163.6640625" style="8" customWidth="1"/>
    <col min="5" max="5" width="6.44140625" style="8" customWidth="1"/>
    <col min="6" max="6" width="9.33203125" style="8" hidden="1" customWidth="1"/>
    <col min="7" max="14" width="9.664062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32"/>
      <c r="B1" s="29" t="s">
        <v>1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36"/>
      <c r="B2" s="35" t="s">
        <v>2</v>
      </c>
      <c r="C2" s="35"/>
      <c r="D2" s="36"/>
      <c r="E2" s="36"/>
    </row>
    <row r="3" spans="1:30" s="6" customFormat="1" ht="3" customHeight="1"/>
    <row r="4" spans="1:30" customFormat="1" ht="13">
      <c r="A4" s="37"/>
      <c r="B4" s="43" t="s">
        <v>3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 ht="10.5">
      <c r="C6" s="9" t="s">
        <v>4</v>
      </c>
      <c r="D6" s="9" t="s">
        <v>5</v>
      </c>
    </row>
    <row r="7" spans="1:30">
      <c r="C7" s="19" t="s">
        <v>6</v>
      </c>
      <c r="D7" s="7" t="s">
        <v>7</v>
      </c>
    </row>
    <row r="8" spans="1:30">
      <c r="C8" s="19" t="s">
        <v>8</v>
      </c>
      <c r="D8" s="7" t="s">
        <v>9</v>
      </c>
    </row>
    <row r="9" spans="1:30">
      <c r="C9" s="19" t="s">
        <v>10</v>
      </c>
      <c r="D9" s="7" t="s">
        <v>11</v>
      </c>
    </row>
    <row r="10" spans="1:30">
      <c r="C10" s="19" t="s">
        <v>12</v>
      </c>
      <c r="D10" s="7" t="s">
        <v>13</v>
      </c>
    </row>
    <row r="11" spans="1:30">
      <c r="C11" s="19" t="s">
        <v>14</v>
      </c>
      <c r="D11" s="7" t="s">
        <v>15</v>
      </c>
    </row>
    <row r="12" spans="1:30">
      <c r="C12" s="19" t="s">
        <v>16</v>
      </c>
      <c r="D12" s="7" t="s">
        <v>17</v>
      </c>
    </row>
    <row r="13" spans="1:30">
      <c r="C13" s="19" t="s">
        <v>18</v>
      </c>
      <c r="D13" s="7" t="s">
        <v>19</v>
      </c>
    </row>
    <row r="14" spans="1:30">
      <c r="C14" s="19" t="s">
        <v>20</v>
      </c>
      <c r="D14" s="7" t="s">
        <v>21</v>
      </c>
    </row>
    <row r="15" spans="1:30" ht="13">
      <c r="C15" s="10"/>
      <c r="D15" s="7"/>
    </row>
    <row r="16" spans="1:30" customFormat="1" ht="13">
      <c r="A16" s="37"/>
      <c r="B16" s="43" t="s">
        <v>22</v>
      </c>
      <c r="C16" s="37"/>
      <c r="D16" s="37"/>
      <c r="E16" s="37"/>
      <c r="F16" s="38"/>
      <c r="G16" s="38"/>
      <c r="H16" s="38"/>
      <c r="I16" s="38"/>
      <c r="J16" s="39"/>
      <c r="K16" s="40"/>
      <c r="L16" s="39"/>
      <c r="M16" s="40"/>
      <c r="N16" s="39"/>
      <c r="O16" s="39"/>
      <c r="P16" s="39"/>
      <c r="Q16" s="39"/>
      <c r="R16" s="39"/>
      <c r="S16" s="39"/>
      <c r="T16" s="39"/>
      <c r="U16" s="39"/>
      <c r="V16" s="40"/>
      <c r="W16" s="40"/>
      <c r="X16" s="41"/>
      <c r="Y16" s="41"/>
      <c r="Z16" s="41"/>
      <c r="AA16" s="41"/>
      <c r="AB16" s="41"/>
      <c r="AC16" s="42"/>
      <c r="AD16" s="42"/>
    </row>
    <row r="17" spans="3:6" hidden="1">
      <c r="D17" s="7"/>
      <c r="F17" s="25"/>
    </row>
    <row r="18" spans="3:6" hidden="1">
      <c r="D18" s="7"/>
      <c r="F18" s="25"/>
    </row>
    <row r="19" spans="3:6" hidden="1">
      <c r="D19" s="7"/>
      <c r="F19" s="25"/>
    </row>
    <row r="20" spans="3:6" hidden="1">
      <c r="D20" s="7"/>
      <c r="F20" s="25"/>
    </row>
    <row r="21" spans="3:6" hidden="1">
      <c r="D21" s="7"/>
      <c r="F21" s="25"/>
    </row>
    <row r="22" spans="3:6" hidden="1">
      <c r="C22" s="7"/>
      <c r="D22" s="7"/>
      <c r="F22" s="25"/>
    </row>
    <row r="23" spans="3:6" hidden="1">
      <c r="C23" s="7"/>
      <c r="D23" s="7"/>
      <c r="F23" s="25"/>
    </row>
    <row r="24" spans="3:6" hidden="1">
      <c r="C24" s="7"/>
      <c r="D24" s="7"/>
    </row>
    <row r="25" spans="3:6" hidden="1">
      <c r="D25" s="7"/>
    </row>
    <row r="26" spans="3:6" hidden="1">
      <c r="D26" s="7"/>
    </row>
    <row r="27" spans="3:6" hidden="1">
      <c r="D27" s="7"/>
    </row>
    <row r="28" spans="3:6" hidden="1">
      <c r="D28" s="7"/>
    </row>
    <row r="29" spans="3:6" hidden="1">
      <c r="D29" s="7"/>
    </row>
    <row r="30" spans="3:6" ht="13" hidden="1">
      <c r="C30" s="10"/>
      <c r="D30" s="7"/>
    </row>
  </sheetData>
  <hyperlinks>
    <hyperlink ref="C12" location="'Calc|Opex forecast'!A1" display="Calc | Opex Forecast" xr:uid="{00000000-0004-0000-0100-000001000000}"/>
    <hyperlink ref="C13" location="'Lookup|Tables'!A1" display="Lookup | Tables" xr:uid="{00000000-0004-0000-0100-000003000000}"/>
    <hyperlink ref="C14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0" location="'Input|Rate of change'!A1" display="Input | Rate of change" xr:uid="{00000000-0004-0000-0100-000007000000}"/>
    <hyperlink ref="C11" location="'Input|Step changes'!A1" display="Input | Step changes" xr:uid="{00000000-0004-0000-0100-000008000000}"/>
    <hyperlink ref="C8" location="'Input|Inflation'!A1" display="Input | Inflation" xr:uid="{00000000-0004-0000-0100-000009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6"/>
  <sheetViews>
    <sheetView showGridLines="0" zoomScaleNormal="100" workbookViewId="0">
      <selection activeCell="N11" sqref="N1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6640625" style="8" customWidth="1"/>
    <col min="24" max="38" width="10.44140625" style="8" hidden="1" customWidth="1"/>
    <col min="39" max="16384" width="10.44140625" style="8" hidden="1"/>
  </cols>
  <sheetData>
    <row r="1" spans="1:30" s="32" customFormat="1" ht="15.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25</v>
      </c>
      <c r="L1" s="33" t="s">
        <v>26</v>
      </c>
      <c r="M1" s="50" t="s">
        <v>27</v>
      </c>
      <c r="N1" s="11" t="s">
        <v>28</v>
      </c>
      <c r="O1" s="12" t="s">
        <v>29</v>
      </c>
      <c r="R1" s="33" t="s">
        <v>30</v>
      </c>
      <c r="S1" s="34" t="str">
        <f>IF(COUNTA($S$5:$S$15)=COUNTIF($S5:$S16,"OK"),"OK","Check")</f>
        <v>OK</v>
      </c>
      <c r="U1" s="134" t="s">
        <v>31</v>
      </c>
      <c r="V1" s="34" t="str">
        <f>'Check|List'!$S$1</f>
        <v>Ok</v>
      </c>
    </row>
    <row r="2" spans="1:30" s="36" customFormat="1" ht="13.5" thickBot="1">
      <c r="B2" s="35" t="str">
        <f>Index!$C$7</f>
        <v>Input | General</v>
      </c>
      <c r="C2" s="35"/>
      <c r="D2" s="35"/>
      <c r="E2" s="35"/>
      <c r="F2" s="59"/>
      <c r="G2" s="59"/>
      <c r="H2" s="59"/>
      <c r="I2" s="59"/>
    </row>
    <row r="3" spans="1:30" s="6" customFormat="1" ht="3" customHeight="1">
      <c r="D3" s="27"/>
      <c r="E3" s="27"/>
      <c r="F3" s="27"/>
      <c r="G3" s="27"/>
      <c r="H3" s="27"/>
      <c r="I3" s="27"/>
    </row>
    <row r="4" spans="1:30" customFormat="1" ht="13">
      <c r="A4" s="37"/>
      <c r="B4" s="43" t="s">
        <v>32</v>
      </c>
      <c r="C4" s="37"/>
      <c r="D4" s="37"/>
      <c r="E4" s="37"/>
      <c r="F4" s="38"/>
      <c r="G4" s="38"/>
      <c r="H4" s="38"/>
      <c r="I4" s="38"/>
      <c r="J4" s="39"/>
      <c r="K4" s="40"/>
      <c r="L4" s="39"/>
      <c r="M4" s="40"/>
      <c r="N4" s="39"/>
      <c r="O4" s="39"/>
      <c r="P4" s="39"/>
      <c r="Q4" s="39"/>
      <c r="R4" s="39"/>
      <c r="S4" s="39"/>
      <c r="T4" s="39"/>
      <c r="U4" s="39"/>
      <c r="V4" s="40"/>
      <c r="W4" s="40"/>
      <c r="X4" s="41"/>
      <c r="Y4" s="41"/>
      <c r="Z4" s="41"/>
      <c r="AA4" s="41"/>
      <c r="AB4" s="41"/>
      <c r="AC4" s="42"/>
      <c r="AD4" s="42"/>
    </row>
    <row r="5" spans="1:30"/>
    <row r="6" spans="1:30" ht="10.5">
      <c r="C6" s="13" t="s">
        <v>33</v>
      </c>
      <c r="D6" s="21" t="s">
        <v>34</v>
      </c>
      <c r="E6" s="21"/>
      <c r="F6" s="14"/>
      <c r="G6" s="14" t="s">
        <v>35</v>
      </c>
      <c r="H6" s="14"/>
      <c r="I6" s="8"/>
    </row>
    <row r="7" spans="1:30" ht="10.5">
      <c r="C7" s="8" t="s">
        <v>36</v>
      </c>
      <c r="D7" s="16" t="s">
        <v>37</v>
      </c>
      <c r="E7" s="8"/>
      <c r="F7" s="8"/>
      <c r="G7" s="44" t="s">
        <v>204</v>
      </c>
      <c r="H7" s="8"/>
      <c r="I7" s="8"/>
      <c r="S7" s="90" t="str">
        <f>IF(COUNTBLANK($G7),"Check","Ok")</f>
        <v>Ok</v>
      </c>
    </row>
    <row r="8" spans="1:30" ht="10.5">
      <c r="C8" s="8" t="s">
        <v>38</v>
      </c>
      <c r="D8" s="16" t="s">
        <v>39</v>
      </c>
      <c r="E8" s="8"/>
      <c r="F8" s="8"/>
      <c r="G8" s="44" t="s">
        <v>40</v>
      </c>
      <c r="H8" s="8"/>
      <c r="I8" s="8"/>
      <c r="S8" s="90" t="str">
        <f>IF(COUNTBLANK($G8),"Check","Ok")</f>
        <v>Ok</v>
      </c>
    </row>
    <row r="9" spans="1:30" ht="10.5">
      <c r="C9" s="8" t="s">
        <v>41</v>
      </c>
      <c r="D9" s="16" t="s">
        <v>37</v>
      </c>
      <c r="E9" s="8"/>
      <c r="F9" s="8"/>
      <c r="G9" s="109">
        <v>36678</v>
      </c>
      <c r="H9" s="8"/>
      <c r="I9" s="8"/>
      <c r="S9" s="90" t="str">
        <f>IF(COUNTBLANK($G9),"Check","Ok")</f>
        <v>Ok</v>
      </c>
    </row>
    <row r="10" spans="1:30" ht="10.5">
      <c r="C10" s="8" t="s">
        <v>42</v>
      </c>
      <c r="D10" s="16" t="s">
        <v>37</v>
      </c>
      <c r="E10" s="8"/>
      <c r="F10" s="8"/>
      <c r="G10" s="110">
        <v>2022</v>
      </c>
      <c r="H10" s="8"/>
      <c r="I10" s="8"/>
      <c r="S10" s="90" t="str">
        <f t="shared" ref="S10:S14" si="0">IF(COUNTBLANK($G10),"Check","Ok")</f>
        <v>Ok</v>
      </c>
    </row>
    <row r="11" spans="1:30" ht="10.5">
      <c r="C11" s="8" t="s">
        <v>43</v>
      </c>
      <c r="D11" s="16" t="s">
        <v>37</v>
      </c>
      <c r="E11" s="8"/>
      <c r="F11" s="8"/>
      <c r="G11" s="110">
        <v>2023</v>
      </c>
      <c r="H11" s="8"/>
      <c r="I11" s="8"/>
      <c r="S11" s="90" t="str">
        <f t="shared" si="0"/>
        <v>Ok</v>
      </c>
    </row>
    <row r="12" spans="1:30" ht="10.5">
      <c r="C12" s="8" t="s">
        <v>44</v>
      </c>
      <c r="D12" s="16" t="s">
        <v>37</v>
      </c>
      <c r="E12" s="8"/>
      <c r="F12" s="8"/>
      <c r="G12" s="110">
        <v>2026</v>
      </c>
      <c r="H12" s="8"/>
      <c r="I12" s="8"/>
      <c r="S12" s="90" t="str">
        <f t="shared" si="0"/>
        <v>Ok</v>
      </c>
    </row>
    <row r="13" spans="1:30" ht="10.5">
      <c r="C13" s="8" t="s">
        <v>45</v>
      </c>
      <c r="D13" s="16" t="s">
        <v>37</v>
      </c>
      <c r="E13" s="8"/>
      <c r="F13" s="8"/>
      <c r="G13" s="110">
        <v>2027</v>
      </c>
      <c r="H13" s="8"/>
      <c r="I13" s="8"/>
      <c r="S13" s="90" t="str">
        <f t="shared" si="0"/>
        <v>Ok</v>
      </c>
    </row>
    <row r="14" spans="1:30" ht="10.5">
      <c r="C14" s="8" t="s">
        <v>46</v>
      </c>
      <c r="D14" s="16" t="s">
        <v>37</v>
      </c>
      <c r="E14" s="8"/>
      <c r="F14" s="8"/>
      <c r="G14" s="110">
        <v>2031</v>
      </c>
      <c r="H14" s="8"/>
      <c r="I14" s="8"/>
      <c r="S14" s="90" t="str">
        <f t="shared" si="0"/>
        <v>Ok</v>
      </c>
    </row>
    <row r="15" spans="1:30">
      <c r="D15" s="8"/>
      <c r="E15" s="8"/>
      <c r="F15" s="8"/>
      <c r="G15" s="8"/>
      <c r="H15" s="8"/>
      <c r="I15" s="8"/>
    </row>
    <row r="16" spans="1:30" customFormat="1" ht="13">
      <c r="A16" s="37"/>
      <c r="B16" s="43" t="s">
        <v>22</v>
      </c>
      <c r="C16" s="37"/>
      <c r="D16" s="37"/>
      <c r="E16" s="37"/>
      <c r="F16" s="38"/>
      <c r="G16" s="38"/>
      <c r="H16" s="38"/>
      <c r="I16" s="38"/>
      <c r="J16" s="39"/>
      <c r="K16" s="40"/>
      <c r="L16" s="39"/>
      <c r="M16" s="40"/>
      <c r="N16" s="39"/>
      <c r="O16" s="39"/>
      <c r="P16" s="39"/>
      <c r="Q16" s="39"/>
      <c r="R16" s="39"/>
      <c r="S16" s="39"/>
      <c r="T16" s="39"/>
      <c r="U16" s="39"/>
      <c r="V16" s="40"/>
      <c r="W16" s="40"/>
      <c r="X16" s="41"/>
      <c r="Y16" s="41"/>
      <c r="Z16" s="41"/>
      <c r="AA16" s="41"/>
      <c r="AB16" s="41"/>
      <c r="AC16" s="42"/>
      <c r="AD16" s="42"/>
    </row>
    <row r="17" spans="7:8" hidden="1">
      <c r="G17" s="21"/>
      <c r="H17" s="21"/>
    </row>
    <row r="18" spans="7:8" hidden="1">
      <c r="G18" s="21"/>
      <c r="H18" s="21"/>
    </row>
    <row r="19" spans="7:8" hidden="1">
      <c r="G19" s="21"/>
      <c r="H19" s="21"/>
    </row>
    <row r="20" spans="7:8" hidden="1">
      <c r="G20" s="21"/>
      <c r="H20" s="21"/>
    </row>
    <row r="21" spans="7:8" hidden="1">
      <c r="G21" s="21"/>
      <c r="H21" s="21"/>
    </row>
    <row r="22" spans="7:8" hidden="1">
      <c r="G22" s="21"/>
      <c r="H22" s="21"/>
    </row>
    <row r="23" spans="7:8" hidden="1">
      <c r="G23" s="21"/>
      <c r="H23" s="21"/>
    </row>
    <row r="24" spans="7:8" hidden="1">
      <c r="G24" s="21"/>
      <c r="H24" s="21"/>
    </row>
    <row r="25" spans="7:8" hidden="1">
      <c r="G25" s="21"/>
      <c r="H25" s="21"/>
    </row>
    <row r="26" spans="7:8" hidden="1">
      <c r="G26" s="21"/>
      <c r="H26" s="21"/>
    </row>
  </sheetData>
  <dataConsolidate/>
  <conditionalFormatting sqref="S1">
    <cfRule type="cellIs" dxfId="130" priority="1" operator="equal">
      <formula>"Check"</formula>
    </cfRule>
    <cfRule type="cellIs" dxfId="129" priority="2" operator="equal">
      <formula>"Ok"</formula>
    </cfRule>
  </conditionalFormatting>
  <conditionalFormatting sqref="S7:S14">
    <cfRule type="cellIs" dxfId="128" priority="5" operator="equal">
      <formula>"Check"</formula>
    </cfRule>
    <cfRule type="cellIs" dxfId="127" priority="6" operator="equal">
      <formula>"Ok"</formula>
    </cfRule>
  </conditionalFormatting>
  <conditionalFormatting sqref="V1">
    <cfRule type="cellIs" dxfId="126" priority="3" operator="equal">
      <formula>"Check"</formula>
    </cfRule>
    <cfRule type="cellIs" dxfId="125" priority="4" operator="equal">
      <formula>"Ok"</formula>
    </cfRule>
  </conditionalFormatting>
  <conditionalFormatting sqref="W14:W15">
    <cfRule type="cellIs" dxfId="124" priority="13" operator="equal">
      <formula>"Check"</formula>
    </cfRule>
    <cfRule type="cellIs" dxfId="123" priority="14" operator="equal">
      <formula>"Ok"</formula>
    </cfRule>
  </conditionalFormatting>
  <dataValidations count="3">
    <dataValidation type="list" allowBlank="1" showInputMessage="1" showErrorMessage="1" sqref="F12:F13 I12:I15" xr:uid="{00000000-0002-0000-0200-000000000000}">
      <formula1>#REF!</formula1>
    </dataValidation>
    <dataValidation type="list" allowBlank="1" showInputMessage="1" showErrorMessage="1" sqref="G8" xr:uid="{00000000-0002-0000-0200-000003000000}">
      <formula1>"draft,final"</formula1>
    </dataValidation>
    <dataValidation type="list" allowBlank="1" showInputMessage="1" showErrorMessage="1" sqref="F14:F15" xr:uid="{00000000-0002-0000-0200-000001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'Lookup|Tables'!$G$41:$G$60</xm:f>
          </x14:formula1>
          <xm:sqref>G10:G13</xm:sqref>
        </x14:dataValidation>
        <x14:dataValidation type="list" allowBlank="1" showInputMessage="1" showErrorMessage="1" xr:uid="{08B5C4D6-4E75-4269-89C8-3880B43C2696}">
          <x14:formula1>
            <xm:f>'Lookup|Tables'!$G$41:$G$61</xm:f>
          </x14:formula1>
          <xm:sqref>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106"/>
  <sheetViews>
    <sheetView showGridLines="0" topLeftCell="A47" zoomScaleNormal="100" workbookViewId="0">
      <selection activeCell="H95" sqref="H95"/>
    </sheetView>
  </sheetViews>
  <sheetFormatPr defaultColWidth="0" defaultRowHeight="11.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7" width="15" style="16" customWidth="1"/>
    <col min="8" max="10" width="3.33203125" style="16" customWidth="1"/>
    <col min="11" max="24" width="10.6640625" style="8" customWidth="1"/>
    <col min="25" max="39" width="10.44140625" style="8" hidden="1" customWidth="1"/>
    <col min="40" max="16384" width="10.44140625" style="8" hidden="1"/>
  </cols>
  <sheetData>
    <row r="1" spans="1:31" s="32" customFormat="1" ht="15.5">
      <c r="B1" s="29" t="str">
        <f>Index!$B$1</f>
        <v>AER opex model v1.8</v>
      </c>
      <c r="C1" s="29"/>
      <c r="D1" s="29"/>
      <c r="E1" s="29"/>
      <c r="F1" s="29"/>
      <c r="G1" s="30"/>
      <c r="H1" s="30"/>
      <c r="I1" s="30"/>
      <c r="J1" s="30"/>
      <c r="K1" s="31" t="s">
        <v>25</v>
      </c>
      <c r="M1" s="33" t="s">
        <v>26</v>
      </c>
      <c r="N1" s="50" t="s">
        <v>27</v>
      </c>
      <c r="O1" s="11" t="s">
        <v>28</v>
      </c>
      <c r="P1" s="12" t="s">
        <v>29</v>
      </c>
      <c r="S1" s="33" t="s">
        <v>30</v>
      </c>
      <c r="T1" s="34" t="str">
        <f>IF(COUNTA($T$5:$T$95)=COUNTIF($T5:$T96,"OK"),"OK","Check")</f>
        <v>OK</v>
      </c>
      <c r="V1" s="134" t="s">
        <v>31</v>
      </c>
      <c r="W1" s="34" t="str">
        <f>'Check|List'!$S$1</f>
        <v>Ok</v>
      </c>
    </row>
    <row r="2" spans="1:31" s="36" customFormat="1" ht="13.5" thickBot="1">
      <c r="B2" s="35" t="str">
        <f>Index!$C$7</f>
        <v>Input | General</v>
      </c>
      <c r="C2" s="35"/>
      <c r="D2" s="35"/>
      <c r="E2" s="35"/>
      <c r="F2" s="35"/>
      <c r="G2" s="59"/>
      <c r="H2" s="59"/>
      <c r="I2" s="59"/>
      <c r="J2" s="59"/>
    </row>
    <row r="3" spans="1:31" s="6" customFormat="1" ht="3" customHeight="1">
      <c r="D3" s="27"/>
      <c r="E3" s="27"/>
      <c r="F3" s="27"/>
      <c r="G3" s="27"/>
      <c r="H3" s="27"/>
      <c r="I3" s="27"/>
      <c r="J3" s="27"/>
    </row>
    <row r="4" spans="1:31" customFormat="1" ht="13">
      <c r="A4" s="37"/>
      <c r="B4" s="43" t="s">
        <v>32</v>
      </c>
      <c r="C4" s="37"/>
      <c r="D4" s="37"/>
      <c r="E4" s="37"/>
      <c r="F4" s="37"/>
      <c r="G4" s="38"/>
      <c r="H4" s="38"/>
      <c r="I4" s="38"/>
      <c r="J4" s="38"/>
      <c r="K4" s="39"/>
      <c r="L4" s="40"/>
      <c r="M4" s="39"/>
      <c r="N4" s="40"/>
      <c r="O4" s="39"/>
      <c r="P4" s="39"/>
      <c r="Q4" s="39"/>
      <c r="R4" s="39"/>
      <c r="S4" s="39"/>
      <c r="T4" s="39"/>
      <c r="U4" s="39"/>
      <c r="V4" s="39"/>
      <c r="W4" s="40"/>
      <c r="X4" s="40"/>
      <c r="Y4" s="41"/>
      <c r="Z4" s="41"/>
      <c r="AA4" s="41"/>
      <c r="AB4" s="41"/>
      <c r="AC4" s="41"/>
      <c r="AD4" s="42"/>
      <c r="AE4" s="42"/>
    </row>
    <row r="5" spans="1:31" ht="11.5" customHeight="1"/>
    <row r="6" spans="1:31" ht="50">
      <c r="D6" s="53" t="s">
        <v>47</v>
      </c>
      <c r="E6" s="53" t="s">
        <v>48</v>
      </c>
      <c r="F6" s="53" t="s">
        <v>47</v>
      </c>
      <c r="G6" s="53" t="s">
        <v>48</v>
      </c>
      <c r="H6" s="53"/>
      <c r="I6" s="8"/>
      <c r="J6" s="8"/>
    </row>
    <row r="7" spans="1:31" ht="10.5">
      <c r="C7" s="9" t="s">
        <v>34</v>
      </c>
      <c r="D7" s="57" t="s">
        <v>49</v>
      </c>
      <c r="E7" s="57" t="s">
        <v>50</v>
      </c>
      <c r="F7" s="57" t="s">
        <v>49</v>
      </c>
      <c r="G7" s="57" t="s">
        <v>50</v>
      </c>
      <c r="H7" s="57"/>
      <c r="I7" s="8"/>
      <c r="J7" s="8"/>
    </row>
    <row r="8" spans="1:31" ht="10.5">
      <c r="C8" s="9" t="s">
        <v>51</v>
      </c>
      <c r="D8" s="57" t="s">
        <v>52</v>
      </c>
      <c r="E8" s="57" t="s">
        <v>53</v>
      </c>
      <c r="F8" s="57" t="s">
        <v>52</v>
      </c>
      <c r="G8" s="57" t="s">
        <v>53</v>
      </c>
      <c r="H8" s="57"/>
      <c r="I8" s="8"/>
      <c r="J8" s="8"/>
    </row>
    <row r="9" spans="1:31" ht="10.5">
      <c r="C9" s="55">
        <v>39172</v>
      </c>
      <c r="D9" s="54">
        <v>155.6</v>
      </c>
      <c r="E9" s="8"/>
      <c r="F9" s="8"/>
      <c r="G9" s="8"/>
      <c r="H9" s="8"/>
      <c r="I9" s="8"/>
      <c r="J9" s="8"/>
      <c r="T9" s="90" t="str">
        <f>IF(C9&gt;EOMONTH(DATE('Input|General'!$G$12,MONTH('Input|General'!$G$9),1),0),"Ok",IF(ISBLANK($D9),"Check","Ok"))</f>
        <v>Ok</v>
      </c>
    </row>
    <row r="10" spans="1:31" ht="10.5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90" t="str">
        <f>IF(C10&gt;EOMONTH(DATE('Input|General'!$G$12,MONTH('Input|General'!$G$9),1),0),"Ok",IF(ISBLANK($D10),"Check","Ok"))</f>
        <v>Ok</v>
      </c>
    </row>
    <row r="11" spans="1:31" ht="10.5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90" t="str">
        <f>IF(C11&gt;EOMONTH(DATE('Input|General'!$G$12,MONTH('Input|General'!$G$9),1),0),"Ok",IF(ISBLANK($D11),"Check","Ok"))</f>
        <v>Ok</v>
      </c>
    </row>
    <row r="12" spans="1:31" ht="10.5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90" t="str">
        <f>IF(C12&gt;EOMONTH(DATE('Input|General'!$G$12,MONTH('Input|General'!$G$9),1),0),"Ok",IF(ISBLANK($D12),"Check","Ok"))</f>
        <v>Ok</v>
      </c>
    </row>
    <row r="13" spans="1:31" ht="10.5">
      <c r="C13" s="55">
        <v>39538</v>
      </c>
      <c r="D13" s="54">
        <v>162.19999999999999</v>
      </c>
      <c r="E13" s="79">
        <f>D13/D9-1</f>
        <v>4.2416452442159303E-2</v>
      </c>
      <c r="F13" s="8"/>
      <c r="G13" s="56"/>
      <c r="H13" s="8"/>
      <c r="I13" s="8"/>
      <c r="J13" s="8"/>
      <c r="T13" s="90" t="str">
        <f>IF(C13&gt;EOMONTH(DATE('Input|General'!$G$12,MONTH('Input|General'!$G$9),1),0),"Ok",IF(ISBLANK($D13),"Check","Ok"))</f>
        <v>Ok</v>
      </c>
    </row>
    <row r="14" spans="1:31" ht="10.5">
      <c r="C14" s="55">
        <v>39629</v>
      </c>
      <c r="D14" s="54">
        <v>164.6</v>
      </c>
      <c r="E14" s="79">
        <f t="shared" ref="E14:E29" si="0">D14/D10-1</f>
        <v>4.5079365079365052E-2</v>
      </c>
      <c r="F14" s="8"/>
      <c r="G14" s="56"/>
      <c r="H14" s="8"/>
      <c r="I14" s="8"/>
      <c r="J14" s="8"/>
      <c r="T14" s="90" t="str">
        <f>IF(C14&gt;EOMONTH(DATE('Input|General'!$G$12,MONTH('Input|General'!$G$9),1),0),"Ok",IF(ISBLANK($D14),"Check","Ok"))</f>
        <v>Ok</v>
      </c>
    </row>
    <row r="15" spans="1:31" ht="10.5">
      <c r="C15" s="55">
        <v>39721</v>
      </c>
      <c r="D15" s="54">
        <v>166.5</v>
      </c>
      <c r="E15" s="79">
        <f t="shared" si="0"/>
        <v>4.9810844892812067E-2</v>
      </c>
      <c r="F15" s="8"/>
      <c r="G15" s="56"/>
      <c r="H15" s="8"/>
      <c r="I15" s="8"/>
      <c r="J15" s="8"/>
      <c r="T15" s="90" t="str">
        <f>IF(C15&gt;EOMONTH(DATE('Input|General'!$G$12,MONTH('Input|General'!$G$9),1),0),"Ok",IF(ISBLANK($D15),"Check","Ok"))</f>
        <v>Ok</v>
      </c>
    </row>
    <row r="16" spans="1:31" ht="10.5">
      <c r="C16" s="55">
        <v>39813</v>
      </c>
      <c r="D16" s="54">
        <v>166</v>
      </c>
      <c r="E16" s="79">
        <f t="shared" si="0"/>
        <v>3.6851967520299844E-2</v>
      </c>
      <c r="F16" s="8"/>
      <c r="G16" s="56"/>
      <c r="H16" s="8"/>
      <c r="I16" s="8"/>
      <c r="J16" s="8"/>
      <c r="T16" s="90" t="str">
        <f>IF(C16&gt;EOMONTH(DATE('Input|General'!$G$12,MONTH('Input|General'!$G$9),1),0),"Ok",IF(ISBLANK($D16),"Check","Ok"))</f>
        <v>Ok</v>
      </c>
    </row>
    <row r="17" spans="3:20" ht="10.5">
      <c r="C17" s="55">
        <v>39903</v>
      </c>
      <c r="D17" s="54">
        <v>166.2</v>
      </c>
      <c r="E17" s="79">
        <f t="shared" si="0"/>
        <v>2.4660912453760897E-2</v>
      </c>
      <c r="F17" s="8"/>
      <c r="G17" s="56"/>
      <c r="H17" s="8"/>
      <c r="I17" s="8"/>
      <c r="J17" s="8"/>
      <c r="T17" s="90" t="str">
        <f>IF(C17&gt;EOMONTH(DATE('Input|General'!$G$12,MONTH('Input|General'!$G$9),1),0),"Ok",IF(ISBLANK($D17),"Check","Ok"))</f>
        <v>Ok</v>
      </c>
    </row>
    <row r="18" spans="3:20" ht="10.5">
      <c r="C18" s="55">
        <v>39994</v>
      </c>
      <c r="D18" s="54">
        <v>167</v>
      </c>
      <c r="E18" s="79">
        <f t="shared" si="0"/>
        <v>1.4580801944106936E-2</v>
      </c>
      <c r="F18" s="8"/>
      <c r="G18" s="56"/>
      <c r="H18" s="8"/>
      <c r="I18" s="8"/>
      <c r="J18" s="8"/>
      <c r="T18" s="90" t="str">
        <f>IF(C18&gt;EOMONTH(DATE('Input|General'!$G$12,MONTH('Input|General'!$G$9),1),0),"Ok",IF(ISBLANK($D18),"Check","Ok"))</f>
        <v>Ok</v>
      </c>
    </row>
    <row r="19" spans="3:20" ht="10.5">
      <c r="C19" s="55">
        <v>40086</v>
      </c>
      <c r="D19" s="54">
        <v>168.6</v>
      </c>
      <c r="E19" s="79">
        <f t="shared" si="0"/>
        <v>1.2612612612612484E-2</v>
      </c>
      <c r="F19" s="8"/>
      <c r="G19" s="56"/>
      <c r="H19" s="8"/>
      <c r="I19" s="8"/>
      <c r="J19" s="8"/>
      <c r="T19" s="90" t="str">
        <f>IF(C19&gt;EOMONTH(DATE('Input|General'!$G$12,MONTH('Input|General'!$G$9),1),0),"Ok",IF(ISBLANK($D19),"Check","Ok"))</f>
        <v>Ok</v>
      </c>
    </row>
    <row r="20" spans="3:20" ht="10.5">
      <c r="C20" s="55">
        <v>40178</v>
      </c>
      <c r="D20" s="54">
        <v>169.5</v>
      </c>
      <c r="E20" s="79">
        <f t="shared" si="0"/>
        <v>2.108433734939763E-2</v>
      </c>
      <c r="F20" s="8"/>
      <c r="G20" s="56"/>
      <c r="H20" s="8"/>
      <c r="I20" s="8"/>
      <c r="J20" s="8"/>
      <c r="T20" s="90" t="str">
        <f>IF(C20&gt;EOMONTH(DATE('Input|General'!$G$12,MONTH('Input|General'!$G$9),1),0),"Ok",IF(ISBLANK($D20),"Check","Ok"))</f>
        <v>Ok</v>
      </c>
    </row>
    <row r="21" spans="3:20" ht="10.5">
      <c r="C21" s="55">
        <v>40268</v>
      </c>
      <c r="D21" s="54">
        <v>171</v>
      </c>
      <c r="E21" s="79">
        <f t="shared" si="0"/>
        <v>2.8880866425992746E-2</v>
      </c>
      <c r="F21" s="54">
        <v>95.2</v>
      </c>
      <c r="G21" s="56"/>
      <c r="H21" s="135"/>
      <c r="I21" s="8"/>
      <c r="J21" s="8"/>
      <c r="T21" s="90" t="str">
        <f>IF(C21&gt;EOMONTH(DATE('Input|General'!$G$12,MONTH('Input|General'!$G$9),1),0),"Ok",IF(ISBLANK($F21),"Check","Ok"))</f>
        <v>Ok</v>
      </c>
    </row>
    <row r="22" spans="3:20" ht="10.5">
      <c r="C22" s="55">
        <v>40359</v>
      </c>
      <c r="D22" s="54">
        <v>172.1</v>
      </c>
      <c r="E22" s="79">
        <f t="shared" si="0"/>
        <v>3.0538922155688653E-2</v>
      </c>
      <c r="F22" s="54">
        <v>95.8</v>
      </c>
      <c r="G22" s="56"/>
      <c r="H22" s="135"/>
      <c r="I22" s="8"/>
      <c r="J22" s="8"/>
      <c r="T22" s="90" t="str">
        <f>IF(C22&gt;EOMONTH(DATE('Input|General'!$G$12,MONTH('Input|General'!$G$9),1),0),"Ok",IF(ISBLANK($F22),"Check","Ok"))</f>
        <v>Ok</v>
      </c>
    </row>
    <row r="23" spans="3:20" ht="10.5">
      <c r="C23" s="55">
        <v>40451</v>
      </c>
      <c r="D23" s="54">
        <v>173.3</v>
      </c>
      <c r="E23" s="79">
        <f t="shared" si="0"/>
        <v>2.7876631079478242E-2</v>
      </c>
      <c r="F23" s="54">
        <v>96.5</v>
      </c>
      <c r="G23" s="56"/>
      <c r="H23" s="135"/>
      <c r="I23" s="8"/>
      <c r="J23" s="8"/>
      <c r="T23" s="90" t="str">
        <f>IF(C23&gt;EOMONTH(DATE('Input|General'!$G$12,MONTH('Input|General'!$G$9),1),0),"Ok",IF(ISBLANK($F23),"Check","Ok"))</f>
        <v>Ok</v>
      </c>
    </row>
    <row r="24" spans="3:20" ht="10.5">
      <c r="C24" s="55">
        <v>40543</v>
      </c>
      <c r="D24" s="54">
        <v>174</v>
      </c>
      <c r="E24" s="79">
        <f t="shared" si="0"/>
        <v>2.6548672566371723E-2</v>
      </c>
      <c r="F24" s="54">
        <v>96.9</v>
      </c>
      <c r="G24" s="56"/>
      <c r="H24" s="135"/>
      <c r="I24" s="8"/>
      <c r="J24" s="8"/>
      <c r="T24" s="90" t="str">
        <f>IF(C24&gt;EOMONTH(DATE('Input|General'!$G$12,MONTH('Input|General'!$G$9),1),0),"Ok",IF(ISBLANK($F24),"Check","Ok"))</f>
        <v>Ok</v>
      </c>
    </row>
    <row r="25" spans="3:20" ht="10.5">
      <c r="C25" s="55">
        <v>40633</v>
      </c>
      <c r="D25" s="54">
        <v>176.7</v>
      </c>
      <c r="E25" s="79">
        <f t="shared" si="0"/>
        <v>3.3333333333333215E-2</v>
      </c>
      <c r="F25" s="54">
        <v>98.3</v>
      </c>
      <c r="G25" s="79">
        <f>IF(ISBLANK(F25),"",F25/F21-1)</f>
        <v>3.2563025210083918E-2</v>
      </c>
      <c r="H25" s="135"/>
      <c r="I25" s="8"/>
      <c r="J25" s="8"/>
      <c r="T25" s="90" t="str">
        <f>IF(C25&gt;EOMONTH(DATE('Input|General'!$G$12,MONTH('Input|General'!$G$9),1),0),"Ok",IF(ISBLANK($F25),"Check","Ok"))</f>
        <v>Ok</v>
      </c>
    </row>
    <row r="26" spans="3:20" ht="10.5">
      <c r="C26" s="55">
        <v>40724</v>
      </c>
      <c r="D26" s="54">
        <v>178.3</v>
      </c>
      <c r="E26" s="79">
        <f t="shared" si="0"/>
        <v>3.6025566531086683E-2</v>
      </c>
      <c r="F26" s="54">
        <v>99.2</v>
      </c>
      <c r="G26" s="79">
        <f t="shared" ref="G26:G68" si="1">IF(ISBLANK(F26),"",F26/F22-1)</f>
        <v>3.5490605427975108E-2</v>
      </c>
      <c r="H26" s="135"/>
      <c r="I26" s="8"/>
      <c r="J26" s="8"/>
      <c r="T26" s="90" t="str">
        <f>IF(C26&gt;EOMONTH(DATE('Input|General'!$G$12,MONTH('Input|General'!$G$9),1),0),"Ok",IF(ISBLANK($F26),"Check","Ok"))</f>
        <v>Ok</v>
      </c>
    </row>
    <row r="27" spans="3:20" ht="10.5">
      <c r="C27" s="55">
        <v>40816</v>
      </c>
      <c r="D27" s="54">
        <v>179.4</v>
      </c>
      <c r="E27" s="79">
        <f t="shared" si="0"/>
        <v>3.5199076745527913E-2</v>
      </c>
      <c r="F27" s="54">
        <v>99.8</v>
      </c>
      <c r="G27" s="79">
        <f t="shared" si="1"/>
        <v>3.4196891191709877E-2</v>
      </c>
      <c r="H27" s="135"/>
      <c r="I27" s="8"/>
      <c r="J27" s="8"/>
      <c r="T27" s="90" t="str">
        <f>IF(C27&gt;EOMONTH(DATE('Input|General'!$G$12,MONTH('Input|General'!$G$9),1),0),"Ok",IF(ISBLANK($F27),"Check","Ok"))</f>
        <v>Ok</v>
      </c>
    </row>
    <row r="28" spans="3:20" ht="10.5">
      <c r="C28" s="55">
        <v>40908</v>
      </c>
      <c r="D28" s="54">
        <v>179.4</v>
      </c>
      <c r="E28" s="79">
        <f t="shared" si="0"/>
        <v>3.1034482758620641E-2</v>
      </c>
      <c r="F28" s="54">
        <v>99.8</v>
      </c>
      <c r="G28" s="79">
        <f t="shared" si="1"/>
        <v>2.9927760577915352E-2</v>
      </c>
      <c r="H28" s="135"/>
      <c r="I28" s="8"/>
      <c r="J28" s="8"/>
      <c r="T28" s="90" t="str">
        <f>IF(C28&gt;EOMONTH(DATE('Input|General'!$G$12,MONTH('Input|General'!$G$9),1),0),"Ok",IF(ISBLANK($F28),"Check","Ok"))</f>
        <v>Ok</v>
      </c>
    </row>
    <row r="29" spans="3:20" ht="10.5">
      <c r="C29" s="55">
        <v>40999</v>
      </c>
      <c r="D29" s="54">
        <v>179.5</v>
      </c>
      <c r="E29" s="79">
        <f t="shared" si="0"/>
        <v>1.5846066779853007E-2</v>
      </c>
      <c r="F29" s="54">
        <v>99.9</v>
      </c>
      <c r="G29" s="79">
        <f t="shared" si="1"/>
        <v>1.6276703967446737E-2</v>
      </c>
      <c r="H29" s="135"/>
      <c r="I29" s="8"/>
      <c r="J29" s="8"/>
      <c r="T29" s="90" t="str">
        <f>IF(C29&gt;EOMONTH(DATE('Input|General'!$G$12,MONTH('Input|General'!$G$9),1),0),"Ok",IF(ISBLANK($F29),"Check","Ok"))</f>
        <v>Ok</v>
      </c>
    </row>
    <row r="30" spans="3:20" ht="10.5">
      <c r="C30" s="55">
        <v>41090</v>
      </c>
      <c r="D30" s="8"/>
      <c r="E30" s="8"/>
      <c r="F30" s="54">
        <v>100.4</v>
      </c>
      <c r="G30" s="79">
        <f t="shared" si="1"/>
        <v>1.2096774193548487E-2</v>
      </c>
      <c r="H30" s="135"/>
      <c r="I30" s="8"/>
      <c r="J30" s="8"/>
      <c r="T30" s="90" t="str">
        <f>IF(C30&gt;EOMONTH(DATE('Input|General'!$G$12,MONTH('Input|General'!$G$9),1),0),"Ok",IF(ISBLANK($F30),"Check","Ok"))</f>
        <v>Ok</v>
      </c>
    </row>
    <row r="31" spans="3:20" ht="10.5">
      <c r="C31" s="55">
        <v>41182</v>
      </c>
      <c r="D31" s="8"/>
      <c r="E31" s="8"/>
      <c r="F31" s="54">
        <v>101.8</v>
      </c>
      <c r="G31" s="79">
        <f t="shared" si="1"/>
        <v>2.0040080160320661E-2</v>
      </c>
      <c r="H31" s="135"/>
      <c r="I31" s="8"/>
      <c r="J31" s="8"/>
      <c r="T31" s="90" t="str">
        <f>IF(C31&gt;EOMONTH(DATE('Input|General'!$G$12,MONTH('Input|General'!$G$9),1),0),"Ok",IF(ISBLANK($F31),"Check","Ok"))</f>
        <v>Ok</v>
      </c>
    </row>
    <row r="32" spans="3:20" ht="10.5">
      <c r="C32" s="55">
        <v>41274</v>
      </c>
      <c r="D32" s="8"/>
      <c r="E32" s="8"/>
      <c r="F32" s="54">
        <v>102</v>
      </c>
      <c r="G32" s="79">
        <f t="shared" si="1"/>
        <v>2.2044088176352838E-2</v>
      </c>
      <c r="H32" s="135"/>
      <c r="I32" s="8"/>
      <c r="J32" s="8"/>
      <c r="T32" s="90" t="str">
        <f>IF(C32&gt;EOMONTH(DATE('Input|General'!$G$12,MONTH('Input|General'!$G$9),1),0),"Ok",IF(ISBLANK($F32),"Check","Ok"))</f>
        <v>Ok</v>
      </c>
    </row>
    <row r="33" spans="3:20" ht="10.5">
      <c r="C33" s="55">
        <v>41364</v>
      </c>
      <c r="D33" s="8"/>
      <c r="E33" s="8"/>
      <c r="F33" s="54">
        <v>102.4</v>
      </c>
      <c r="G33" s="79">
        <f t="shared" si="1"/>
        <v>2.5025025025025016E-2</v>
      </c>
      <c r="H33" s="135"/>
      <c r="I33" s="8"/>
      <c r="J33" s="8"/>
      <c r="T33" s="90" t="str">
        <f>IF(C33&gt;EOMONTH(DATE('Input|General'!$G$12,MONTH('Input|General'!$G$9),1),0),"Ok",IF(ISBLANK($F33),"Check","Ok"))</f>
        <v>Ok</v>
      </c>
    </row>
    <row r="34" spans="3:20" ht="10.5">
      <c r="C34" s="55">
        <v>41455</v>
      </c>
      <c r="D34" s="8"/>
      <c r="E34" s="8"/>
      <c r="F34" s="54">
        <v>102.8</v>
      </c>
      <c r="G34" s="79">
        <f t="shared" si="1"/>
        <v>2.3904382470119501E-2</v>
      </c>
      <c r="H34" s="135"/>
      <c r="I34" s="8"/>
      <c r="J34" s="8"/>
      <c r="T34" s="90" t="str">
        <f>IF(C34&gt;EOMONTH(DATE('Input|General'!$G$12,MONTH('Input|General'!$G$9),1),0),"Ok",IF(ISBLANK($F34),"Check","Ok"))</f>
        <v>Ok</v>
      </c>
    </row>
    <row r="35" spans="3:20" ht="10.5">
      <c r="C35" s="55">
        <v>41547</v>
      </c>
      <c r="D35" s="8"/>
      <c r="E35" s="8"/>
      <c r="F35" s="54">
        <v>104</v>
      </c>
      <c r="G35" s="79">
        <f t="shared" si="1"/>
        <v>2.16110019646365E-2</v>
      </c>
      <c r="H35" s="135"/>
      <c r="I35" s="8"/>
      <c r="J35" s="8"/>
      <c r="T35" s="90" t="str">
        <f>IF(C35&gt;EOMONTH(DATE('Input|General'!$G$12,MONTH('Input|General'!$G$9),1),0),"Ok",IF(ISBLANK($F35),"Check","Ok"))</f>
        <v>Ok</v>
      </c>
    </row>
    <row r="36" spans="3:20" ht="10.5">
      <c r="C36" s="55">
        <v>41639</v>
      </c>
      <c r="D36" s="8"/>
      <c r="E36" s="8"/>
      <c r="F36" s="54">
        <v>104.8</v>
      </c>
      <c r="G36" s="79">
        <f t="shared" si="1"/>
        <v>2.7450980392156765E-2</v>
      </c>
      <c r="H36" s="135"/>
      <c r="I36" s="8"/>
      <c r="J36" s="8"/>
      <c r="T36" s="90" t="str">
        <f>IF(C36&gt;EOMONTH(DATE('Input|General'!$G$12,MONTH('Input|General'!$G$9),1),0),"Ok",IF(ISBLANK($F36),"Check","Ok"))</f>
        <v>Ok</v>
      </c>
    </row>
    <row r="37" spans="3:20" ht="10.5">
      <c r="C37" s="55">
        <v>41729</v>
      </c>
      <c r="D37" s="8"/>
      <c r="E37" s="8"/>
      <c r="F37" s="54">
        <v>105.4</v>
      </c>
      <c r="G37" s="79">
        <f t="shared" si="1"/>
        <v>2.9296875E-2</v>
      </c>
      <c r="H37" s="135"/>
      <c r="I37" s="8"/>
      <c r="J37" s="8"/>
      <c r="T37" s="90" t="str">
        <f>IF(C37&gt;EOMONTH(DATE('Input|General'!$G$12,MONTH('Input|General'!$G$9),1),0),"Ok",IF(ISBLANK($F37),"Check","Ok"))</f>
        <v>Ok</v>
      </c>
    </row>
    <row r="38" spans="3:20" ht="10.5">
      <c r="C38" s="55">
        <v>41820</v>
      </c>
      <c r="D38" s="8"/>
      <c r="E38" s="8"/>
      <c r="F38" s="54">
        <v>105.9</v>
      </c>
      <c r="G38" s="79">
        <f t="shared" si="1"/>
        <v>3.0155642023346418E-2</v>
      </c>
      <c r="H38" s="135"/>
      <c r="I38" s="8"/>
      <c r="J38" s="8"/>
      <c r="T38" s="90" t="str">
        <f>IF(C38&gt;EOMONTH(DATE('Input|General'!$G$12,MONTH('Input|General'!$G$9),1),0),"Ok",IF(ISBLANK($F38),"Check","Ok"))</f>
        <v>Ok</v>
      </c>
    </row>
    <row r="39" spans="3:20" ht="10.5">
      <c r="C39" s="55">
        <v>41912</v>
      </c>
      <c r="D39" s="8"/>
      <c r="E39" s="8"/>
      <c r="F39" s="54">
        <v>106.4</v>
      </c>
      <c r="G39" s="79">
        <f t="shared" si="1"/>
        <v>2.3076923076923217E-2</v>
      </c>
      <c r="H39" s="135"/>
      <c r="I39" s="8"/>
      <c r="J39" s="8"/>
      <c r="T39" s="90" t="str">
        <f>IF(C39&gt;EOMONTH(DATE('Input|General'!$G$12,MONTH('Input|General'!$G$9),1),0),"Ok",IF(ISBLANK($F39),"Check","Ok"))</f>
        <v>Ok</v>
      </c>
    </row>
    <row r="40" spans="3:20" ht="10.5">
      <c r="C40" s="55">
        <v>42004</v>
      </c>
      <c r="D40" s="8"/>
      <c r="E40" s="8"/>
      <c r="F40" s="54">
        <v>106.6</v>
      </c>
      <c r="G40" s="79">
        <f t="shared" si="1"/>
        <v>1.7175572519083859E-2</v>
      </c>
      <c r="H40" s="135"/>
      <c r="I40" s="8"/>
      <c r="J40" s="8"/>
      <c r="T40" s="90" t="str">
        <f>IF(C40&gt;EOMONTH(DATE('Input|General'!$G$12,MONTH('Input|General'!$G$9),1),0),"Ok",IF(ISBLANK($F40),"Check","Ok"))</f>
        <v>Ok</v>
      </c>
    </row>
    <row r="41" spans="3:20" ht="10.5">
      <c r="C41" s="55">
        <v>42094</v>
      </c>
      <c r="D41" s="8"/>
      <c r="E41" s="8"/>
      <c r="F41" s="54">
        <v>106.8</v>
      </c>
      <c r="G41" s="79">
        <f t="shared" si="1"/>
        <v>1.3282732447817747E-2</v>
      </c>
      <c r="H41" s="135"/>
      <c r="I41" s="8"/>
      <c r="J41" s="8"/>
      <c r="T41" s="90" t="str">
        <f>IF(C41&gt;EOMONTH(DATE('Input|General'!$G$12,MONTH('Input|General'!$G$9),1),0),"Ok",IF(ISBLANK($F41),"Check","Ok"))</f>
        <v>Ok</v>
      </c>
    </row>
    <row r="42" spans="3:20" ht="10.5">
      <c r="C42" s="55">
        <v>42185</v>
      </c>
      <c r="D42" s="8"/>
      <c r="E42" s="8"/>
      <c r="F42" s="54">
        <v>107.5</v>
      </c>
      <c r="G42" s="79">
        <f t="shared" si="1"/>
        <v>1.5108593012275628E-2</v>
      </c>
      <c r="H42" s="135"/>
      <c r="I42" s="8"/>
      <c r="J42" s="8"/>
      <c r="T42" s="90" t="str">
        <f>IF(C42&gt;EOMONTH(DATE('Input|General'!$G$12,MONTH('Input|General'!$G$9),1),0),"Ok",IF(ISBLANK($F42),"Check","Ok"))</f>
        <v>Ok</v>
      </c>
    </row>
    <row r="43" spans="3:20" ht="10.5">
      <c r="C43" s="55">
        <v>42277</v>
      </c>
      <c r="D43" s="8"/>
      <c r="E43" s="8"/>
      <c r="F43" s="54">
        <v>108</v>
      </c>
      <c r="G43" s="79">
        <f t="shared" si="1"/>
        <v>1.5037593984962294E-2</v>
      </c>
      <c r="H43" s="135"/>
      <c r="I43" s="8"/>
      <c r="J43" s="8"/>
      <c r="T43" s="90" t="str">
        <f>IF(C43&gt;EOMONTH(DATE('Input|General'!$G$12,MONTH('Input|General'!$G$9),1),0),"Ok",IF(ISBLANK($F43),"Check","Ok"))</f>
        <v>Ok</v>
      </c>
    </row>
    <row r="44" spans="3:20" ht="10.5">
      <c r="C44" s="55">
        <v>42369</v>
      </c>
      <c r="D44" s="8"/>
      <c r="E44" s="8"/>
      <c r="F44" s="54">
        <v>108.4</v>
      </c>
      <c r="G44" s="79">
        <f t="shared" si="1"/>
        <v>1.6885553470919357E-2</v>
      </c>
      <c r="H44" s="135"/>
      <c r="I44" s="8"/>
      <c r="J44" s="8"/>
      <c r="T44" s="90" t="str">
        <f>IF(C44&gt;EOMONTH(DATE('Input|General'!$G$12,MONTH('Input|General'!$G$9),1),0),"Ok",IF(ISBLANK($F44),"Check","Ok"))</f>
        <v>Ok</v>
      </c>
    </row>
    <row r="45" spans="3:20" ht="10.5">
      <c r="C45" s="55">
        <v>42460</v>
      </c>
      <c r="D45" s="8"/>
      <c r="E45" s="8"/>
      <c r="F45" s="54">
        <v>108.2</v>
      </c>
      <c r="G45" s="79">
        <f t="shared" si="1"/>
        <v>1.3108614232209881E-2</v>
      </c>
      <c r="H45" s="135"/>
      <c r="I45" s="8"/>
      <c r="J45" s="8"/>
      <c r="T45" s="90" t="str">
        <f>IF(C45&gt;EOMONTH(DATE('Input|General'!$G$12,MONTH('Input|General'!$G$9),1),0),"Ok",IF(ISBLANK($F45),"Check","Ok"))</f>
        <v>Ok</v>
      </c>
    </row>
    <row r="46" spans="3:20" ht="10.5">
      <c r="C46" s="55">
        <v>42551</v>
      </c>
      <c r="D46" s="8"/>
      <c r="E46" s="8"/>
      <c r="F46" s="54">
        <v>108.6</v>
      </c>
      <c r="G46" s="79">
        <f t="shared" si="1"/>
        <v>1.0232558139534831E-2</v>
      </c>
      <c r="H46" s="135"/>
      <c r="I46" s="8"/>
      <c r="J46" s="8"/>
      <c r="T46" s="90" t="str">
        <f>IF(C46&gt;EOMONTH(DATE('Input|General'!$G$12,MONTH('Input|General'!$G$9),1),0),"Ok",IF(ISBLANK($F46),"Check","Ok"))</f>
        <v>Ok</v>
      </c>
    </row>
    <row r="47" spans="3:20" ht="10.5">
      <c r="C47" s="55">
        <v>42643</v>
      </c>
      <c r="D47" s="8"/>
      <c r="E47" s="8"/>
      <c r="F47" s="54">
        <v>109.4</v>
      </c>
      <c r="G47" s="79">
        <f t="shared" si="1"/>
        <v>1.2962962962963065E-2</v>
      </c>
      <c r="H47" s="135"/>
      <c r="I47" s="8"/>
      <c r="J47" s="8"/>
      <c r="T47" s="90" t="str">
        <f>IF(C47&gt;EOMONTH(DATE('Input|General'!$G$12,MONTH('Input|General'!$G$9),1),0),"Ok",IF(ISBLANK($F47),"Check","Ok"))</f>
        <v>Ok</v>
      </c>
    </row>
    <row r="48" spans="3:20" ht="10.5">
      <c r="C48" s="55">
        <v>42735</v>
      </c>
      <c r="D48" s="8"/>
      <c r="E48" s="8"/>
      <c r="F48" s="54">
        <v>110</v>
      </c>
      <c r="G48" s="79">
        <f t="shared" si="1"/>
        <v>1.4760147601476037E-2</v>
      </c>
      <c r="H48" s="135"/>
      <c r="I48" s="8"/>
      <c r="J48" s="8"/>
      <c r="T48" s="90" t="str">
        <f>IF(C48&gt;EOMONTH(DATE('Input|General'!$G$12,MONTH('Input|General'!$G$9),1),0),"Ok",IF(ISBLANK($F48),"Check","Ok"))</f>
        <v>Ok</v>
      </c>
    </row>
    <row r="49" spans="1:20" ht="10.5">
      <c r="C49" s="55">
        <v>42825</v>
      </c>
      <c r="D49" s="8"/>
      <c r="E49" s="8"/>
      <c r="F49" s="54">
        <v>110.5</v>
      </c>
      <c r="G49" s="79">
        <f t="shared" si="1"/>
        <v>2.1256931608133023E-2</v>
      </c>
      <c r="H49" s="135"/>
      <c r="I49" s="8"/>
      <c r="J49" s="8"/>
      <c r="T49" s="90" t="str">
        <f>IF(C49&gt;EOMONTH(DATE('Input|General'!$G$12,MONTH('Input|General'!$G$9),1),0),"Ok",IF(ISBLANK($F49),"Check","Ok"))</f>
        <v>Ok</v>
      </c>
    </row>
    <row r="50" spans="1:20" ht="10.5">
      <c r="C50" s="55">
        <v>42916</v>
      </c>
      <c r="D50" s="8"/>
      <c r="E50" s="8"/>
      <c r="F50" s="54">
        <v>110.7</v>
      </c>
      <c r="G50" s="79">
        <f t="shared" si="1"/>
        <v>1.9337016574585641E-2</v>
      </c>
      <c r="H50" s="136"/>
      <c r="I50" s="8"/>
      <c r="J50" s="8"/>
      <c r="T50" s="90" t="str">
        <f>IF(C50&gt;EOMONTH(DATE('Input|General'!$G$12,MONTH('Input|General'!$G$9),1),0),"Ok",IF(ISBLANK($F50),"Check","Ok"))</f>
        <v>Ok</v>
      </c>
    </row>
    <row r="51" spans="1:20" ht="10.5">
      <c r="C51" s="55">
        <v>43008</v>
      </c>
      <c r="D51" s="8"/>
      <c r="E51" s="8"/>
      <c r="F51" s="54">
        <v>111.4</v>
      </c>
      <c r="G51" s="79">
        <f t="shared" si="1"/>
        <v>1.8281535648994485E-2</v>
      </c>
      <c r="H51" s="135"/>
      <c r="I51" s="8"/>
      <c r="J51" s="8"/>
      <c r="T51" s="90" t="str">
        <f>IF(C51&gt;EOMONTH(DATE('Input|General'!$G$12,MONTH('Input|General'!$G$9),1),0),"Ok",IF(ISBLANK($F51),"Check","Ok"))</f>
        <v>Ok</v>
      </c>
    </row>
    <row r="52" spans="1:20" ht="10.5">
      <c r="C52" s="55">
        <v>43100</v>
      </c>
      <c r="D52" s="8"/>
      <c r="E52" s="8"/>
      <c r="F52" s="54">
        <v>112.1</v>
      </c>
      <c r="G52" s="79">
        <f t="shared" si="1"/>
        <v>1.9090909090909047E-2</v>
      </c>
      <c r="H52" s="135"/>
      <c r="I52" s="8"/>
      <c r="J52" s="8"/>
      <c r="T52" s="90" t="str">
        <f>IF(C52&gt;EOMONTH(DATE('Input|General'!$G$12,MONTH('Input|General'!$G$9),1),0),"Ok",IF(ISBLANK($F52),"Check","Ok"))</f>
        <v>Ok</v>
      </c>
    </row>
    <row r="53" spans="1:20" ht="10.5">
      <c r="C53" s="55">
        <v>43190</v>
      </c>
      <c r="D53" s="8"/>
      <c r="E53" s="8"/>
      <c r="F53" s="54">
        <v>112.6</v>
      </c>
      <c r="G53" s="79">
        <f t="shared" si="1"/>
        <v>1.9004524886877761E-2</v>
      </c>
      <c r="H53" s="135"/>
      <c r="I53" s="8"/>
      <c r="J53" s="8"/>
      <c r="T53" s="90" t="str">
        <f>IF(C53&gt;EOMONTH(DATE('Input|General'!$G$12,MONTH('Input|General'!$G$9),1),0),"Ok",IF(ISBLANK($F53),"Check","Ok"))</f>
        <v>Ok</v>
      </c>
    </row>
    <row r="54" spans="1:20" ht="10.5">
      <c r="C54" s="55">
        <v>43281</v>
      </c>
      <c r="D54" s="8"/>
      <c r="E54" s="8"/>
      <c r="F54" s="54">
        <v>113</v>
      </c>
      <c r="G54" s="79">
        <f t="shared" si="1"/>
        <v>2.0776874435411097E-2</v>
      </c>
      <c r="H54" s="135"/>
      <c r="I54" s="8"/>
      <c r="J54" s="8"/>
      <c r="T54" s="90" t="str">
        <f>IF(C54&gt;EOMONTH(DATE('Input|General'!$G$12,MONTH('Input|General'!$G$9),1),0),"Ok",IF(ISBLANK($F54),"Check","Ok"))</f>
        <v>Ok</v>
      </c>
    </row>
    <row r="55" spans="1:20" ht="10.5">
      <c r="C55" s="55">
        <v>43373</v>
      </c>
      <c r="D55" s="8"/>
      <c r="E55" s="8"/>
      <c r="F55" s="54">
        <v>113.5</v>
      </c>
      <c r="G55" s="79">
        <f t="shared" si="1"/>
        <v>1.8850987432674993E-2</v>
      </c>
      <c r="H55" s="135"/>
      <c r="I55" s="8"/>
      <c r="J55" s="8"/>
      <c r="T55" s="90" t="str">
        <f>IF(C55&gt;EOMONTH(DATE('Input|General'!$G$12,MONTH('Input|General'!$G$9),1),0),"Ok",IF(ISBLANK($F55),"Check","Ok"))</f>
        <v>Ok</v>
      </c>
    </row>
    <row r="56" spans="1:20" ht="10.5">
      <c r="C56" s="55">
        <v>43465</v>
      </c>
      <c r="D56" s="8"/>
      <c r="E56" s="8"/>
      <c r="F56" s="54">
        <v>114.1</v>
      </c>
      <c r="G56" s="79">
        <f t="shared" si="1"/>
        <v>1.7841213202497874E-2</v>
      </c>
      <c r="H56" s="135"/>
      <c r="I56" s="8"/>
      <c r="J56" s="8"/>
      <c r="T56" s="90" t="str">
        <f>IF(C56&gt;EOMONTH(DATE('Input|General'!$G$12,MONTH('Input|General'!$G$9),1),0),"Ok",IF(ISBLANK($F56),"Check","Ok"))</f>
        <v>Ok</v>
      </c>
    </row>
    <row r="57" spans="1:20" ht="10.5">
      <c r="C57" s="55">
        <v>43555</v>
      </c>
      <c r="D57" s="8"/>
      <c r="E57" s="8"/>
      <c r="F57" s="54">
        <v>114.1</v>
      </c>
      <c r="G57" s="79">
        <f t="shared" si="1"/>
        <v>1.3321492007104752E-2</v>
      </c>
      <c r="H57" s="135"/>
      <c r="I57" s="8"/>
      <c r="J57" s="8"/>
      <c r="T57" s="90" t="str">
        <f>IF(C57&gt;EOMONTH(DATE('Input|General'!$G$12,MONTH('Input|General'!$G$9),1),0),"Ok",IF(ISBLANK($F57),"Check","Ok"))</f>
        <v>Ok</v>
      </c>
    </row>
    <row r="58" spans="1:20" ht="10.5">
      <c r="C58" s="55">
        <v>43646</v>
      </c>
      <c r="D58" s="8"/>
      <c r="E58" s="8"/>
      <c r="F58" s="54">
        <v>114.8</v>
      </c>
      <c r="G58" s="79">
        <f t="shared" si="1"/>
        <v>1.5929203539823078E-2</v>
      </c>
      <c r="H58" s="135"/>
      <c r="I58" s="8"/>
      <c r="J58" s="8"/>
      <c r="T58" s="90" t="str">
        <f>IF(C58&gt;EOMONTH(DATE('Input|General'!$G$12,MONTH('Input|General'!$G$9),1),0),"Ok",IF(ISBLANK($F58),"Check","Ok"))</f>
        <v>Ok</v>
      </c>
    </row>
    <row r="59" spans="1:20" ht="10.5">
      <c r="C59" s="55">
        <v>43738</v>
      </c>
      <c r="D59" s="8"/>
      <c r="E59" s="8"/>
      <c r="F59" s="54">
        <v>115.4</v>
      </c>
      <c r="G59" s="79">
        <f t="shared" si="1"/>
        <v>1.6740088105726914E-2</v>
      </c>
      <c r="H59" s="135"/>
      <c r="I59" s="8"/>
      <c r="J59" s="8"/>
      <c r="T59" s="90" t="str">
        <f>IF(C59&gt;EOMONTH(DATE('Input|General'!$G$12,MONTH('Input|General'!$G$9),1),0),"Ok",IF(ISBLANK($F59),"Check","Ok"))</f>
        <v>Ok</v>
      </c>
    </row>
    <row r="60" spans="1:20" ht="10.5">
      <c r="C60" s="55">
        <v>43830</v>
      </c>
      <c r="D60" s="8"/>
      <c r="E60" s="8"/>
      <c r="F60" s="54">
        <v>116.2</v>
      </c>
      <c r="G60" s="79">
        <f t="shared" si="1"/>
        <v>1.8404907975460238E-2</v>
      </c>
      <c r="H60" s="135"/>
      <c r="I60" s="8"/>
      <c r="J60" s="8"/>
      <c r="T60" s="90" t="str">
        <f>IF(C60&gt;EOMONTH(DATE('Input|General'!$G$12,MONTH('Input|General'!$G$9),1),0),"Ok",IF(ISBLANK($F60),"Check","Ok"))</f>
        <v>Ok</v>
      </c>
    </row>
    <row r="61" spans="1:20" ht="10.5">
      <c r="C61" s="55">
        <v>43921</v>
      </c>
      <c r="D61" s="8"/>
      <c r="E61" s="8"/>
      <c r="F61" s="54">
        <v>116.6</v>
      </c>
      <c r="G61" s="79">
        <f t="shared" si="1"/>
        <v>2.1910604732690686E-2</v>
      </c>
      <c r="H61" s="135"/>
      <c r="I61" s="8"/>
      <c r="J61" s="8"/>
      <c r="T61" s="90" t="str">
        <f>IF(C61&gt;EOMONTH(DATE('Input|General'!$G$12,MONTH('Input|General'!$G$9),1),0),"Ok",IF(ISBLANK($F61),"Check","Ok"))</f>
        <v>Ok</v>
      </c>
    </row>
    <row r="62" spans="1:20" ht="10.5">
      <c r="C62" s="55">
        <v>44012</v>
      </c>
      <c r="D62" s="8"/>
      <c r="E62" s="8"/>
      <c r="F62" s="54">
        <v>114.4</v>
      </c>
      <c r="G62" s="79">
        <f t="shared" si="1"/>
        <v>-3.4843205574912606E-3</v>
      </c>
      <c r="H62" s="135"/>
      <c r="I62" s="8"/>
      <c r="J62" s="8"/>
      <c r="T62" s="90" t="str">
        <f>IF(C62&gt;EOMONTH(DATE('Input|General'!$G$12,MONTH('Input|General'!$G$9),1),0),"Ok",IF(ISBLANK($F62),"Check","Ok"))</f>
        <v>Ok</v>
      </c>
    </row>
    <row r="63" spans="1:20" ht="10.5">
      <c r="C63" s="55">
        <v>44104</v>
      </c>
      <c r="D63" s="8"/>
      <c r="E63" s="8"/>
      <c r="F63" s="54">
        <v>116.2</v>
      </c>
      <c r="G63" s="79">
        <f t="shared" si="1"/>
        <v>6.9324090121316573E-3</v>
      </c>
      <c r="H63" s="135"/>
      <c r="I63" s="8"/>
      <c r="J63" s="8"/>
      <c r="T63" s="90" t="str">
        <f>IF(C63&gt;EOMONTH(DATE('Input|General'!$G$12,MONTH('Input|General'!$G$9),1),0),"Ok",IF(ISBLANK($F63),"Check","Ok"))</f>
        <v>Ok</v>
      </c>
    </row>
    <row r="64" spans="1:20" ht="10.5">
      <c r="A64" s="8">
        <v>118</v>
      </c>
      <c r="C64" s="55">
        <v>44196</v>
      </c>
      <c r="D64" s="8"/>
      <c r="E64" s="8"/>
      <c r="F64" s="54">
        <v>117.2</v>
      </c>
      <c r="G64" s="79">
        <f>IF(ISBLANK(F64),"",F64/F60-1)</f>
        <v>8.6058519793459354E-3</v>
      </c>
      <c r="H64" s="135"/>
      <c r="I64" s="8"/>
      <c r="J64" s="8"/>
      <c r="T64" s="90" t="str">
        <f>IF(C64&gt;EOMONTH(DATE('Input|General'!$G$12,MONTH('Input|General'!$G$9),1),0),"Ok",IF(ISBLANK($F64),"Check","Ok"))</f>
        <v>Ok</v>
      </c>
    </row>
    <row r="65" spans="3:20" ht="10.5">
      <c r="C65" s="55">
        <v>44286</v>
      </c>
      <c r="D65" s="8"/>
      <c r="E65" s="8"/>
      <c r="F65" s="54">
        <v>117.9</v>
      </c>
      <c r="G65" s="79">
        <f t="shared" si="1"/>
        <v>1.1149228130360234E-2</v>
      </c>
      <c r="H65" s="135"/>
      <c r="I65" s="8"/>
      <c r="J65" s="8"/>
      <c r="T65" s="90" t="str">
        <f>IF(C65&gt;EOMONTH(DATE('Input|General'!$G$12,MONTH('Input|General'!$G$9),1),0),"Ok",IF(ISBLANK($F65),"Check","Ok"))</f>
        <v>Ok</v>
      </c>
    </row>
    <row r="66" spans="3:20" ht="10.5">
      <c r="C66" s="55">
        <v>44377</v>
      </c>
      <c r="D66" s="8"/>
      <c r="E66" s="8"/>
      <c r="F66" s="54">
        <v>118.8</v>
      </c>
      <c r="G66" s="79">
        <f t="shared" si="1"/>
        <v>3.8461538461538325E-2</v>
      </c>
      <c r="H66" s="135"/>
      <c r="I66" s="8"/>
      <c r="J66" s="8"/>
      <c r="T66" s="90" t="str">
        <f>IF(C66&gt;EOMONTH(DATE('Input|General'!$G$12,MONTH('Input|General'!$G$9),1),0),"Ok",IF(ISBLANK($F66),"Check","Ok"))</f>
        <v>Ok</v>
      </c>
    </row>
    <row r="67" spans="3:20" ht="10.5">
      <c r="C67" s="55">
        <v>44469</v>
      </c>
      <c r="D67" s="8"/>
      <c r="E67" s="8"/>
      <c r="F67" s="54">
        <v>119.7</v>
      </c>
      <c r="G67" s="79">
        <f t="shared" si="1"/>
        <v>3.0120481927710774E-2</v>
      </c>
      <c r="H67" s="135"/>
      <c r="I67" s="8"/>
      <c r="J67" s="8"/>
      <c r="T67" s="90" t="str">
        <f>IF(C67&gt;EOMONTH(DATE('Input|General'!$G$12,MONTH('Input|General'!$G$9),1),0),"Ok",IF(ISBLANK($F67),"Check","Ok"))</f>
        <v>Ok</v>
      </c>
    </row>
    <row r="68" spans="3:20" ht="10.5">
      <c r="C68" s="55">
        <v>44561</v>
      </c>
      <c r="D68" s="8"/>
      <c r="E68" s="8"/>
      <c r="F68" s="54">
        <v>121.3</v>
      </c>
      <c r="G68" s="79">
        <f t="shared" si="1"/>
        <v>3.4982935153583528E-2</v>
      </c>
      <c r="H68" s="135"/>
      <c r="I68" s="8"/>
      <c r="J68" s="8"/>
      <c r="T68" s="90" t="str">
        <f>IF(C68&gt;EOMONTH(DATE('Input|General'!$G$12,MONTH('Input|General'!$G$9),1),0),"Ok",IF(ISBLANK($F68),"Check","Ok"))</f>
        <v>Ok</v>
      </c>
    </row>
    <row r="69" spans="3:20" ht="10.5">
      <c r="C69" s="55">
        <v>44651</v>
      </c>
      <c r="D69" s="8"/>
      <c r="E69" s="8"/>
      <c r="F69" s="54">
        <v>123.9</v>
      </c>
      <c r="G69" s="79">
        <f t="shared" ref="G69:G77" si="2">IF(ISBLANK(F69),"",F69/F65-1)</f>
        <v>5.0890585241730291E-2</v>
      </c>
      <c r="H69" s="135"/>
      <c r="I69" s="8"/>
      <c r="J69" s="8"/>
      <c r="T69" s="90" t="str">
        <f>IF(C69&gt;EOMONTH(DATE('Input|General'!$G$12,MONTH('Input|General'!$G$9),1),0),"Ok",IF(ISBLANK($F69),"Check","Ok"))</f>
        <v>Ok</v>
      </c>
    </row>
    <row r="70" spans="3:20" ht="10.5">
      <c r="C70" s="55">
        <v>44742</v>
      </c>
      <c r="D70" s="8"/>
      <c r="E70" s="8"/>
      <c r="F70" s="54">
        <v>126.1</v>
      </c>
      <c r="G70" s="79">
        <f t="shared" si="2"/>
        <v>6.1447811447811418E-2</v>
      </c>
      <c r="H70" s="135"/>
      <c r="I70" s="8"/>
      <c r="J70" s="8"/>
      <c r="K70" s="167"/>
      <c r="T70" s="90" t="str">
        <f>IF(C70&gt;EOMONTH(DATE('Input|General'!$G$12,MONTH('Input|General'!$G$9),1),0),"Ok",IF(ISBLANK($F70),"Check","Ok"))</f>
        <v>Ok</v>
      </c>
    </row>
    <row r="71" spans="3:20" ht="10.5">
      <c r="C71" s="55">
        <v>44834</v>
      </c>
      <c r="D71" s="8"/>
      <c r="E71" s="8"/>
      <c r="F71" s="54">
        <v>128.4</v>
      </c>
      <c r="G71" s="168">
        <f t="shared" si="2"/>
        <v>7.268170426065157E-2</v>
      </c>
      <c r="H71" s="135"/>
      <c r="I71" s="8"/>
      <c r="J71" s="8"/>
      <c r="K71" s="161"/>
      <c r="T71" s="90" t="str">
        <f>IF(C71&gt;EOMONTH(DATE('Input|General'!$G$12,MONTH('Input|General'!$G$9),1),0),"Ok",IF(ISBLANK($F71),"Check","Ok"))</f>
        <v>Ok</v>
      </c>
    </row>
    <row r="72" spans="3:20" ht="10.5">
      <c r="C72" s="55">
        <v>44926</v>
      </c>
      <c r="D72" s="8"/>
      <c r="E72" s="8"/>
      <c r="F72" s="174">
        <v>130.80000000000001</v>
      </c>
      <c r="G72" s="168">
        <f t="shared" si="2"/>
        <v>7.8318219291014124E-2</v>
      </c>
      <c r="H72" s="171"/>
      <c r="I72" s="172"/>
      <c r="J72" s="172"/>
      <c r="K72" s="173"/>
      <c r="L72" s="172"/>
      <c r="M72" s="172"/>
      <c r="N72" s="172"/>
      <c r="T72" s="90" t="str">
        <f>IF(C72&gt;EOMONTH(DATE('Input|General'!$G$12,MONTH('Input|General'!$G$9),1),0),"Ok",IF(ISBLANK($F72),"Check","Ok"))</f>
        <v>Ok</v>
      </c>
    </row>
    <row r="73" spans="3:20" ht="10.5">
      <c r="C73" s="55">
        <v>45016</v>
      </c>
      <c r="D73" s="8"/>
      <c r="E73" s="8"/>
      <c r="F73" s="174">
        <v>132.6</v>
      </c>
      <c r="G73" s="168">
        <f t="shared" si="2"/>
        <v>7.0217917675544639E-2</v>
      </c>
      <c r="H73" s="135"/>
      <c r="I73" s="8"/>
      <c r="J73" s="8"/>
      <c r="K73" s="161"/>
      <c r="T73" s="90" t="str">
        <f>IF(C73&gt;EOMONTH(DATE('Input|General'!$G$12,MONTH('Input|General'!$G$9),1),0),"Ok",IF(ISBLANK($F73),"Check","Ok"))</f>
        <v>Ok</v>
      </c>
    </row>
    <row r="74" spans="3:20" ht="10.5">
      <c r="C74" s="55">
        <v>45107</v>
      </c>
      <c r="D74" s="8"/>
      <c r="E74" s="8"/>
      <c r="F74" s="174">
        <v>133.69999999999999</v>
      </c>
      <c r="G74" s="168">
        <f t="shared" si="2"/>
        <v>6.0269627279936566E-2</v>
      </c>
      <c r="H74" s="171"/>
      <c r="I74" s="172"/>
      <c r="J74" s="172"/>
      <c r="K74" s="173"/>
      <c r="L74" s="172"/>
      <c r="M74" s="172"/>
      <c r="N74" s="172"/>
      <c r="O74" s="172"/>
      <c r="T74" s="90" t="str">
        <f>IF(C74&gt;EOMONTH(DATE('Input|General'!$G$12,MONTH('Input|General'!$G$9),1),0),"Ok",IF(ISBLANK($F74),"Check","Ok"))</f>
        <v>Ok</v>
      </c>
    </row>
    <row r="75" spans="3:20" ht="10.5">
      <c r="C75" s="55">
        <v>45199</v>
      </c>
      <c r="D75" s="8"/>
      <c r="E75" s="8"/>
      <c r="F75" s="174">
        <v>135.30000000000001</v>
      </c>
      <c r="G75" s="168">
        <f t="shared" si="2"/>
        <v>5.3738317757009435E-2</v>
      </c>
      <c r="H75" s="135"/>
      <c r="I75" s="8"/>
      <c r="J75" s="8"/>
      <c r="K75" s="161"/>
      <c r="T75" s="90" t="str">
        <f>IF(C75&gt;EOMONTH(DATE('Input|General'!$G$12,MONTH('Input|General'!$G$9),1),0),"Ok",IF(ISBLANK($F75),"Check","Ok"))</f>
        <v>Ok</v>
      </c>
    </row>
    <row r="76" spans="3:20" ht="10.5">
      <c r="C76" s="55">
        <v>45291</v>
      </c>
      <c r="D76" s="8"/>
      <c r="E76" s="8"/>
      <c r="F76" s="174">
        <v>136.1</v>
      </c>
      <c r="G76" s="168">
        <f t="shared" si="2"/>
        <v>4.0519877675840865E-2</v>
      </c>
      <c r="H76" s="171"/>
      <c r="I76" s="172"/>
      <c r="J76" s="172"/>
      <c r="K76" s="173"/>
      <c r="L76" s="172"/>
      <c r="M76" s="172"/>
      <c r="N76" s="172"/>
      <c r="T76" s="90" t="str">
        <f>IF(C76&gt;EOMONTH(DATE('Input|General'!$G$12,MONTH('Input|General'!$G$9),1),0),"Ok",IF(ISBLANK($F76),"Check","Ok"))</f>
        <v>Ok</v>
      </c>
    </row>
    <row r="77" spans="3:20" ht="10.5">
      <c r="C77" s="55">
        <v>45382</v>
      </c>
      <c r="D77" s="8"/>
      <c r="E77" s="8"/>
      <c r="F77" s="174">
        <v>137.4</v>
      </c>
      <c r="G77" s="168">
        <f t="shared" si="2"/>
        <v>3.6199095022624528E-2</v>
      </c>
      <c r="H77" s="135"/>
      <c r="I77" s="8"/>
      <c r="J77" s="8"/>
      <c r="K77" s="161"/>
      <c r="T77" s="90" t="str">
        <f>IF(C77&gt;EOMONTH(DATE('Input|General'!$G$12,MONTH('Input|General'!$G$9),1),0),"Ok",IF(ISBLANK($F77),"Check","Ok"))</f>
        <v>Ok</v>
      </c>
    </row>
    <row r="78" spans="3:20" ht="10.5">
      <c r="C78" s="55">
        <v>45473</v>
      </c>
      <c r="D78" s="8"/>
      <c r="E78" s="8"/>
      <c r="F78" s="174">
        <v>138.80000000000001</v>
      </c>
      <c r="G78" s="170">
        <v>3.7999999999999999E-2</v>
      </c>
      <c r="H78" s="171"/>
      <c r="I78" s="172"/>
      <c r="J78" s="172"/>
      <c r="K78" s="173"/>
      <c r="L78" s="172"/>
      <c r="M78" s="172"/>
      <c r="N78" s="172"/>
      <c r="T78" s="90" t="str">
        <f>IF(C78&gt;EOMONTH(DATE('Input|General'!$G$12,MONTH('Input|General'!$G$9),1),0),"Ok",IF(ISBLANK($F78),"Check","Ok"))</f>
        <v>Ok</v>
      </c>
    </row>
    <row r="79" spans="3:20" ht="10.5">
      <c r="C79" s="55">
        <v>45565</v>
      </c>
      <c r="D79" s="8"/>
      <c r="E79" s="8"/>
      <c r="F79" s="174">
        <v>139.1</v>
      </c>
      <c r="G79" s="168">
        <f>IF(ISBLANK(F79),"",F79/F75-1)</f>
        <v>2.8085735402808343E-2</v>
      </c>
      <c r="H79" s="135"/>
      <c r="I79" s="8"/>
      <c r="J79" s="8"/>
      <c r="K79" s="167"/>
      <c r="L79" s="172"/>
      <c r="T79" s="90" t="str">
        <f>IF(C79&gt;EOMONTH(DATE('Input|General'!$G$12,MONTH('Input|General'!$G$9),1),0),"Ok",IF(ISBLANK($F79),"Check","Ok"))</f>
        <v>Ok</v>
      </c>
    </row>
    <row r="80" spans="3:20" ht="10.5">
      <c r="C80" s="55">
        <v>45657</v>
      </c>
      <c r="D80" s="8"/>
      <c r="E80" s="8"/>
      <c r="F80" s="162">
        <f>(F76*(1+G80))</f>
        <v>139.6386</v>
      </c>
      <c r="G80" s="170">
        <v>2.5999999999999999E-2</v>
      </c>
      <c r="H80" s="171" t="s">
        <v>207</v>
      </c>
      <c r="I80" s="172"/>
      <c r="J80" s="172"/>
      <c r="K80" s="173"/>
      <c r="L80" s="172"/>
      <c r="M80" s="172"/>
      <c r="N80" s="172"/>
      <c r="T80" s="90" t="str">
        <f>IF(C80&gt;EOMONTH(DATE('Input|General'!$G$12,MONTH('Input|General'!$G$9),1),0),"Ok",IF(ISBLANK($F80),"Check","Ok"))</f>
        <v>Ok</v>
      </c>
    </row>
    <row r="81" spans="1:31" ht="10.5">
      <c r="C81" s="55">
        <v>45747</v>
      </c>
      <c r="D81" s="8"/>
      <c r="E81" s="8"/>
      <c r="F81" s="162">
        <f>AVERAGE(F80,F82)</f>
        <v>140.95429999999999</v>
      </c>
      <c r="G81" s="168">
        <f>IF(ISBLANK(F81),"",F81/F77-1)</f>
        <v>2.5868267831149705E-2</v>
      </c>
      <c r="H81" s="135"/>
      <c r="I81" s="8"/>
      <c r="J81" s="8"/>
      <c r="K81" s="167"/>
      <c r="T81" s="90" t="str">
        <f>IF(C81&gt;EOMONTH(DATE('Input|General'!$G$12,MONTH('Input|General'!$G$9),1),0),"Ok",IF(ISBLANK($F81),"Check","Ok"))</f>
        <v>Ok</v>
      </c>
    </row>
    <row r="82" spans="1:31" ht="10.5">
      <c r="C82" s="55">
        <v>45838</v>
      </c>
      <c r="D82" s="8"/>
      <c r="E82" s="8"/>
      <c r="F82" s="162">
        <f>(F78*(1+G82))</f>
        <v>142.27000000000001</v>
      </c>
      <c r="G82" s="170">
        <v>2.5000000000000001E-2</v>
      </c>
      <c r="H82" s="171" t="s">
        <v>207</v>
      </c>
      <c r="I82" s="172"/>
      <c r="J82" s="172"/>
      <c r="K82" s="173"/>
      <c r="L82" s="172"/>
      <c r="M82" s="172"/>
      <c r="N82" s="172"/>
      <c r="T82" s="90" t="str">
        <f>IF(C82&gt;EOMONTH(DATE('Input|General'!$G$12,MONTH('Input|General'!$G$9),1),0),"Ok",IF(ISBLANK($F82),"Check","Ok"))</f>
        <v>Ok</v>
      </c>
    </row>
    <row r="83" spans="1:31" ht="10.5">
      <c r="C83" s="55">
        <v>45930</v>
      </c>
      <c r="D83" s="8"/>
      <c r="E83" s="8"/>
      <c r="F83" s="162">
        <f>AVERAGE(F82,F84)</f>
        <v>143.53761409999998</v>
      </c>
      <c r="G83" s="168">
        <f>IF(ISBLANK(F83),"",F83/F79-1)</f>
        <v>3.1902329978432675E-2</v>
      </c>
      <c r="H83" s="135"/>
      <c r="I83" s="8"/>
      <c r="J83" s="8"/>
      <c r="K83" s="167"/>
      <c r="T83" s="90" t="str">
        <f>IF(C83&gt;EOMONTH(DATE('Input|General'!$G$12,MONTH('Input|General'!$G$9),1),0),"Ok",IF(ISBLANK($F83),"Check","Ok"))</f>
        <v>Ok</v>
      </c>
    </row>
    <row r="84" spans="1:31" ht="10.5">
      <c r="C84" s="55">
        <v>46022</v>
      </c>
      <c r="D84" s="8"/>
      <c r="E84" s="8"/>
      <c r="F84" s="162">
        <f>(F80*(1+G84))</f>
        <v>144.80522819999999</v>
      </c>
      <c r="G84" s="168">
        <v>3.6999999999999998E-2</v>
      </c>
      <c r="H84" s="171" t="s">
        <v>207</v>
      </c>
      <c r="I84" s="8"/>
      <c r="J84" s="8"/>
      <c r="K84" s="167"/>
      <c r="T84" s="90" t="str">
        <f>IF(C84&gt;EOMONTH(DATE('Input|General'!$G$12,MONTH('Input|General'!$G$9),1),0),"Ok",IF(ISBLANK($F84),"Check","Ok"))</f>
        <v>Ok</v>
      </c>
    </row>
    <row r="85" spans="1:31" ht="10.5">
      <c r="C85" s="55">
        <v>46112</v>
      </c>
      <c r="D85" s="8"/>
      <c r="E85" s="8"/>
      <c r="F85" s="162">
        <f>AVERAGE(F84,F86)</f>
        <v>145.74279910000001</v>
      </c>
      <c r="G85" s="168">
        <f>IF(ISBLANK(F85),"",F85/F81-1)</f>
        <v>3.3971997306928792E-2</v>
      </c>
      <c r="H85" s="135"/>
      <c r="I85" s="8"/>
      <c r="J85" s="8"/>
      <c r="K85" s="167"/>
      <c r="T85" s="90" t="str">
        <f>IF(C85&gt;EOMONTH(DATE('Input|General'!$G$12,MONTH('Input|General'!$G$9),1),0),"Ok",IF(ISBLANK($F85),"Check","Ok"))</f>
        <v>Ok</v>
      </c>
    </row>
    <row r="86" spans="1:31" ht="10.5">
      <c r="C86" s="55">
        <v>46203</v>
      </c>
      <c r="D86" s="8"/>
      <c r="E86" s="8"/>
      <c r="F86" s="162">
        <f>(F82*(1+G86))</f>
        <v>146.68037000000001</v>
      </c>
      <c r="G86" s="168">
        <v>3.1E-2</v>
      </c>
      <c r="H86" s="171" t="s">
        <v>207</v>
      </c>
      <c r="I86" s="8"/>
      <c r="J86" s="8"/>
      <c r="K86" s="167"/>
      <c r="T86" s="90" t="str">
        <f>IF(C86&gt;EOMONTH(DATE('Input|General'!$G$12,MONTH('Input|General'!$G$9),1),0),"Ok",IF(ISBLANK($F86),"Check","Ok"))</f>
        <v>Ok</v>
      </c>
    </row>
    <row r="87" spans="1:31" ht="10.5">
      <c r="C87" s="55">
        <v>46295</v>
      </c>
      <c r="D87" s="8"/>
      <c r="E87" s="8"/>
      <c r="F87" s="162">
        <f>AVERAGE(F86,F88)</f>
        <v>147.55286445249999</v>
      </c>
      <c r="G87" s="168">
        <f>IF(ISBLANK(F87),"",F87/F83-1)</f>
        <v>2.7973506301300688E-2</v>
      </c>
      <c r="H87" s="135"/>
      <c r="I87" s="8"/>
      <c r="J87" s="8"/>
      <c r="K87" s="167"/>
      <c r="T87" s="90" t="str">
        <f>IF(C87&gt;EOMONTH(DATE('Input|General'!$G$12,MONTH('Input|General'!$G$9),1),0),"Ok",IF(ISBLANK($F87),"Check","Ok"))</f>
        <v>Ok</v>
      </c>
    </row>
    <row r="88" spans="1:31" ht="10.5">
      <c r="C88" s="55">
        <v>46387</v>
      </c>
      <c r="D88" s="8"/>
      <c r="E88" s="8"/>
      <c r="F88" s="162">
        <f>(F84*(1+G88))</f>
        <v>148.42535890499997</v>
      </c>
      <c r="G88" s="168">
        <v>2.5000000000000001E-2</v>
      </c>
      <c r="H88" s="171" t="s">
        <v>207</v>
      </c>
      <c r="I88" s="8"/>
      <c r="J88" s="8"/>
      <c r="K88" s="167"/>
      <c r="T88" s="90" t="str">
        <f>IF(C88&gt;EOMONTH(DATE('Input|General'!$G$12,MONTH('Input|General'!$G$9),1),0),"Ok",IF(ISBLANK($F88),"Check","Ok"))</f>
        <v>Ok</v>
      </c>
    </row>
    <row r="89" spans="1:31" ht="10.5">
      <c r="C89" s="55">
        <v>46477</v>
      </c>
      <c r="D89" s="8"/>
      <c r="E89" s="8"/>
      <c r="F89" s="162">
        <f>(F85*(1+G89))</f>
        <v>149.38636907750001</v>
      </c>
      <c r="G89" s="168">
        <v>2.5000000000000001E-2</v>
      </c>
      <c r="H89" s="135" t="s">
        <v>211</v>
      </c>
      <c r="I89" s="8"/>
      <c r="J89" s="8"/>
      <c r="K89" s="167"/>
      <c r="T89" s="90" t="str">
        <f>IF(C89&gt;EOMONTH(DATE('Input|General'!$G$12,MONTH('Input|General'!$G$9),1),0),"Ok",IF(ISBLANK($F89),"Check","Ok"))</f>
        <v>Ok</v>
      </c>
    </row>
    <row r="90" spans="1:31" ht="10.5">
      <c r="C90" s="55">
        <v>46568</v>
      </c>
      <c r="D90" s="8"/>
      <c r="E90" s="8"/>
      <c r="F90" s="162">
        <f t="shared" ref="F90:F94" si="3">(F86*(1+G90))</f>
        <v>150.34737924999999</v>
      </c>
      <c r="G90" s="168">
        <v>2.5000000000000001E-2</v>
      </c>
      <c r="H90" s="135" t="s">
        <v>211</v>
      </c>
      <c r="I90" s="8"/>
      <c r="J90" s="8"/>
      <c r="K90" s="167"/>
      <c r="T90" s="90" t="str">
        <f>IF(C90&gt;EOMONTH(DATE('Input|General'!$G$12,MONTH('Input|General'!$G$9),1),0),"Ok",IF(ISBLANK($F90),"Check","Ok"))</f>
        <v>Ok</v>
      </c>
    </row>
    <row r="91" spans="1:31" ht="10.5">
      <c r="C91" s="55">
        <v>46660</v>
      </c>
      <c r="D91" s="8"/>
      <c r="E91" s="8"/>
      <c r="F91" s="162">
        <f t="shared" si="3"/>
        <v>151.24168606381247</v>
      </c>
      <c r="G91" s="168">
        <v>2.5000000000000001E-2</v>
      </c>
      <c r="H91" s="135" t="s">
        <v>211</v>
      </c>
      <c r="I91" s="8"/>
      <c r="J91" s="8"/>
      <c r="K91" s="167"/>
      <c r="T91" s="90" t="str">
        <f>IF(C91&gt;EOMONTH(DATE('Input|General'!$G$12,MONTH('Input|General'!$G$9),1),0),"Ok",IF(ISBLANK($F91),"Check","Ok"))</f>
        <v>Ok</v>
      </c>
    </row>
    <row r="92" spans="1:31" ht="10.5">
      <c r="C92" s="55">
        <v>46752</v>
      </c>
      <c r="D92" s="8"/>
      <c r="E92" s="8"/>
      <c r="F92" s="162">
        <f t="shared" si="3"/>
        <v>152.13599287762494</v>
      </c>
      <c r="G92" s="168">
        <v>2.5000000000000001E-2</v>
      </c>
      <c r="H92" s="135" t="s">
        <v>211</v>
      </c>
      <c r="I92" s="8"/>
      <c r="J92" s="8"/>
      <c r="K92" s="167"/>
      <c r="T92" s="90" t="str">
        <f>IF(C92&gt;EOMONTH(DATE('Input|General'!$G$12,MONTH('Input|General'!$G$9),1),0),"Ok",IF(ISBLANK($F92),"Check","Ok"))</f>
        <v>Ok</v>
      </c>
    </row>
    <row r="93" spans="1:31" ht="10.5">
      <c r="C93" s="55">
        <v>46843</v>
      </c>
      <c r="D93" s="8"/>
      <c r="E93" s="8"/>
      <c r="F93" s="162">
        <f t="shared" si="3"/>
        <v>153.12102830443749</v>
      </c>
      <c r="G93" s="168">
        <v>2.5000000000000001E-2</v>
      </c>
      <c r="H93" s="135" t="s">
        <v>211</v>
      </c>
      <c r="I93" s="8"/>
      <c r="J93" s="8"/>
      <c r="K93" s="167"/>
      <c r="T93" s="90" t="str">
        <f>IF(C93&gt;EOMONTH(DATE('Input|General'!$G$12,MONTH('Input|General'!$G$9),1),0),"Ok",IF(ISBLANK($F93),"Check","Ok"))</f>
        <v>Ok</v>
      </c>
    </row>
    <row r="94" spans="1:31" ht="10.5">
      <c r="C94" s="55">
        <v>46934</v>
      </c>
      <c r="D94" s="8"/>
      <c r="E94" s="8"/>
      <c r="F94" s="162">
        <f t="shared" si="3"/>
        <v>154.10606373124998</v>
      </c>
      <c r="G94" s="168">
        <v>2.5000000000000001E-2</v>
      </c>
      <c r="H94" s="135" t="s">
        <v>211</v>
      </c>
      <c r="I94" s="8"/>
      <c r="J94" s="8"/>
      <c r="K94" s="167"/>
      <c r="T94" s="90" t="str">
        <f>IF(C94&gt;EOMONTH(DATE('Input|General'!$G$12,MONTH('Input|General'!$G$9),1),0),"Ok",IF(ISBLANK($F94),"Check","Ok"))</f>
        <v>Ok</v>
      </c>
    </row>
    <row r="95" spans="1:31" ht="10.5">
      <c r="F95" s="8"/>
      <c r="G95" s="8"/>
      <c r="H95" s="8"/>
      <c r="I95" s="8"/>
      <c r="J95" s="8"/>
      <c r="T95" s="91"/>
    </row>
    <row r="96" spans="1:31" customFormat="1" ht="13">
      <c r="A96" s="37"/>
      <c r="B96" s="43" t="s">
        <v>22</v>
      </c>
      <c r="C96" s="37"/>
      <c r="D96" s="37"/>
      <c r="E96" s="37"/>
      <c r="F96" s="37"/>
      <c r="G96" s="38"/>
      <c r="H96" s="38"/>
      <c r="I96" s="38"/>
      <c r="J96" s="38"/>
      <c r="K96" s="39"/>
      <c r="L96" s="40"/>
      <c r="M96" s="39"/>
      <c r="N96" s="40"/>
      <c r="O96" s="39"/>
      <c r="P96" s="39"/>
      <c r="Q96" s="39"/>
      <c r="R96" s="39"/>
      <c r="S96" s="39"/>
      <c r="T96" s="39"/>
      <c r="U96" s="39"/>
      <c r="V96" s="39"/>
      <c r="W96" s="40"/>
      <c r="X96" s="40"/>
      <c r="Y96" s="41"/>
      <c r="Z96" s="41"/>
      <c r="AA96" s="41"/>
      <c r="AB96" s="41"/>
      <c r="AC96" s="41"/>
      <c r="AD96" s="42"/>
      <c r="AE96" s="42"/>
    </row>
    <row r="97" spans="1:48" ht="10" hidden="1">
      <c r="H97" s="21"/>
      <c r="I97" s="21"/>
    </row>
    <row r="98" spans="1:48" ht="10" hidden="1">
      <c r="H98" s="21"/>
      <c r="I98" s="21"/>
    </row>
    <row r="99" spans="1:48" s="16" customFormat="1" ht="10" hidden="1">
      <c r="A99" s="8"/>
      <c r="B99" s="8"/>
      <c r="C99" s="8"/>
      <c r="H99" s="21"/>
      <c r="I99" s="21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</row>
    <row r="100" spans="1:48" s="16" customFormat="1" ht="10" hidden="1">
      <c r="A100" s="8"/>
      <c r="B100" s="8"/>
      <c r="C100" s="8"/>
      <c r="H100" s="21"/>
      <c r="I100" s="2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</row>
    <row r="101" spans="1:48" s="16" customFormat="1" ht="10" hidden="1">
      <c r="A101" s="8"/>
      <c r="B101" s="8"/>
      <c r="C101" s="8"/>
      <c r="H101" s="21"/>
      <c r="I101" s="2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</row>
    <row r="102" spans="1:48" s="16" customFormat="1" ht="10" hidden="1">
      <c r="A102" s="8"/>
      <c r="B102" s="8"/>
      <c r="C102" s="8"/>
      <c r="H102" s="21"/>
      <c r="I102" s="21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</row>
    <row r="103" spans="1:48" s="16" customFormat="1" ht="10" hidden="1">
      <c r="A103" s="8"/>
      <c r="B103" s="8"/>
      <c r="C103" s="8"/>
      <c r="H103" s="21"/>
      <c r="I103" s="21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</row>
    <row r="104" spans="1:48" s="16" customFormat="1" ht="10" hidden="1">
      <c r="A104" s="8"/>
      <c r="B104" s="8"/>
      <c r="C104" s="8"/>
      <c r="H104" s="21"/>
      <c r="I104" s="21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</row>
    <row r="105" spans="1:48" s="16" customFormat="1" ht="10" hidden="1">
      <c r="A105" s="8"/>
      <c r="B105" s="8"/>
      <c r="C105" s="8"/>
      <c r="H105" s="21"/>
      <c r="I105" s="21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</row>
    <row r="106" spans="1:48" s="16" customFormat="1" ht="10" hidden="1">
      <c r="A106" s="8"/>
      <c r="B106" s="8"/>
      <c r="C106" s="8"/>
      <c r="H106" s="21"/>
      <c r="I106" s="21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</row>
  </sheetData>
  <conditionalFormatting sqref="T1">
    <cfRule type="cellIs" dxfId="122" priority="5" operator="equal">
      <formula>"Check"</formula>
    </cfRule>
    <cfRule type="cellIs" dxfId="121" priority="6" operator="equal">
      <formula>"Ok"</formula>
    </cfRule>
  </conditionalFormatting>
  <conditionalFormatting sqref="T9:T95 X14:X95">
    <cfRule type="cellIs" dxfId="120" priority="1" operator="equal">
      <formula>"Check"</formula>
    </cfRule>
    <cfRule type="cellIs" dxfId="119" priority="2" operator="equal">
      <formula>"Ok"</formula>
    </cfRule>
  </conditionalFormatting>
  <conditionalFormatting sqref="W1">
    <cfRule type="cellIs" dxfId="118" priority="7" operator="equal">
      <formula>"Check"</formula>
    </cfRule>
    <cfRule type="cellIs" dxfId="117" priority="8" operator="equal">
      <formula>"Ok"</formula>
    </cfRule>
  </conditionalFormatting>
  <dataValidations count="2">
    <dataValidation type="list" allowBlank="1" showInputMessage="1" showErrorMessage="1" sqref="G95" xr:uid="{00000000-0002-0000-0300-000000000000}">
      <formula1>"Real 2010,Real 2011,Real 2012,Real 2013,Real 2014,Real 2015,Nominal"</formula1>
    </dataValidation>
    <dataValidation type="list" allowBlank="1" showInputMessage="1" showErrorMessage="1" sqref="J12:J9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82"/>
  <sheetViews>
    <sheetView topLeftCell="B18" zoomScale="130" zoomScaleNormal="130" workbookViewId="0">
      <selection activeCell="K66" sqref="K66"/>
    </sheetView>
  </sheetViews>
  <sheetFormatPr defaultColWidth="0" defaultRowHeight="10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4" width="10.6640625" customWidth="1"/>
    <col min="25" max="16384" width="9.33203125" hidden="1"/>
  </cols>
  <sheetData>
    <row r="1" spans="1:24" ht="15.5">
      <c r="A1" s="32"/>
      <c r="B1" s="29"/>
      <c r="C1" s="29" t="str">
        <f>Index!$B$1</f>
        <v>AER opex model v1.8</v>
      </c>
      <c r="D1" s="29"/>
      <c r="E1" s="29"/>
      <c r="F1" s="30"/>
      <c r="G1" s="30"/>
      <c r="H1" s="30"/>
      <c r="I1" s="30"/>
      <c r="J1" s="157" t="s">
        <v>25</v>
      </c>
      <c r="K1" s="32"/>
      <c r="L1" s="33" t="s">
        <v>26</v>
      </c>
      <c r="M1" s="50" t="s">
        <v>27</v>
      </c>
      <c r="N1" s="11" t="s">
        <v>28</v>
      </c>
      <c r="O1" s="12" t="s">
        <v>29</v>
      </c>
      <c r="P1" s="32"/>
      <c r="Q1" s="32"/>
      <c r="R1" s="33" t="s">
        <v>30</v>
      </c>
      <c r="S1" s="34" t="str">
        <f>IF(COUNTA($X$29:$X$267)=COUNTIF($X$29:$X$267,"OK"),"OK","Check")</f>
        <v>OK</v>
      </c>
      <c r="T1" s="34"/>
      <c r="U1" s="32"/>
      <c r="V1" s="134" t="s">
        <v>31</v>
      </c>
      <c r="W1" s="34" t="str">
        <f>'Check|List'!$S$1</f>
        <v>Ok</v>
      </c>
      <c r="X1" s="32"/>
    </row>
    <row r="2" spans="1:24" ht="13.5" thickBot="1">
      <c r="A2" s="36"/>
      <c r="B2" s="35"/>
      <c r="C2" s="35" t="str">
        <f>Index!$C$9</f>
        <v>Input | Reported opex</v>
      </c>
      <c r="D2" s="35"/>
      <c r="E2" s="35"/>
      <c r="F2" s="59"/>
      <c r="G2" s="59"/>
      <c r="H2" s="59"/>
      <c r="I2" s="59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0.5">
      <c r="A3" s="92"/>
      <c r="B3" s="92"/>
      <c r="C3" s="92"/>
      <c r="D3" s="93"/>
      <c r="E3" s="93"/>
      <c r="F3" s="93"/>
      <c r="G3" s="93"/>
      <c r="H3" s="93"/>
      <c r="I3" s="93"/>
      <c r="J3" s="113" t="s">
        <v>41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94"/>
      <c r="V3" s="94"/>
      <c r="W3" s="94"/>
      <c r="X3" s="94"/>
    </row>
    <row r="4" spans="1:24">
      <c r="A4" s="62"/>
      <c r="B4" s="62"/>
      <c r="C4" s="62"/>
      <c r="D4" s="63" t="s">
        <v>34</v>
      </c>
      <c r="E4" s="63" t="s">
        <v>51</v>
      </c>
      <c r="F4" s="64" t="s">
        <v>54</v>
      </c>
      <c r="G4" s="65"/>
      <c r="H4" s="65"/>
      <c r="I4" s="65"/>
      <c r="J4" s="111">
        <f>DATE(PPFirstYear,MONTH('Input|General'!$G$9),1)</f>
        <v>44713</v>
      </c>
      <c r="K4" s="111">
        <f>DATE(PPFirstYear+1,MONTH('Input|General'!$G$9),1)</f>
        <v>45078</v>
      </c>
      <c r="L4" s="111">
        <f>DATE(PPFirstYear+2,MONTH('Input|General'!$G$9),1)</f>
        <v>45444</v>
      </c>
      <c r="M4" s="111">
        <f>DATE(PPFirstYear+3,MONTH('Input|General'!$G$9),1)</f>
        <v>45809</v>
      </c>
      <c r="N4" s="111">
        <f>DATE(PPFirstYear+4,MONTH('Input|General'!$G$9),1)</f>
        <v>46174</v>
      </c>
      <c r="O4" s="111">
        <f>DATE(PPFirstYear+5,MONTH('Input|General'!$G$9),1)</f>
        <v>46539</v>
      </c>
      <c r="P4" s="111">
        <f>DATE(PPFirstYear+6,MONTH('Input|General'!$G$9),1)</f>
        <v>46905</v>
      </c>
      <c r="Q4" s="111">
        <f>DATE(PPFirstYear+7,MONTH('Input|General'!$G$9),1)</f>
        <v>47270</v>
      </c>
      <c r="R4" s="111">
        <f>DATE(PPFirstYear+8,MONTH('Input|General'!$G$9),1)</f>
        <v>47635</v>
      </c>
      <c r="S4" s="111">
        <f>DATE(PPFirstYear+9,MONTH('Input|General'!$G$9),1)</f>
        <v>48000</v>
      </c>
      <c r="T4" s="111">
        <f>DATE(PPFirstYear+10,MONTH('Input|General'!$G$9),1)</f>
        <v>48366</v>
      </c>
      <c r="U4" s="66"/>
      <c r="V4" s="66"/>
      <c r="W4" s="67"/>
      <c r="X4" s="67"/>
    </row>
    <row r="5" spans="1:24" ht="5.25" customHeight="1">
      <c r="A5" s="6"/>
      <c r="B5" s="6"/>
      <c r="C5" s="6"/>
      <c r="D5" s="27"/>
      <c r="E5" s="27"/>
      <c r="F5" s="27"/>
      <c r="G5" s="27"/>
      <c r="H5" s="27"/>
      <c r="I5" s="2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6.75" customHeight="1">
      <c r="A6" s="6"/>
      <c r="B6" s="6"/>
      <c r="C6" s="6"/>
      <c r="D6" s="27"/>
      <c r="E6" s="27"/>
      <c r="F6" s="27"/>
      <c r="G6" s="27"/>
      <c r="H6" s="27"/>
      <c r="I6" s="2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.25" customHeight="1">
      <c r="A7" s="6"/>
      <c r="B7" s="6"/>
      <c r="C7" s="6"/>
      <c r="D7" s="27"/>
      <c r="E7" s="27"/>
      <c r="F7" s="27"/>
      <c r="G7" s="27"/>
      <c r="H7" s="27"/>
      <c r="I7" s="2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3">
      <c r="A8" s="37"/>
      <c r="B8" s="43" t="s">
        <v>55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</row>
    <row r="9" spans="1:24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0.5">
      <c r="A10" s="8"/>
      <c r="B10" s="8"/>
      <c r="C10" s="9" t="s">
        <v>56</v>
      </c>
      <c r="D10" s="21" t="s">
        <v>34</v>
      </c>
      <c r="E10" s="21" t="s">
        <v>51</v>
      </c>
      <c r="F10" s="21" t="s">
        <v>54</v>
      </c>
      <c r="G10" s="21"/>
      <c r="H10" s="21"/>
      <c r="I10" s="16"/>
      <c r="J10" s="114">
        <f t="shared" ref="J10:S10" si="0">IF(YEAR(J$4)&lt;=PPLastYear,J$4,"")</f>
        <v>44713</v>
      </c>
      <c r="K10" s="114">
        <f t="shared" si="0"/>
        <v>45078</v>
      </c>
      <c r="L10" s="114">
        <f t="shared" si="0"/>
        <v>45444</v>
      </c>
      <c r="M10" s="114">
        <f t="shared" si="0"/>
        <v>45809</v>
      </c>
      <c r="N10" s="114">
        <f t="shared" si="0"/>
        <v>46174</v>
      </c>
      <c r="O10" s="114" t="str">
        <f t="shared" si="0"/>
        <v/>
      </c>
      <c r="P10" s="114" t="str">
        <f t="shared" si="0"/>
        <v/>
      </c>
      <c r="Q10" s="114" t="str">
        <f t="shared" si="0"/>
        <v/>
      </c>
      <c r="R10" s="114" t="str">
        <f t="shared" si="0"/>
        <v/>
      </c>
      <c r="S10" s="114" t="str">
        <f t="shared" si="0"/>
        <v/>
      </c>
      <c r="T10" s="114"/>
      <c r="U10" s="95" t="s">
        <v>57</v>
      </c>
      <c r="V10" s="96"/>
      <c r="W10" s="96"/>
      <c r="X10" s="8"/>
    </row>
    <row r="11" spans="1:24" ht="10.5">
      <c r="A11" s="8"/>
      <c r="B11" s="8"/>
      <c r="C11" s="15"/>
      <c r="D11" s="16"/>
      <c r="E11" s="16"/>
      <c r="F11" s="16"/>
      <c r="G11" s="21"/>
      <c r="H11" s="21"/>
      <c r="I11" s="1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8"/>
      <c r="V11" s="8"/>
      <c r="W11" s="8"/>
      <c r="X11" s="8"/>
    </row>
    <row r="12" spans="1:24" ht="10.5">
      <c r="A12" s="8"/>
      <c r="B12" s="8"/>
      <c r="C12" s="15"/>
      <c r="D12" s="16"/>
      <c r="E12" s="16"/>
      <c r="F12" s="16"/>
      <c r="G12" s="21"/>
      <c r="H12" s="21"/>
      <c r="I12" s="16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8"/>
      <c r="V12" s="8"/>
      <c r="W12" s="8"/>
      <c r="X12" s="8"/>
    </row>
    <row r="13" spans="1:24">
      <c r="A13" s="8"/>
      <c r="B13" s="8"/>
      <c r="C13" s="52" t="s">
        <v>58</v>
      </c>
      <c r="D13" s="16" t="s">
        <v>39</v>
      </c>
      <c r="E13" s="124" t="s">
        <v>59</v>
      </c>
      <c r="F13" s="124">
        <v>44348</v>
      </c>
      <c r="G13" s="21"/>
      <c r="H13" s="21"/>
      <c r="I13" s="16"/>
      <c r="J13" s="119">
        <v>264.98609281317084</v>
      </c>
      <c r="K13" s="119">
        <v>241.15913674009724</v>
      </c>
      <c r="L13" s="119">
        <v>270.89052331406197</v>
      </c>
      <c r="M13" s="119">
        <v>251.65992613817815</v>
      </c>
      <c r="N13" s="119">
        <v>256.95930981173541</v>
      </c>
      <c r="O13" s="119"/>
      <c r="P13" s="119"/>
      <c r="Q13" s="119"/>
      <c r="R13" s="119"/>
      <c r="S13" s="119"/>
      <c r="T13" s="119"/>
      <c r="U13" s="186"/>
      <c r="V13" s="8"/>
      <c r="W13" s="8"/>
      <c r="X13" s="8"/>
    </row>
    <row r="14" spans="1:24" ht="10.5">
      <c r="A14" s="8"/>
      <c r="B14" s="8"/>
      <c r="C14" s="15"/>
      <c r="D14" s="16"/>
      <c r="E14" s="16"/>
      <c r="F14" s="16"/>
      <c r="G14" s="21"/>
      <c r="H14" s="21"/>
      <c r="I14" s="16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186"/>
      <c r="V14" s="8"/>
      <c r="W14" s="8"/>
      <c r="X14" s="8"/>
    </row>
    <row r="15" spans="1:24" ht="10.5">
      <c r="A15" s="8"/>
      <c r="B15" s="8"/>
      <c r="C15" s="97" t="s">
        <v>58</v>
      </c>
      <c r="D15" s="98" t="str">
        <f>D13</f>
        <v>AER</v>
      </c>
      <c r="E15" s="147" t="str">
        <f>E13</f>
        <v>$millions</v>
      </c>
      <c r="F15" s="147">
        <v>44348</v>
      </c>
      <c r="G15" s="21"/>
      <c r="H15" s="21"/>
      <c r="I15" s="16"/>
      <c r="J15" s="88">
        <f>J13</f>
        <v>264.98609281317084</v>
      </c>
      <c r="K15" s="88">
        <f t="shared" ref="K15:S15" si="1">K13</f>
        <v>241.15913674009724</v>
      </c>
      <c r="L15" s="88">
        <f t="shared" si="1"/>
        <v>270.89052331406197</v>
      </c>
      <c r="M15" s="88">
        <f t="shared" si="1"/>
        <v>251.65992613817815</v>
      </c>
      <c r="N15" s="88">
        <f t="shared" si="1"/>
        <v>256.95930981173541</v>
      </c>
      <c r="O15" s="88">
        <f t="shared" si="1"/>
        <v>0</v>
      </c>
      <c r="P15" s="88">
        <f t="shared" si="1"/>
        <v>0</v>
      </c>
      <c r="Q15" s="88">
        <f t="shared" si="1"/>
        <v>0</v>
      </c>
      <c r="R15" s="88">
        <f t="shared" si="1"/>
        <v>0</v>
      </c>
      <c r="S15" s="88">
        <f t="shared" si="1"/>
        <v>0</v>
      </c>
      <c r="T15" s="88"/>
      <c r="U15" s="8"/>
      <c r="V15" s="8"/>
      <c r="W15" s="8"/>
      <c r="X15" s="8"/>
    </row>
    <row r="16" spans="1:24" ht="10.5">
      <c r="A16" s="8"/>
      <c r="B16" s="8"/>
      <c r="C16" s="15"/>
      <c r="D16" s="16"/>
      <c r="E16" s="16"/>
      <c r="F16" s="16"/>
      <c r="G16" s="21"/>
      <c r="H16" s="21"/>
      <c r="I16" s="16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8"/>
      <c r="V16" s="8"/>
      <c r="W16" s="8"/>
      <c r="X16" s="8"/>
    </row>
    <row r="17" spans="1:24" ht="10.5">
      <c r="A17" s="8"/>
      <c r="B17" s="8"/>
      <c r="C17" s="9" t="s">
        <v>60</v>
      </c>
      <c r="D17" s="16"/>
      <c r="E17" s="16"/>
      <c r="F17" s="16"/>
      <c r="G17" s="21"/>
      <c r="H17" s="21"/>
      <c r="I17" s="1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8"/>
      <c r="V17" s="8"/>
      <c r="W17" s="8"/>
      <c r="X17" s="8"/>
    </row>
    <row r="18" spans="1:24" ht="10.5">
      <c r="A18" s="8"/>
      <c r="B18" s="8"/>
      <c r="C18" s="15"/>
      <c r="D18" s="16"/>
      <c r="E18" s="16"/>
      <c r="F18" s="16"/>
      <c r="G18" s="21"/>
      <c r="H18" s="21"/>
      <c r="I18" s="16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8"/>
      <c r="V18" s="8"/>
      <c r="W18" s="8"/>
      <c r="X18" s="8"/>
    </row>
    <row r="19" spans="1:24">
      <c r="A19" s="8"/>
      <c r="B19" s="8"/>
      <c r="C19" s="52" t="s">
        <v>61</v>
      </c>
      <c r="D19" s="16" t="s">
        <v>39</v>
      </c>
      <c r="E19" s="16" t="str">
        <f>$E$29</f>
        <v>$millions</v>
      </c>
      <c r="F19" s="116">
        <v>44348</v>
      </c>
      <c r="G19" s="21"/>
      <c r="H19" s="21"/>
      <c r="I19" s="16"/>
      <c r="J19" s="119">
        <v>9.4571084152270224</v>
      </c>
      <c r="K19" s="119">
        <v>9.3124077378556809</v>
      </c>
      <c r="L19" s="119">
        <v>9.1710630203785755</v>
      </c>
      <c r="M19" s="119">
        <v>9.0329964299409085</v>
      </c>
      <c r="N19" s="119">
        <v>8.8981319388206828</v>
      </c>
      <c r="O19" s="119"/>
      <c r="P19" s="119"/>
      <c r="Q19" s="119"/>
      <c r="R19" s="119"/>
      <c r="S19" s="119"/>
      <c r="T19" s="119"/>
      <c r="U19" s="8"/>
      <c r="V19" s="8"/>
      <c r="W19" s="8"/>
      <c r="X19" s="8"/>
    </row>
    <row r="20" spans="1:24">
      <c r="A20" s="8"/>
      <c r="B20" s="8"/>
      <c r="C20" s="52" t="s">
        <v>189</v>
      </c>
      <c r="D20" s="16" t="s">
        <v>39</v>
      </c>
      <c r="E20" s="16" t="str">
        <f>$E$29</f>
        <v>$millions</v>
      </c>
      <c r="F20" s="116">
        <v>44349</v>
      </c>
      <c r="G20" s="21"/>
      <c r="H20" s="21"/>
      <c r="I20" s="16"/>
      <c r="J20" s="119">
        <v>21.858143747754021</v>
      </c>
      <c r="K20" s="119" t="s">
        <v>192</v>
      </c>
      <c r="L20" s="119" t="s">
        <v>192</v>
      </c>
      <c r="M20" s="119" t="s">
        <v>192</v>
      </c>
      <c r="N20" s="119" t="s">
        <v>192</v>
      </c>
      <c r="O20" s="119"/>
      <c r="P20" s="119"/>
      <c r="Q20" s="119"/>
      <c r="R20" s="119"/>
      <c r="S20" s="119"/>
      <c r="T20" s="119"/>
      <c r="U20" s="8"/>
      <c r="V20" s="8"/>
      <c r="W20" s="8"/>
      <c r="X20" s="8"/>
    </row>
    <row r="21" spans="1:24">
      <c r="A21" s="8"/>
      <c r="B21" s="8"/>
      <c r="C21" s="52" t="s">
        <v>62</v>
      </c>
      <c r="D21" s="16" t="s">
        <v>39</v>
      </c>
      <c r="E21" s="16" t="str">
        <f t="shared" ref="E21:E27" si="2">$E$15</f>
        <v>$millions</v>
      </c>
      <c r="F21" s="116">
        <v>44348</v>
      </c>
      <c r="G21" s="21"/>
      <c r="H21" s="21"/>
      <c r="I21" s="16"/>
      <c r="J21" s="119">
        <v>0.24036616306495823</v>
      </c>
      <c r="K21" s="119">
        <v>0.24036616306495823</v>
      </c>
      <c r="L21" s="119">
        <v>0.24036616306495823</v>
      </c>
      <c r="M21" s="119">
        <v>0.24036616306495823</v>
      </c>
      <c r="N21" s="119">
        <v>0.24036616306495823</v>
      </c>
      <c r="O21" s="119"/>
      <c r="P21" s="119"/>
      <c r="Q21" s="119"/>
      <c r="R21" s="119"/>
      <c r="S21" s="119"/>
      <c r="T21" s="119"/>
      <c r="U21" s="8"/>
      <c r="V21" s="8"/>
      <c r="W21" s="8"/>
      <c r="X21" s="8"/>
    </row>
    <row r="22" spans="1:24">
      <c r="A22" s="8"/>
      <c r="B22" s="8"/>
      <c r="C22" s="52" t="s">
        <v>195</v>
      </c>
      <c r="D22" s="16" t="s">
        <v>39</v>
      </c>
      <c r="E22" s="16" t="str">
        <f t="shared" si="2"/>
        <v>$millions</v>
      </c>
      <c r="F22" s="116">
        <v>44348</v>
      </c>
      <c r="G22" s="21"/>
      <c r="H22" s="21"/>
      <c r="I22" s="16"/>
      <c r="J22" s="119" t="s">
        <v>192</v>
      </c>
      <c r="K22" s="119" t="s">
        <v>192</v>
      </c>
      <c r="L22" s="119">
        <v>16.240281576006385</v>
      </c>
      <c r="M22" s="119" t="s">
        <v>192</v>
      </c>
      <c r="N22" s="119" t="s">
        <v>192</v>
      </c>
      <c r="O22" s="119"/>
      <c r="P22" s="119"/>
      <c r="Q22" s="119"/>
      <c r="R22" s="119"/>
      <c r="S22" s="119"/>
      <c r="T22" s="119"/>
      <c r="U22" s="8"/>
      <c r="V22" s="8"/>
      <c r="W22" s="8"/>
      <c r="X22" s="8"/>
    </row>
    <row r="23" spans="1:24">
      <c r="A23" s="8"/>
      <c r="B23" s="8"/>
      <c r="C23" s="52"/>
      <c r="D23" s="16" t="s">
        <v>39</v>
      </c>
      <c r="E23" s="16" t="str">
        <f t="shared" si="2"/>
        <v>$millions</v>
      </c>
      <c r="F23" s="116">
        <v>44348</v>
      </c>
      <c r="G23" s="21"/>
      <c r="H23" s="21"/>
      <c r="I23" s="16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8"/>
      <c r="V23" s="8"/>
      <c r="W23" s="8"/>
      <c r="X23" s="8"/>
    </row>
    <row r="24" spans="1:24">
      <c r="A24" s="8"/>
      <c r="B24" s="8"/>
      <c r="C24" s="52"/>
      <c r="D24" s="16" t="s">
        <v>39</v>
      </c>
      <c r="E24" s="16" t="str">
        <f t="shared" si="2"/>
        <v>$millions</v>
      </c>
      <c r="F24" s="116">
        <v>44348</v>
      </c>
      <c r="G24" s="21"/>
      <c r="H24" s="21"/>
      <c r="I24" s="16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8"/>
      <c r="V24" s="8"/>
      <c r="W24" s="8"/>
      <c r="X24" s="8"/>
    </row>
    <row r="25" spans="1:24">
      <c r="A25" s="8"/>
      <c r="B25" s="8"/>
      <c r="C25" s="52"/>
      <c r="D25" s="16" t="s">
        <v>39</v>
      </c>
      <c r="E25" s="16" t="str">
        <f t="shared" si="2"/>
        <v>$millions</v>
      </c>
      <c r="F25" s="116">
        <v>44348</v>
      </c>
      <c r="G25" s="21"/>
      <c r="H25" s="21"/>
      <c r="I25" s="16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8"/>
      <c r="V25" s="8"/>
      <c r="W25" s="8"/>
      <c r="X25" s="8"/>
    </row>
    <row r="26" spans="1:24">
      <c r="A26" s="8"/>
      <c r="B26" s="8"/>
      <c r="C26" s="52"/>
      <c r="D26" s="16" t="s">
        <v>39</v>
      </c>
      <c r="E26" s="16" t="str">
        <f t="shared" si="2"/>
        <v>$millions</v>
      </c>
      <c r="F26" s="116">
        <v>44348</v>
      </c>
      <c r="G26" s="21"/>
      <c r="H26" s="21"/>
      <c r="I26" s="16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8"/>
      <c r="V26" s="8"/>
      <c r="W26" s="8"/>
      <c r="X26" s="8"/>
    </row>
    <row r="27" spans="1:24">
      <c r="A27" s="8"/>
      <c r="B27" s="8"/>
      <c r="C27" s="52"/>
      <c r="D27" s="16" t="s">
        <v>39</v>
      </c>
      <c r="E27" s="16" t="str">
        <f t="shared" si="2"/>
        <v>$millions</v>
      </c>
      <c r="F27" s="116">
        <v>44348</v>
      </c>
      <c r="G27" s="21"/>
      <c r="H27" s="21"/>
      <c r="I27" s="16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8"/>
      <c r="V27" s="8"/>
      <c r="W27" s="8"/>
      <c r="X27" s="8"/>
    </row>
    <row r="28" spans="1:24" ht="10.5">
      <c r="A28" s="8"/>
      <c r="B28" s="8"/>
      <c r="C28" s="15"/>
      <c r="D28" s="16"/>
      <c r="E28" s="16"/>
      <c r="F28" s="16"/>
      <c r="G28" s="21"/>
      <c r="H28" s="21"/>
      <c r="I28" s="16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8"/>
      <c r="V28" s="8"/>
      <c r="W28" s="8"/>
      <c r="X28" s="8"/>
    </row>
    <row r="29" spans="1:24" ht="10.5">
      <c r="A29" s="8"/>
      <c r="B29" s="8"/>
      <c r="C29" s="97" t="s">
        <v>64</v>
      </c>
      <c r="D29" s="98" t="s">
        <v>50</v>
      </c>
      <c r="E29" s="89" t="s">
        <v>59</v>
      </c>
      <c r="F29" s="117">
        <v>44348</v>
      </c>
      <c r="G29" s="21"/>
      <c r="H29" s="21"/>
      <c r="I29" s="16"/>
      <c r="J29" s="88">
        <f t="shared" ref="J29:S29" si="3">SUM(J19:J27)</f>
        <v>31.555618326046002</v>
      </c>
      <c r="K29" s="88">
        <f t="shared" si="3"/>
        <v>9.5527739009206396</v>
      </c>
      <c r="L29" s="88">
        <f t="shared" si="3"/>
        <v>25.651710759449919</v>
      </c>
      <c r="M29" s="88">
        <f t="shared" si="3"/>
        <v>9.2733625930058672</v>
      </c>
      <c r="N29" s="88">
        <f t="shared" si="3"/>
        <v>9.1384981018856415</v>
      </c>
      <c r="O29" s="88">
        <f t="shared" si="3"/>
        <v>0</v>
      </c>
      <c r="P29" s="88">
        <f t="shared" si="3"/>
        <v>0</v>
      </c>
      <c r="Q29" s="88">
        <f t="shared" si="3"/>
        <v>0</v>
      </c>
      <c r="R29" s="88">
        <f t="shared" si="3"/>
        <v>0</v>
      </c>
      <c r="S29" s="88">
        <f t="shared" si="3"/>
        <v>0</v>
      </c>
      <c r="T29" s="88"/>
      <c r="U29" s="8"/>
      <c r="V29" s="8"/>
      <c r="W29" s="8"/>
      <c r="X29" s="8" t="str">
        <f>IF(COUNTIF(J19:S27,"&lt;0")&gt;0,"Check","Ok")</f>
        <v>Ok</v>
      </c>
    </row>
    <row r="30" spans="1:24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3">
      <c r="A31" s="37"/>
      <c r="B31" s="43" t="s">
        <v>10</v>
      </c>
      <c r="C31" s="37"/>
      <c r="D31" s="37"/>
      <c r="E31" s="37"/>
      <c r="F31" s="38"/>
      <c r="G31" s="38"/>
      <c r="H31" s="38"/>
      <c r="I31" s="38"/>
      <c r="J31" s="39"/>
      <c r="K31" s="40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40"/>
    </row>
    <row r="32" spans="1:24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8"/>
      <c r="B33" s="8"/>
      <c r="C33" s="8"/>
      <c r="D33" s="16"/>
      <c r="E33" s="16"/>
      <c r="F33" s="16"/>
      <c r="G33" s="16"/>
      <c r="H33" s="16"/>
      <c r="I33" s="16"/>
      <c r="J33" s="119" t="s">
        <v>23</v>
      </c>
      <c r="K33" s="119" t="s">
        <v>23</v>
      </c>
      <c r="L33" s="119" t="s">
        <v>23</v>
      </c>
      <c r="M33" s="119" t="s">
        <v>65</v>
      </c>
      <c r="N33" s="119" t="s">
        <v>65</v>
      </c>
      <c r="O33" s="119"/>
      <c r="P33" s="119"/>
      <c r="Q33" s="119"/>
      <c r="R33" s="119"/>
      <c r="S33" s="119"/>
      <c r="T33" s="119"/>
      <c r="U33" s="8"/>
      <c r="V33" s="8"/>
      <c r="W33" s="8"/>
      <c r="X33" s="8"/>
    </row>
    <row r="34" spans="1:24" ht="10.5">
      <c r="A34" s="8"/>
      <c r="B34" s="8"/>
      <c r="C34" s="9" t="s">
        <v>56</v>
      </c>
      <c r="D34" s="21" t="s">
        <v>34</v>
      </c>
      <c r="E34" s="21" t="s">
        <v>51</v>
      </c>
      <c r="F34" s="21" t="s">
        <v>54</v>
      </c>
      <c r="G34" s="21"/>
      <c r="H34" s="21"/>
      <c r="I34" s="21"/>
      <c r="J34" s="114">
        <f t="shared" ref="J34:S34" si="4">IF(YEAR(J$4)&lt;=PPLastYear,J$4,"")</f>
        <v>44713</v>
      </c>
      <c r="K34" s="114">
        <f t="shared" si="4"/>
        <v>45078</v>
      </c>
      <c r="L34" s="114">
        <f t="shared" si="4"/>
        <v>45444</v>
      </c>
      <c r="M34" s="114">
        <f t="shared" si="4"/>
        <v>45809</v>
      </c>
      <c r="N34" s="114">
        <f t="shared" si="4"/>
        <v>46174</v>
      </c>
      <c r="O34" s="114" t="str">
        <f t="shared" si="4"/>
        <v/>
      </c>
      <c r="P34" s="114" t="str">
        <f t="shared" si="4"/>
        <v/>
      </c>
      <c r="Q34" s="114" t="str">
        <f t="shared" si="4"/>
        <v/>
      </c>
      <c r="R34" s="114" t="str">
        <f t="shared" si="4"/>
        <v/>
      </c>
      <c r="S34" s="114" t="str">
        <f t="shared" si="4"/>
        <v/>
      </c>
      <c r="T34" s="114"/>
      <c r="U34" s="95" t="s">
        <v>57</v>
      </c>
      <c r="V34" s="96"/>
      <c r="W34" s="96"/>
      <c r="X34" s="8"/>
    </row>
    <row r="35" spans="1:24">
      <c r="A35" s="8"/>
      <c r="B35" s="8"/>
      <c r="C35" s="15"/>
      <c r="D35" s="16"/>
      <c r="E35" s="16"/>
      <c r="F35" s="16"/>
      <c r="G35" s="21"/>
      <c r="H35" s="21"/>
      <c r="I35" s="16"/>
      <c r="J35" s="56"/>
      <c r="K35" s="56"/>
      <c r="L35" s="56"/>
      <c r="M35" s="56"/>
      <c r="N35" s="56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15"/>
      <c r="D36" s="16"/>
      <c r="E36" s="16"/>
      <c r="F36" s="16"/>
      <c r="G36" s="21"/>
      <c r="H36" s="21"/>
      <c r="I36" s="16"/>
      <c r="J36" s="56"/>
      <c r="K36" s="56"/>
      <c r="L36" s="56"/>
      <c r="M36" s="56"/>
      <c r="N36" s="56"/>
      <c r="O36" s="8"/>
      <c r="P36" s="8"/>
      <c r="Q36" s="8"/>
      <c r="R36" s="8"/>
      <c r="S36" s="8"/>
      <c r="T36" s="8"/>
      <c r="U36" s="186"/>
      <c r="V36" s="8"/>
      <c r="W36" s="8"/>
      <c r="X36" s="8"/>
    </row>
    <row r="37" spans="1:24">
      <c r="A37" s="8"/>
      <c r="B37" s="8"/>
      <c r="C37" s="52" t="s">
        <v>58</v>
      </c>
      <c r="D37" s="16" t="s">
        <v>66</v>
      </c>
      <c r="E37" s="155" t="str">
        <f>$E$58</f>
        <v>$millions</v>
      </c>
      <c r="F37" s="156" t="s">
        <v>67</v>
      </c>
      <c r="G37" s="21"/>
      <c r="H37" s="21"/>
      <c r="I37" s="16"/>
      <c r="J37" s="175">
        <v>250.33996496661402</v>
      </c>
      <c r="K37" s="119">
        <v>223.62600123364609</v>
      </c>
      <c r="L37" s="119">
        <v>277.84185426099845</v>
      </c>
      <c r="M37" s="119">
        <v>317.85006212539241</v>
      </c>
      <c r="N37" s="119">
        <v>282.82439388301611</v>
      </c>
      <c r="O37" s="119"/>
      <c r="P37" s="119"/>
      <c r="Q37" s="119"/>
      <c r="R37" s="119"/>
      <c r="S37" s="119"/>
      <c r="T37" s="119"/>
      <c r="U37" s="186"/>
      <c r="V37" s="8"/>
      <c r="W37" s="8"/>
      <c r="X37" s="8"/>
    </row>
    <row r="38" spans="1:24">
      <c r="A38" s="8"/>
      <c r="B38" s="8"/>
      <c r="C38" s="15"/>
      <c r="D38" s="16"/>
      <c r="E38" s="16"/>
      <c r="F38" s="116"/>
      <c r="G38" s="21"/>
      <c r="H38" s="21"/>
      <c r="I38" s="16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86"/>
      <c r="V38" s="8"/>
      <c r="W38" s="8"/>
      <c r="X38" s="8"/>
    </row>
    <row r="39" spans="1:24" ht="10.5">
      <c r="A39" s="8"/>
      <c r="B39" s="8"/>
      <c r="C39" s="9" t="s">
        <v>68</v>
      </c>
      <c r="D39" s="16"/>
      <c r="E39" s="16"/>
      <c r="F39" s="116"/>
      <c r="G39" s="21"/>
      <c r="H39" s="21"/>
      <c r="I39" s="16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87"/>
      <c r="V39" s="8"/>
      <c r="W39" s="8"/>
      <c r="X39" s="8"/>
    </row>
    <row r="40" spans="1:24" ht="10.5">
      <c r="A40" s="8"/>
      <c r="B40" s="8"/>
      <c r="C40" s="9"/>
      <c r="D40" s="16"/>
      <c r="E40" s="16"/>
      <c r="F40" s="116"/>
      <c r="G40" s="21"/>
      <c r="H40" s="21"/>
      <c r="I40" s="16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86"/>
      <c r="V40" s="8"/>
      <c r="W40" s="8"/>
      <c r="X40" s="8"/>
    </row>
    <row r="41" spans="1:24">
      <c r="A41" s="8"/>
      <c r="B41" s="8"/>
      <c r="C41" s="52" t="s">
        <v>69</v>
      </c>
      <c r="D41" s="16" t="s">
        <v>66</v>
      </c>
      <c r="E41" s="16" t="str">
        <f>$E$58</f>
        <v>$millions</v>
      </c>
      <c r="F41" s="116" t="str">
        <f>$F$37</f>
        <v>nominal</v>
      </c>
      <c r="G41" s="21"/>
      <c r="H41" s="21"/>
      <c r="I41" s="16"/>
      <c r="J41" s="119">
        <v>-19.1560590542332</v>
      </c>
      <c r="K41" s="119">
        <v>-16.149072</v>
      </c>
      <c r="L41" s="119">
        <v>-2.4158049165679301</v>
      </c>
      <c r="M41" s="119" t="s">
        <v>192</v>
      </c>
      <c r="N41" s="119" t="s">
        <v>192</v>
      </c>
      <c r="O41" s="119"/>
      <c r="P41" s="119"/>
      <c r="Q41" s="119"/>
      <c r="R41" s="119"/>
      <c r="S41" s="119"/>
      <c r="T41" s="119"/>
      <c r="U41" s="186"/>
      <c r="V41" s="8"/>
      <c r="W41" s="8"/>
      <c r="X41" s="8"/>
    </row>
    <row r="42" spans="1:24">
      <c r="A42" s="8"/>
      <c r="B42" s="8"/>
      <c r="C42" s="52" t="s">
        <v>209</v>
      </c>
      <c r="D42" s="16" t="s">
        <v>66</v>
      </c>
      <c r="E42" s="16" t="str">
        <f>$E$58</f>
        <v>$millions</v>
      </c>
      <c r="F42" s="116" t="str">
        <f t="shared" ref="F42:F45" si="5">$F$37</f>
        <v>nominal</v>
      </c>
      <c r="G42" s="21"/>
      <c r="H42" s="21"/>
      <c r="I42" s="16"/>
      <c r="J42" s="119" t="s">
        <v>192</v>
      </c>
      <c r="K42" s="119">
        <v>7.7024060000000005E-2</v>
      </c>
      <c r="L42" s="119">
        <v>3.4041689999999999E-2</v>
      </c>
      <c r="M42" s="119">
        <v>0.9</v>
      </c>
      <c r="N42" s="119">
        <v>0.4</v>
      </c>
      <c r="O42" s="119"/>
      <c r="P42" s="119"/>
      <c r="Q42" s="119"/>
      <c r="R42" s="119"/>
      <c r="S42" s="119"/>
      <c r="T42" s="119"/>
      <c r="U42" s="186"/>
      <c r="V42" s="8"/>
      <c r="W42" s="8"/>
      <c r="X42" s="8"/>
    </row>
    <row r="43" spans="1:24">
      <c r="A43" s="8"/>
      <c r="B43" s="8"/>
      <c r="C43" s="52"/>
      <c r="D43" s="16" t="s">
        <v>66</v>
      </c>
      <c r="E43" s="16" t="str">
        <f>$E$58</f>
        <v>$millions</v>
      </c>
      <c r="F43" s="116" t="str">
        <f t="shared" si="5"/>
        <v>nominal</v>
      </c>
      <c r="G43" s="21"/>
      <c r="H43" s="21"/>
      <c r="I43" s="16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86"/>
      <c r="V43" s="8"/>
      <c r="W43" s="8"/>
      <c r="X43" s="8"/>
    </row>
    <row r="44" spans="1:24">
      <c r="A44" s="8"/>
      <c r="B44" s="8"/>
      <c r="C44" s="52"/>
      <c r="D44" s="16" t="s">
        <v>66</v>
      </c>
      <c r="E44" s="16" t="str">
        <f>$E$58</f>
        <v>$millions</v>
      </c>
      <c r="F44" s="116" t="str">
        <f t="shared" si="5"/>
        <v>nominal</v>
      </c>
      <c r="G44" s="21"/>
      <c r="H44" s="21"/>
      <c r="I44" s="16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86"/>
      <c r="V44" s="8"/>
      <c r="W44" s="8"/>
      <c r="X44" s="8"/>
    </row>
    <row r="45" spans="1:24">
      <c r="A45" s="8"/>
      <c r="B45" s="8"/>
      <c r="C45" s="52"/>
      <c r="D45" s="16" t="s">
        <v>66</v>
      </c>
      <c r="E45" s="16" t="str">
        <f>$E$58</f>
        <v>$millions</v>
      </c>
      <c r="F45" s="116" t="str">
        <f t="shared" si="5"/>
        <v>nominal</v>
      </c>
      <c r="G45" s="21"/>
      <c r="H45" s="21"/>
      <c r="I45" s="16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86"/>
      <c r="V45" s="8"/>
      <c r="W45" s="8"/>
      <c r="X45" s="8"/>
    </row>
    <row r="46" spans="1:24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9"/>
      <c r="O46" s="99"/>
      <c r="P46" s="99"/>
      <c r="Q46" s="99"/>
      <c r="R46" s="99"/>
      <c r="S46" s="99"/>
      <c r="T46" s="99"/>
      <c r="U46" s="186"/>
      <c r="V46" s="8"/>
      <c r="W46" s="8"/>
      <c r="X46" s="8"/>
    </row>
    <row r="47" spans="1:24" ht="10.5">
      <c r="A47" s="8"/>
      <c r="B47" s="8"/>
      <c r="C47" s="97" t="s">
        <v>71</v>
      </c>
      <c r="D47" s="98" t="s">
        <v>50</v>
      </c>
      <c r="E47" s="137" t="str">
        <f>$E$58</f>
        <v>$millions</v>
      </c>
      <c r="F47" s="138" t="str">
        <f>$F$37</f>
        <v>nominal</v>
      </c>
      <c r="G47" s="21"/>
      <c r="H47" s="21"/>
      <c r="I47" s="16"/>
      <c r="J47" s="88">
        <f>J37-SUM(J41:J45)</f>
        <v>269.49602402084724</v>
      </c>
      <c r="K47" s="88">
        <f>K37-SUM(K41:K45)</f>
        <v>239.6980491736461</v>
      </c>
      <c r="L47" s="88">
        <f t="shared" ref="L47:S47" si="6">L37-SUM(L41:L45)</f>
        <v>280.2236174875664</v>
      </c>
      <c r="M47" s="88">
        <f t="shared" si="6"/>
        <v>316.95006212539244</v>
      </c>
      <c r="N47" s="88">
        <f t="shared" si="6"/>
        <v>282.42439388301614</v>
      </c>
      <c r="O47" s="88">
        <f t="shared" si="6"/>
        <v>0</v>
      </c>
      <c r="P47" s="88">
        <f t="shared" si="6"/>
        <v>0</v>
      </c>
      <c r="Q47" s="88">
        <f t="shared" si="6"/>
        <v>0</v>
      </c>
      <c r="R47" s="88">
        <f t="shared" si="6"/>
        <v>0</v>
      </c>
      <c r="S47" s="88">
        <f t="shared" si="6"/>
        <v>0</v>
      </c>
      <c r="T47" s="88"/>
      <c r="U47" s="186"/>
      <c r="V47" s="8"/>
      <c r="W47" s="8"/>
      <c r="X47" s="8"/>
    </row>
    <row r="48" spans="1:24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186"/>
      <c r="V48" s="8"/>
      <c r="W48" s="8"/>
      <c r="X48" s="8"/>
    </row>
    <row r="49" spans="1:24" ht="10.5">
      <c r="A49" s="8"/>
      <c r="B49" s="8"/>
      <c r="C49" s="9" t="s">
        <v>72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186"/>
      <c r="V49" s="8"/>
      <c r="W49" s="8"/>
      <c r="X49" s="8"/>
    </row>
    <row r="50" spans="1:24">
      <c r="A50" s="8"/>
      <c r="B50" s="8"/>
      <c r="C50" s="52" t="s">
        <v>24</v>
      </c>
      <c r="D50" s="16" t="s">
        <v>66</v>
      </c>
      <c r="E50" s="16" t="str">
        <f t="shared" ref="E50:E56" si="7">$E$58</f>
        <v>$millions</v>
      </c>
      <c r="F50" s="116" t="str">
        <f t="shared" ref="F50:F56" si="8">$F$58</f>
        <v>nominal</v>
      </c>
      <c r="G50" s="21"/>
      <c r="H50" s="21"/>
      <c r="I50" s="16"/>
      <c r="J50" s="119">
        <v>13.608285</v>
      </c>
      <c r="K50" s="119">
        <v>7.415165</v>
      </c>
      <c r="L50" s="119">
        <v>7.7113700000000023</v>
      </c>
      <c r="M50" s="119">
        <v>7.1639480000000004</v>
      </c>
      <c r="N50" s="119">
        <v>7.1639480000000004</v>
      </c>
      <c r="O50" s="8"/>
      <c r="P50" s="8"/>
      <c r="Q50" s="8"/>
      <c r="R50" s="8"/>
      <c r="S50" s="8"/>
      <c r="T50" s="8"/>
      <c r="U50" s="187"/>
      <c r="V50" s="8"/>
      <c r="W50" s="8"/>
      <c r="X50" s="8"/>
    </row>
    <row r="51" spans="1:24">
      <c r="A51" s="8"/>
      <c r="B51" s="8"/>
      <c r="C51" s="52" t="s">
        <v>189</v>
      </c>
      <c r="D51" s="16" t="s">
        <v>66</v>
      </c>
      <c r="E51" s="16" t="str">
        <f t="shared" si="7"/>
        <v>$millions</v>
      </c>
      <c r="F51" s="116" t="str">
        <f t="shared" si="8"/>
        <v>nominal</v>
      </c>
      <c r="G51" s="21"/>
      <c r="H51" s="21"/>
      <c r="I51" s="16"/>
      <c r="J51" s="175">
        <v>22.5197</v>
      </c>
      <c r="K51" s="119" t="s">
        <v>192</v>
      </c>
      <c r="L51" s="119" t="s">
        <v>192</v>
      </c>
      <c r="M51" s="119" t="s">
        <v>192</v>
      </c>
      <c r="N51" s="119" t="s">
        <v>192</v>
      </c>
      <c r="O51" s="119"/>
      <c r="P51" s="119"/>
      <c r="Q51" s="119"/>
      <c r="R51" s="119"/>
      <c r="S51" s="119"/>
      <c r="T51" s="119"/>
      <c r="U51" s="186"/>
      <c r="V51" s="8"/>
      <c r="W51" s="8"/>
      <c r="X51" s="8"/>
    </row>
    <row r="52" spans="1:24">
      <c r="A52" s="8"/>
      <c r="B52" s="8"/>
      <c r="C52" s="52" t="s">
        <v>70</v>
      </c>
      <c r="D52" s="16" t="s">
        <v>66</v>
      </c>
      <c r="E52" s="16" t="str">
        <f t="shared" si="7"/>
        <v>$millions</v>
      </c>
      <c r="F52" s="116" t="str">
        <f t="shared" si="8"/>
        <v>nominal</v>
      </c>
      <c r="G52" s="21"/>
      <c r="H52" s="21"/>
      <c r="I52" s="16"/>
      <c r="J52" s="119" t="s">
        <v>192</v>
      </c>
      <c r="K52" s="119" t="s">
        <v>192</v>
      </c>
      <c r="L52" s="119">
        <v>0.25754960999999998</v>
      </c>
      <c r="M52" s="119">
        <v>1.26745039</v>
      </c>
      <c r="N52" s="119">
        <v>0.2</v>
      </c>
      <c r="O52" s="119"/>
      <c r="P52" s="119"/>
      <c r="Q52" s="119"/>
      <c r="R52" s="119"/>
      <c r="S52" s="119"/>
      <c r="T52" s="119"/>
      <c r="U52" s="188"/>
      <c r="V52" s="8"/>
      <c r="W52" s="8"/>
      <c r="X52" s="8"/>
    </row>
    <row r="53" spans="1:24">
      <c r="A53" s="8"/>
      <c r="B53" s="8"/>
      <c r="C53" s="52" t="s">
        <v>63</v>
      </c>
      <c r="D53" s="16" t="s">
        <v>66</v>
      </c>
      <c r="E53" s="16" t="str">
        <f t="shared" si="7"/>
        <v>$millions</v>
      </c>
      <c r="F53" s="116" t="str">
        <f t="shared" si="8"/>
        <v>nominal</v>
      </c>
      <c r="G53" s="21"/>
      <c r="H53" s="21"/>
      <c r="I53" s="16"/>
      <c r="J53" s="119" t="s">
        <v>192</v>
      </c>
      <c r="K53" s="119" t="s">
        <v>192</v>
      </c>
      <c r="L53" s="119" t="s">
        <v>192</v>
      </c>
      <c r="M53" s="119" t="s">
        <v>192</v>
      </c>
      <c r="N53" s="119" t="s">
        <v>192</v>
      </c>
      <c r="O53" s="119"/>
      <c r="P53" s="119"/>
      <c r="Q53" s="119"/>
      <c r="R53" s="119"/>
      <c r="S53" s="119"/>
      <c r="T53" s="119"/>
      <c r="U53" s="188"/>
      <c r="V53" s="8"/>
      <c r="W53" s="8"/>
      <c r="X53" s="8"/>
    </row>
    <row r="54" spans="1:24">
      <c r="A54" s="8"/>
      <c r="B54" s="8"/>
      <c r="C54" s="52" t="s">
        <v>195</v>
      </c>
      <c r="D54" s="16" t="s">
        <v>66</v>
      </c>
      <c r="E54" s="16" t="str">
        <f t="shared" si="7"/>
        <v>$millions</v>
      </c>
      <c r="F54" s="116" t="str">
        <f t="shared" si="8"/>
        <v>nominal</v>
      </c>
      <c r="G54" s="21"/>
      <c r="H54" s="21"/>
      <c r="I54" s="16"/>
      <c r="J54" s="177" t="s">
        <v>192</v>
      </c>
      <c r="K54" s="177" t="s">
        <v>192</v>
      </c>
      <c r="L54" s="177">
        <v>18.621179999999999</v>
      </c>
      <c r="M54" s="177" t="s">
        <v>192</v>
      </c>
      <c r="N54" s="177" t="s">
        <v>192</v>
      </c>
      <c r="O54" s="119"/>
      <c r="P54" s="119"/>
      <c r="Q54" s="119"/>
      <c r="R54" s="119"/>
      <c r="S54" s="119"/>
      <c r="T54" s="119"/>
      <c r="U54" s="188"/>
      <c r="V54" s="8"/>
      <c r="W54" s="8"/>
      <c r="X54" s="8"/>
    </row>
    <row r="55" spans="1:24">
      <c r="A55" s="8"/>
      <c r="B55" s="8"/>
      <c r="C55" s="52"/>
      <c r="D55" s="16" t="s">
        <v>66</v>
      </c>
      <c r="E55" s="16" t="str">
        <f t="shared" si="7"/>
        <v>$millions</v>
      </c>
      <c r="F55" s="116" t="str">
        <f t="shared" si="8"/>
        <v>nominal</v>
      </c>
      <c r="G55" s="21"/>
      <c r="H55" s="21"/>
      <c r="I55" s="16"/>
      <c r="J55" s="177"/>
      <c r="K55" s="177"/>
      <c r="L55" s="177"/>
      <c r="M55" s="177"/>
      <c r="N55" s="177"/>
      <c r="O55" s="119"/>
      <c r="P55" s="119"/>
      <c r="Q55" s="119"/>
      <c r="R55" s="119"/>
      <c r="S55" s="119"/>
      <c r="T55" s="119"/>
      <c r="U55" s="187"/>
      <c r="V55" s="8"/>
      <c r="W55" s="8"/>
      <c r="X55" s="8"/>
    </row>
    <row r="56" spans="1:24">
      <c r="A56" s="8"/>
      <c r="B56" s="8"/>
      <c r="C56" s="52"/>
      <c r="D56" s="16" t="s">
        <v>66</v>
      </c>
      <c r="E56" s="16" t="str">
        <f t="shared" si="7"/>
        <v>$millions</v>
      </c>
      <c r="F56" s="116" t="str">
        <f t="shared" si="8"/>
        <v>nominal</v>
      </c>
      <c r="G56" s="21"/>
      <c r="H56" s="21"/>
      <c r="I56" s="16"/>
      <c r="J56" s="177"/>
      <c r="K56" s="177"/>
      <c r="L56" s="177"/>
      <c r="M56" s="177"/>
      <c r="N56" s="177"/>
      <c r="O56" s="119"/>
      <c r="P56" s="119"/>
      <c r="Q56" s="119"/>
      <c r="R56" s="119"/>
      <c r="S56" s="119"/>
      <c r="T56" s="119"/>
      <c r="U56" s="186"/>
      <c r="V56" s="8"/>
      <c r="W56" s="8"/>
      <c r="X56" s="8"/>
    </row>
    <row r="57" spans="1:24">
      <c r="A57" s="8"/>
      <c r="B57" s="8"/>
      <c r="O57" s="99"/>
      <c r="P57" s="99"/>
      <c r="Q57" s="99"/>
      <c r="R57" s="99"/>
      <c r="S57" s="99"/>
      <c r="T57" s="99"/>
      <c r="U57" s="186"/>
      <c r="V57" s="8"/>
      <c r="W57" s="8"/>
      <c r="X57" s="8"/>
    </row>
    <row r="58" spans="1:24" ht="10.5">
      <c r="A58" s="8"/>
      <c r="B58" s="8"/>
      <c r="C58" s="97" t="s">
        <v>64</v>
      </c>
      <c r="D58" s="98" t="s">
        <v>50</v>
      </c>
      <c r="E58" s="89" t="s">
        <v>59</v>
      </c>
      <c r="F58" s="117" t="s">
        <v>67</v>
      </c>
      <c r="G58" s="21"/>
      <c r="H58" s="21"/>
      <c r="I58" s="16"/>
      <c r="J58" s="133">
        <f>SUM(J50:J55)</f>
        <v>36.127985000000002</v>
      </c>
      <c r="K58" s="133">
        <f>SUM(K50:K56)</f>
        <v>7.415165</v>
      </c>
      <c r="L58" s="133">
        <f>SUM(L50:L56)</f>
        <v>26.590099610000003</v>
      </c>
      <c r="M58" s="133">
        <f>SUM(M50:M56)</f>
        <v>8.43139839</v>
      </c>
      <c r="N58" s="133">
        <f>SUM(N50:N56)</f>
        <v>7.3639480000000006</v>
      </c>
      <c r="O58" s="133">
        <f t="shared" ref="O58:S58" si="9">SUM(O51:O56)</f>
        <v>0</v>
      </c>
      <c r="P58" s="133">
        <f t="shared" si="9"/>
        <v>0</v>
      </c>
      <c r="Q58" s="133">
        <f t="shared" si="9"/>
        <v>0</v>
      </c>
      <c r="R58" s="133">
        <f t="shared" si="9"/>
        <v>0</v>
      </c>
      <c r="S58" s="133">
        <f t="shared" si="9"/>
        <v>0</v>
      </c>
      <c r="T58" s="133"/>
      <c r="U58" s="8"/>
      <c r="V58" s="8"/>
      <c r="W58" s="8"/>
      <c r="X58" s="8" t="str">
        <f>IF(COUNTIF(J51:S56,"&lt;0")&gt;0,"Check","Ok")</f>
        <v>Ok</v>
      </c>
    </row>
    <row r="59" spans="1:24">
      <c r="A59" s="8"/>
      <c r="B59" s="8"/>
      <c r="C59" s="8"/>
      <c r="D59" s="16"/>
      <c r="E59" s="16"/>
      <c r="F59" s="16"/>
      <c r="G59" s="21"/>
      <c r="H59" s="21"/>
      <c r="I59" s="16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3">
      <c r="A60" s="37"/>
      <c r="B60" s="43" t="s">
        <v>73</v>
      </c>
      <c r="C60" s="37"/>
      <c r="D60" s="37"/>
      <c r="E60" s="37"/>
      <c r="F60" s="38"/>
      <c r="G60" s="38"/>
      <c r="H60" s="38"/>
      <c r="I60" s="38"/>
      <c r="J60" s="39"/>
      <c r="K60" s="40"/>
      <c r="L60" s="39"/>
      <c r="M60" s="40"/>
      <c r="N60" s="39"/>
      <c r="O60" s="39"/>
      <c r="P60" s="39"/>
      <c r="Q60" s="39"/>
      <c r="R60" s="39"/>
      <c r="S60" s="39"/>
      <c r="T60" s="39"/>
      <c r="U60" s="39"/>
      <c r="V60" s="39"/>
      <c r="W60" s="40"/>
      <c r="X60" s="40"/>
    </row>
    <row r="61" spans="1:24">
      <c r="A61" s="8"/>
      <c r="B61" s="8"/>
      <c r="C61" s="8"/>
      <c r="D61" s="16"/>
      <c r="E61" s="16"/>
      <c r="F61" s="16"/>
      <c r="G61" s="16"/>
      <c r="H61" s="16"/>
      <c r="I61" s="16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0.5">
      <c r="A62" s="8"/>
      <c r="B62" s="8"/>
      <c r="C62" s="9" t="s">
        <v>74</v>
      </c>
      <c r="D62" s="21" t="s">
        <v>34</v>
      </c>
      <c r="E62" s="21" t="s">
        <v>51</v>
      </c>
      <c r="F62" s="21" t="s">
        <v>54</v>
      </c>
      <c r="G62" s="21"/>
      <c r="H62" s="21"/>
      <c r="I62" s="21"/>
      <c r="J62" s="114" t="str">
        <f t="shared" ref="J62:S62" si="10">IF(YEAR(J$4)=PPLastYear,J$4,"")</f>
        <v/>
      </c>
      <c r="K62" s="114" t="str">
        <f t="shared" si="10"/>
        <v/>
      </c>
      <c r="L62" s="114" t="str">
        <f t="shared" si="10"/>
        <v/>
      </c>
      <c r="M62" s="114" t="str">
        <f t="shared" si="10"/>
        <v/>
      </c>
      <c r="N62" s="114">
        <f t="shared" si="10"/>
        <v>46174</v>
      </c>
      <c r="O62" s="114" t="str">
        <f t="shared" si="10"/>
        <v/>
      </c>
      <c r="P62" s="114" t="str">
        <f t="shared" si="10"/>
        <v/>
      </c>
      <c r="Q62" s="114" t="str">
        <f t="shared" si="10"/>
        <v/>
      </c>
      <c r="R62" s="114" t="str">
        <f t="shared" si="10"/>
        <v/>
      </c>
      <c r="S62" s="114" t="str">
        <f t="shared" si="10"/>
        <v/>
      </c>
      <c r="T62" s="114"/>
      <c r="U62" s="8"/>
      <c r="V62" s="8"/>
      <c r="W62" s="8"/>
      <c r="X62" s="8"/>
    </row>
    <row r="63" spans="1:24" ht="10.5">
      <c r="A63" s="8"/>
      <c r="B63" s="8"/>
      <c r="C63" s="9"/>
      <c r="D63" s="21"/>
      <c r="E63" s="21"/>
      <c r="F63" s="21"/>
      <c r="G63" s="21"/>
      <c r="H63" s="21"/>
      <c r="I63" s="21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8"/>
      <c r="V63" s="8"/>
      <c r="W63" s="8"/>
      <c r="X63" s="8"/>
    </row>
    <row r="64" spans="1:24">
      <c r="A64" s="8"/>
      <c r="B64" s="8"/>
      <c r="C64" s="52" t="s">
        <v>193</v>
      </c>
      <c r="D64" s="16" t="s">
        <v>204</v>
      </c>
      <c r="E64" s="16" t="str">
        <f>$E$58</f>
        <v>$millions</v>
      </c>
      <c r="F64" s="124">
        <v>45078</v>
      </c>
      <c r="G64" s="21"/>
      <c r="H64" s="21"/>
      <c r="I64" s="21"/>
      <c r="J64" s="119"/>
      <c r="K64" s="119"/>
      <c r="L64" s="119"/>
      <c r="M64" s="119"/>
      <c r="N64" s="119">
        <v>3.7060810000000002</v>
      </c>
      <c r="O64" s="182"/>
      <c r="P64" s="119"/>
      <c r="Q64" s="119"/>
      <c r="R64" s="119"/>
      <c r="S64" s="119"/>
      <c r="T64" s="119"/>
      <c r="U64" s="8"/>
      <c r="V64" s="8"/>
      <c r="W64" s="8"/>
      <c r="X64" s="8"/>
    </row>
    <row r="65" spans="1:24" ht="10.5">
      <c r="A65" s="8"/>
      <c r="B65" s="8"/>
      <c r="C65" s="52" t="s">
        <v>205</v>
      </c>
      <c r="D65" s="16" t="s">
        <v>204</v>
      </c>
      <c r="E65" s="16" t="str">
        <f t="shared" ref="E65:E70" si="11">$E$58</f>
        <v>$millions</v>
      </c>
      <c r="F65" s="124">
        <v>45078</v>
      </c>
      <c r="G65" s="21"/>
      <c r="H65" s="21"/>
      <c r="I65" s="21"/>
      <c r="J65" s="119"/>
      <c r="K65" s="119"/>
      <c r="L65" s="119"/>
      <c r="M65" s="119"/>
      <c r="N65" s="119">
        <v>-0.45654357733016798</v>
      </c>
      <c r="O65" s="182"/>
      <c r="P65" s="119"/>
      <c r="Q65" s="119"/>
      <c r="R65" s="119"/>
      <c r="S65" s="119"/>
      <c r="T65" s="119"/>
      <c r="U65" s="9"/>
      <c r="V65" s="8"/>
      <c r="W65" s="8"/>
      <c r="X65" s="8"/>
    </row>
    <row r="66" spans="1:24" ht="10.5">
      <c r="A66" s="8"/>
      <c r="B66" s="8"/>
      <c r="C66" s="52"/>
      <c r="D66" s="16" t="s">
        <v>204</v>
      </c>
      <c r="E66" s="16" t="str">
        <f t="shared" si="11"/>
        <v>$millions</v>
      </c>
      <c r="F66" s="124">
        <v>46174</v>
      </c>
      <c r="G66" s="21"/>
      <c r="H66" s="21"/>
      <c r="I66" s="21"/>
      <c r="J66" s="119"/>
      <c r="K66" s="119"/>
      <c r="L66" s="119"/>
      <c r="M66" s="119"/>
      <c r="N66" s="119"/>
      <c r="O66" s="182"/>
      <c r="P66" s="119"/>
      <c r="Q66" s="119"/>
      <c r="R66" s="119"/>
      <c r="S66" s="119"/>
      <c r="T66" s="119"/>
      <c r="U66" s="9"/>
      <c r="V66" s="8"/>
      <c r="W66" s="8"/>
      <c r="X66" s="8"/>
    </row>
    <row r="67" spans="1:24" ht="10.5">
      <c r="A67" s="8"/>
      <c r="B67" s="8"/>
      <c r="C67" s="52"/>
      <c r="D67" s="16" t="s">
        <v>204</v>
      </c>
      <c r="E67" s="16" t="str">
        <f t="shared" si="11"/>
        <v>$millions</v>
      </c>
      <c r="F67" s="124">
        <v>46174</v>
      </c>
      <c r="G67" s="21"/>
      <c r="H67" s="21"/>
      <c r="I67" s="21"/>
      <c r="J67" s="119"/>
      <c r="K67" s="119"/>
      <c r="L67" s="119"/>
      <c r="M67" s="119"/>
      <c r="N67" s="119"/>
      <c r="O67" s="182"/>
      <c r="P67" s="119"/>
      <c r="Q67" s="119"/>
      <c r="R67" s="119"/>
      <c r="S67" s="119"/>
      <c r="T67" s="119"/>
      <c r="U67" s="9"/>
      <c r="V67" s="8"/>
      <c r="W67" s="8"/>
      <c r="X67" s="8"/>
    </row>
    <row r="68" spans="1:24" ht="10.5">
      <c r="A68" s="8"/>
      <c r="B68" s="8"/>
      <c r="C68" s="52"/>
      <c r="D68" s="16" t="s">
        <v>75</v>
      </c>
      <c r="E68" s="16" t="str">
        <f t="shared" si="11"/>
        <v>$millions</v>
      </c>
      <c r="F68" s="124">
        <v>46174</v>
      </c>
      <c r="G68" s="21"/>
      <c r="H68" s="21"/>
      <c r="I68" s="21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9"/>
      <c r="V68" s="8"/>
      <c r="W68" s="8"/>
      <c r="X68" s="8"/>
    </row>
    <row r="69" spans="1:24" ht="10.5">
      <c r="A69" s="8"/>
      <c r="B69" s="8"/>
      <c r="C69" s="144"/>
      <c r="D69" s="16"/>
      <c r="E69" s="16"/>
      <c r="F69" s="145"/>
      <c r="G69" s="21"/>
      <c r="H69" s="21"/>
      <c r="I69" s="21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9"/>
      <c r="V69" s="8"/>
      <c r="W69" s="8"/>
      <c r="X69" s="8"/>
    </row>
    <row r="70" spans="1:24" ht="10.5">
      <c r="A70" s="8"/>
      <c r="B70" s="8"/>
      <c r="C70" s="52" t="s">
        <v>76</v>
      </c>
      <c r="D70" s="16" t="s">
        <v>75</v>
      </c>
      <c r="E70" s="16" t="str">
        <f t="shared" si="11"/>
        <v>$millions</v>
      </c>
      <c r="F70" s="124">
        <v>46174</v>
      </c>
      <c r="G70" s="21"/>
      <c r="H70" s="21"/>
      <c r="I70" s="21"/>
      <c r="J70" s="119"/>
      <c r="K70" s="119"/>
      <c r="L70" s="119"/>
      <c r="M70" s="119"/>
      <c r="N70" s="119">
        <v>0</v>
      </c>
      <c r="O70" s="119"/>
      <c r="P70" s="119"/>
      <c r="Q70" s="119"/>
      <c r="R70" s="119"/>
      <c r="S70" s="119"/>
      <c r="T70" s="119"/>
      <c r="U70" s="9"/>
      <c r="V70" s="8"/>
      <c r="W70" s="8"/>
      <c r="X70" s="8"/>
    </row>
    <row r="71" spans="1:24" ht="10.5">
      <c r="A71" s="8"/>
      <c r="B71" s="8"/>
      <c r="C71" s="144"/>
      <c r="D71" s="16"/>
      <c r="E71" s="16"/>
      <c r="F71" s="145"/>
      <c r="G71" s="21"/>
      <c r="H71" s="21"/>
      <c r="I71" s="21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9"/>
      <c r="V71" s="8"/>
      <c r="W71" s="8"/>
      <c r="X71" s="8"/>
    </row>
    <row r="72" spans="1:24" ht="10.5">
      <c r="A72" s="8"/>
      <c r="B72" s="8"/>
      <c r="C72" s="52" t="s">
        <v>77</v>
      </c>
      <c r="D72" s="16" t="s">
        <v>75</v>
      </c>
      <c r="E72" s="16" t="s">
        <v>78</v>
      </c>
      <c r="F72" s="21"/>
      <c r="G72" s="21"/>
      <c r="H72" s="21"/>
      <c r="I72" s="21"/>
      <c r="J72" s="146"/>
      <c r="K72" s="146"/>
      <c r="L72" s="146"/>
      <c r="M72" s="146"/>
      <c r="N72" s="146">
        <v>0</v>
      </c>
      <c r="O72" s="146"/>
      <c r="P72" s="146"/>
      <c r="Q72" s="146"/>
      <c r="R72" s="146"/>
      <c r="S72" s="146"/>
      <c r="T72" s="146"/>
      <c r="U72" s="9"/>
      <c r="V72" s="8"/>
      <c r="W72" s="8"/>
      <c r="X72" s="8"/>
    </row>
    <row r="73" spans="1:24">
      <c r="A73" s="8"/>
      <c r="B73" s="8"/>
      <c r="C73" s="15"/>
      <c r="D73" s="16"/>
      <c r="E73" s="16"/>
      <c r="F73" s="16"/>
      <c r="G73" s="21"/>
      <c r="H73" s="21"/>
      <c r="I73" s="16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3">
      <c r="A74" s="37"/>
      <c r="B74" s="43" t="s">
        <v>22</v>
      </c>
      <c r="C74" s="37"/>
      <c r="D74" s="37"/>
      <c r="E74" s="37"/>
      <c r="F74" s="38"/>
      <c r="G74" s="38"/>
      <c r="H74" s="38"/>
      <c r="I74" s="38"/>
      <c r="J74" s="39"/>
      <c r="K74" s="40"/>
      <c r="L74" s="39"/>
      <c r="M74" s="40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0"/>
    </row>
    <row r="75" spans="1:24"/>
    <row r="76" spans="1:24"/>
    <row r="81" customFormat="1" hidden="1"/>
    <row r="82" customFormat="1" hidden="1"/>
  </sheetData>
  <conditionalFormatting sqref="J13:T13 J19:T27">
    <cfRule type="expression" dxfId="116" priority="8">
      <formula>J$10=J$4</formula>
    </cfRule>
  </conditionalFormatting>
  <conditionalFormatting sqref="J15:T15">
    <cfRule type="cellIs" dxfId="115" priority="11" operator="equal">
      <formula>0</formula>
    </cfRule>
  </conditionalFormatting>
  <conditionalFormatting sqref="J29:T29">
    <cfRule type="cellIs" dxfId="114" priority="4" operator="equal">
      <formula>0</formula>
    </cfRule>
  </conditionalFormatting>
  <conditionalFormatting sqref="J33:T33 N37:T37 J41:T45 J50:N56 O51:T56">
    <cfRule type="expression" dxfId="113" priority="184">
      <formula>J$34=J$4</formula>
    </cfRule>
  </conditionalFormatting>
  <conditionalFormatting sqref="J37:T37">
    <cfRule type="expression" dxfId="112" priority="7">
      <formula>J$10=J$4</formula>
    </cfRule>
  </conditionalFormatting>
  <conditionalFormatting sqref="J47:T47">
    <cfRule type="cellIs" dxfId="111" priority="6" operator="equal">
      <formula>0</formula>
    </cfRule>
  </conditionalFormatting>
  <conditionalFormatting sqref="J58:T58">
    <cfRule type="cellIs" dxfId="110" priority="10" operator="equal">
      <formula>0</formula>
    </cfRule>
  </conditionalFormatting>
  <conditionalFormatting sqref="J64:T68 J70:T70 J72:T72">
    <cfRule type="expression" dxfId="109" priority="188">
      <formula>J$62=J$4</formula>
    </cfRule>
  </conditionalFormatting>
  <conditionalFormatting sqref="S1:T1 X48:X56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W1">
    <cfRule type="cellIs" dxfId="106" priority="57" operator="equal">
      <formula>"Check"</formula>
    </cfRule>
    <cfRule type="cellIs" dxfId="105" priority="58" operator="equal">
      <formula>"Ok"</formula>
    </cfRule>
  </conditionalFormatting>
  <conditionalFormatting sqref="X15">
    <cfRule type="cellIs" dxfId="104" priority="59" operator="equal">
      <formula>"Check"</formula>
    </cfRule>
    <cfRule type="cellIs" dxfId="103" priority="60" operator="equal">
      <formula>"Ok"</formula>
    </cfRule>
  </conditionalFormatting>
  <conditionalFormatting sqref="X29">
    <cfRule type="cellIs" dxfId="102" priority="36" operator="equal">
      <formula>"Check"</formula>
    </cfRule>
    <cfRule type="cellIs" dxfId="101" priority="37" operator="equal">
      <formula>"Ok"</formula>
    </cfRule>
  </conditionalFormatting>
  <conditionalFormatting sqref="X37 X41:X45">
    <cfRule type="cellIs" dxfId="100" priority="63" operator="equal">
      <formula>"Check"</formula>
    </cfRule>
    <cfRule type="cellIs" dxfId="99" priority="64" operator="equal">
      <formula>"Ok"</formula>
    </cfRule>
  </conditionalFormatting>
  <conditionalFormatting sqref="X47">
    <cfRule type="cellIs" dxfId="98" priority="43" operator="equal">
      <formula>"Check"</formula>
    </cfRule>
    <cfRule type="cellIs" dxfId="97" priority="44" operator="equal">
      <formula>"Ok"</formula>
    </cfRule>
  </conditionalFormatting>
  <conditionalFormatting sqref="X58">
    <cfRule type="cellIs" dxfId="96" priority="61" operator="equal">
      <formula>"Check"</formula>
    </cfRule>
    <cfRule type="cellIs" dxfId="95" priority="62" operator="equal">
      <formula>"Ok"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V1" location="'Check|List'!A1" display="Overall Check:" xr:uid="{00000000-0004-0000-0400-000000000000}"/>
    <hyperlink ref="J1" location="Index!A1" display="Back to Index" xr:uid="{00000000-0004-0000-0400-000001000000}"/>
  </hyperlinks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'Lookup|Tables'!$H$41:$H$60</xm:f>
          </x14:formula1>
          <xm:sqref>F15 F64:F71 F13 F29</xm:sqref>
        </x14:dataValidation>
        <x14:dataValidation type="list" allowBlank="1" showInputMessage="1" showErrorMessage="1" xr:uid="{00000000-0002-0000-04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4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tabSelected="1" topLeftCell="E1" zoomScale="110" zoomScaleNormal="110" workbookViewId="0">
      <selection activeCell="U38" sqref="U38:U39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44140625" style="8" hidden="1"/>
  </cols>
  <sheetData>
    <row r="1" spans="1:34" s="32" customFormat="1" ht="15.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0"/>
      <c r="K1" s="31" t="s">
        <v>25</v>
      </c>
      <c r="M1" s="33" t="s">
        <v>26</v>
      </c>
      <c r="N1" s="50" t="s">
        <v>27</v>
      </c>
      <c r="O1" s="11" t="s">
        <v>28</v>
      </c>
      <c r="P1" s="12" t="s">
        <v>29</v>
      </c>
      <c r="S1" s="33" t="s">
        <v>30</v>
      </c>
      <c r="T1" s="34" t="str">
        <f>IF(COUNTIF(X5:X109,"Check")=0,"Ok","Check")</f>
        <v>Ok</v>
      </c>
      <c r="U1" s="34"/>
      <c r="W1" s="134" t="s">
        <v>31</v>
      </c>
      <c r="X1" s="34" t="str">
        <f>'Check|List'!$S$1</f>
        <v>Ok</v>
      </c>
    </row>
    <row r="2" spans="1:34" s="36" customFormat="1" ht="13.5" thickBot="1">
      <c r="B2" s="35" t="str">
        <f>Index!$C$10</f>
        <v>Input | Rate of change</v>
      </c>
      <c r="C2" s="35"/>
      <c r="D2" s="35"/>
      <c r="E2" s="35"/>
      <c r="F2" s="59"/>
      <c r="G2" s="59"/>
      <c r="H2" s="59"/>
      <c r="I2" s="59"/>
      <c r="J2" s="59"/>
    </row>
    <row r="3" spans="1:34" s="60" customFormat="1" ht="10.5">
      <c r="D3" s="130"/>
      <c r="E3" s="130"/>
      <c r="F3" s="130"/>
      <c r="G3" s="130"/>
      <c r="H3" s="130"/>
      <c r="I3" s="130"/>
      <c r="J3" s="113" t="s">
        <v>41</v>
      </c>
      <c r="K3" s="185"/>
      <c r="L3" s="185"/>
      <c r="M3" s="185"/>
      <c r="N3" s="130"/>
      <c r="O3" s="185"/>
      <c r="P3" s="185"/>
      <c r="Q3" s="185"/>
      <c r="R3" s="185"/>
      <c r="S3" s="185"/>
      <c r="T3" s="185"/>
      <c r="U3" s="130"/>
      <c r="V3" s="61"/>
      <c r="W3" s="61"/>
      <c r="X3" s="61"/>
      <c r="Y3" s="61"/>
      <c r="Z3" s="61"/>
      <c r="AA3" s="61"/>
      <c r="AB3" s="61"/>
      <c r="AC3" s="61"/>
      <c r="AD3" s="61"/>
    </row>
    <row r="4" spans="1:34" s="70" customFormat="1">
      <c r="A4" s="62"/>
      <c r="B4" s="62"/>
      <c r="C4" s="62"/>
      <c r="D4" s="63" t="s">
        <v>34</v>
      </c>
      <c r="E4" s="63" t="s">
        <v>51</v>
      </c>
      <c r="F4" s="64" t="s">
        <v>54</v>
      </c>
      <c r="G4" s="65"/>
      <c r="H4" s="65"/>
      <c r="I4" s="65"/>
      <c r="J4" s="111">
        <f>DATE(PPFirstYear-1,MONTH('Input|General'!$G$9),1)</f>
        <v>44348</v>
      </c>
      <c r="K4" s="111">
        <f>DATE(PPFirstYear,MONTH('Input|General'!$G$9),1)</f>
        <v>44713</v>
      </c>
      <c r="L4" s="111">
        <f>DATE(PPFirstYear+1,MONTH('Input|General'!$G$9),1)</f>
        <v>45078</v>
      </c>
      <c r="M4" s="111">
        <f>DATE(PPFirstYear+2,MONTH('Input|General'!$G$9),1)</f>
        <v>45444</v>
      </c>
      <c r="N4" s="111">
        <f>DATE(PPFirstYear+3,MONTH('Input|General'!$G$9),1)</f>
        <v>45809</v>
      </c>
      <c r="O4" s="111">
        <f>DATE(PPFirstYear+4,MONTH('Input|General'!$G$9),1)</f>
        <v>46174</v>
      </c>
      <c r="P4" s="111">
        <f>DATE(PPFirstYear+5,MONTH('Input|General'!$G$9),1)</f>
        <v>46539</v>
      </c>
      <c r="Q4" s="111">
        <f>DATE(PPFirstYear+6,MONTH('Input|General'!$G$9),1)</f>
        <v>46905</v>
      </c>
      <c r="R4" s="111">
        <f>DATE(PPFirstYear+7,MONTH('Input|General'!$G$9),1)</f>
        <v>47270</v>
      </c>
      <c r="S4" s="111">
        <f>DATE(PPFirstYear+8,MONTH('Input|General'!$G$9),1)</f>
        <v>47635</v>
      </c>
      <c r="T4" s="111">
        <f>DATE(PPFirstYear+9,MONTH('Input|General'!$G$9),1)</f>
        <v>48000</v>
      </c>
      <c r="U4" s="111">
        <f>DATE(PPFirstYear+10,MONTH('Input|General'!$G$9),1)</f>
        <v>48366</v>
      </c>
      <c r="V4" s="66"/>
      <c r="W4" s="66"/>
      <c r="X4" s="67"/>
      <c r="Y4" s="68"/>
      <c r="Z4" s="68"/>
      <c r="AA4" s="68"/>
      <c r="AB4" s="68"/>
      <c r="AC4" s="68"/>
      <c r="AD4" s="68"/>
      <c r="AE4" s="68"/>
      <c r="AF4" s="68"/>
      <c r="AG4" s="69"/>
      <c r="AH4" s="69"/>
    </row>
    <row r="5" spans="1:34" s="6" customFormat="1" ht="3" customHeight="1">
      <c r="D5" s="27"/>
      <c r="E5" s="27"/>
      <c r="F5" s="27"/>
      <c r="G5" s="27"/>
      <c r="H5" s="27"/>
      <c r="I5" s="27"/>
      <c r="J5" s="27"/>
    </row>
    <row r="6" spans="1:34" s="6" customFormat="1" ht="9.25" customHeight="1">
      <c r="D6" s="27"/>
      <c r="E6" s="27"/>
      <c r="F6" s="27"/>
      <c r="G6" s="27"/>
      <c r="H6" s="27"/>
      <c r="I6" s="27"/>
      <c r="J6" s="27"/>
    </row>
    <row r="7" spans="1:34" s="6" customFormat="1" ht="3" customHeight="1">
      <c r="D7" s="27"/>
      <c r="E7" s="27"/>
      <c r="F7" s="27"/>
      <c r="G7" s="27"/>
      <c r="H7" s="27"/>
      <c r="I7" s="27"/>
      <c r="J7" s="27"/>
    </row>
    <row r="8" spans="1:34" customFormat="1" ht="13">
      <c r="A8" s="37"/>
      <c r="B8" s="43" t="s">
        <v>8</v>
      </c>
      <c r="C8" s="37"/>
      <c r="D8" s="37"/>
      <c r="E8" s="37"/>
      <c r="F8" s="38"/>
      <c r="G8" s="38"/>
      <c r="H8" s="38"/>
      <c r="I8" s="38"/>
      <c r="J8" s="38"/>
      <c r="K8" s="39"/>
      <c r="L8" s="40"/>
      <c r="M8" s="39"/>
      <c r="N8" s="40"/>
      <c r="O8" s="39"/>
      <c r="P8" s="39"/>
      <c r="Q8" s="39"/>
      <c r="R8" s="39"/>
      <c r="S8" s="39"/>
      <c r="T8" s="39"/>
      <c r="U8" s="39"/>
      <c r="V8" s="39"/>
      <c r="W8" s="39"/>
      <c r="X8" s="40"/>
      <c r="Y8" s="41"/>
      <c r="Z8" s="41"/>
      <c r="AA8" s="41"/>
      <c r="AB8" s="41"/>
      <c r="AC8" s="41"/>
      <c r="AD8" s="41"/>
      <c r="AE8" s="41"/>
      <c r="AF8" s="41"/>
      <c r="AG8" s="42"/>
      <c r="AH8" s="42"/>
    </row>
    <row r="9" spans="1:34" ht="11.5" customHeight="1" outlineLevel="1"/>
    <row r="10" spans="1:34" ht="11.5" customHeight="1" outlineLevel="1">
      <c r="C10" s="9" t="s">
        <v>79</v>
      </c>
      <c r="J10" s="114">
        <f t="shared" ref="J10:T10" si="0">IF(YEAR(J$4)&lt;=PPLastYear,J$4,"")</f>
        <v>44348</v>
      </c>
      <c r="K10" s="114">
        <f t="shared" si="0"/>
        <v>44713</v>
      </c>
      <c r="L10" s="114">
        <f t="shared" si="0"/>
        <v>45078</v>
      </c>
      <c r="M10" s="114">
        <f t="shared" si="0"/>
        <v>45444</v>
      </c>
      <c r="N10" s="114">
        <f t="shared" si="0"/>
        <v>45809</v>
      </c>
      <c r="O10" s="114">
        <f t="shared" si="0"/>
        <v>46174</v>
      </c>
      <c r="P10" s="114" t="str">
        <f t="shared" si="0"/>
        <v/>
      </c>
      <c r="Q10" s="114" t="str">
        <f t="shared" si="0"/>
        <v/>
      </c>
      <c r="R10" s="114" t="str">
        <f t="shared" si="0"/>
        <v/>
      </c>
      <c r="S10" s="114" t="str">
        <f t="shared" si="0"/>
        <v/>
      </c>
      <c r="T10" s="114" t="str">
        <f t="shared" si="0"/>
        <v/>
      </c>
      <c r="U10" s="118"/>
    </row>
    <row r="11" spans="1:34" ht="11.5" customHeight="1" outlineLevel="1">
      <c r="C11" s="9"/>
      <c r="J11" s="8"/>
      <c r="P11" s="100"/>
      <c r="Q11" s="100"/>
      <c r="R11" s="100"/>
      <c r="S11" s="100"/>
      <c r="T11" s="100"/>
      <c r="U11" s="100"/>
      <c r="V11" s="14"/>
      <c r="W11" s="14"/>
      <c r="X11" s="14"/>
    </row>
    <row r="12" spans="1:34" ht="11.5" customHeight="1" outlineLevel="1">
      <c r="C12" s="15" t="s">
        <v>79</v>
      </c>
      <c r="D12" s="101" t="s">
        <v>80</v>
      </c>
      <c r="E12" s="16" t="str">
        <f>percent</f>
        <v>Per cent</v>
      </c>
      <c r="J12" s="100">
        <f>IF(J10=J4,LOOKUP(EOMONTH(J4,0),'Input|Inflation'!$C$9:$C$94,'Input|Inflation'!$G$9:$G$94),"")</f>
        <v>3.8461538461538325E-2</v>
      </c>
      <c r="K12" s="100">
        <f>IF(K10=K4,LOOKUP(EOMONTH(K4,0),'Input|Inflation'!$C$9:$C$94,'Input|Inflation'!$G$9:$G$94),"")</f>
        <v>6.1447811447811418E-2</v>
      </c>
      <c r="L12" s="100">
        <f>IF(L10=L4,LOOKUP(EOMONTH(L4,0),'Input|Inflation'!$C$9:$C$94,'Input|Inflation'!$G$9:$G$94),"")</f>
        <v>6.0269627279936566E-2</v>
      </c>
      <c r="M12" s="100">
        <f>IF(M10=M4,LOOKUP(EOMONTH(M4,0),'Input|Inflation'!$C$9:$C$94,'Input|Inflation'!$G$9:$G$94),"")</f>
        <v>3.7999999999999999E-2</v>
      </c>
      <c r="N12" s="100">
        <f>IF(N10=N4,LOOKUP(EOMONTH(N4,0),'Input|Inflation'!$C$9:$C$94,'Input|Inflation'!$G$9:$G$94),"")</f>
        <v>2.5000000000000001E-2</v>
      </c>
      <c r="O12" s="100">
        <f>IF(O10=O4,LOOKUP(EOMONTH(O4,0),'Input|Inflation'!$C$9:$C$94,'Input|Inflation'!$G$9:$G$94),"")</f>
        <v>3.1E-2</v>
      </c>
      <c r="P12" s="100" t="str">
        <f>IF(P10=P4,LOOKUP(EOMONTH(P4,0),'Input|Inflation'!$C$9:$C$94,'Input|Inflation'!$G$9:$G$94),"")</f>
        <v/>
      </c>
      <c r="Q12" s="100" t="str">
        <f>IF(Q10=Q4,LOOKUP(EOMONTH(Q4,0),'Input|Inflation'!$C$9:$C$94,'Input|Inflation'!$G$9:$G$94),"")</f>
        <v/>
      </c>
      <c r="R12" s="100" t="str">
        <f>IF(R10=R4,LOOKUP(EOMONTH(R4,0),'Input|Inflation'!$C$9:$C$94,'Input|Inflation'!$G$9:$G$94),"")</f>
        <v/>
      </c>
      <c r="S12" s="100" t="str">
        <f>IF(S10=S4,LOOKUP(EOMONTH(S4,0),'Input|Inflation'!$C$9:$C$94,'Input|Inflation'!$G$9:$G$94),"")</f>
        <v/>
      </c>
      <c r="T12" s="100" t="str">
        <f>IF(T10=T4,LOOKUP(EOMONTH(T4,0),'Input|Inflation'!$C$9:$C$94,'Input|Inflation'!$G$9:$G$94),"")</f>
        <v/>
      </c>
      <c r="U12" s="100"/>
      <c r="V12" s="102"/>
    </row>
    <row r="13" spans="1:34" ht="11.5" customHeight="1" outlineLevel="1">
      <c r="D13" s="8"/>
      <c r="E13" s="8"/>
      <c r="F13" s="8"/>
      <c r="G13" s="8"/>
      <c r="H13" s="8"/>
      <c r="I13" s="8"/>
      <c r="J13" s="8"/>
    </row>
    <row r="14" spans="1:34" ht="11.5" customHeight="1" outlineLevel="1">
      <c r="C14" s="9" t="s">
        <v>81</v>
      </c>
      <c r="I14" s="8"/>
      <c r="J14" s="114">
        <f t="shared" ref="J14:T14" si="1">IF(YEAR(J$4)&lt;=PPLastYear,J$4,"")</f>
        <v>44348</v>
      </c>
      <c r="K14" s="114">
        <f t="shared" si="1"/>
        <v>44713</v>
      </c>
      <c r="L14" s="114">
        <f t="shared" si="1"/>
        <v>45078</v>
      </c>
      <c r="M14" s="114">
        <f t="shared" si="1"/>
        <v>45444</v>
      </c>
      <c r="N14" s="114">
        <f t="shared" si="1"/>
        <v>45809</v>
      </c>
      <c r="O14" s="114">
        <f t="shared" si="1"/>
        <v>46174</v>
      </c>
      <c r="P14" s="114" t="str">
        <f t="shared" si="1"/>
        <v/>
      </c>
      <c r="Q14" s="114" t="str">
        <f t="shared" si="1"/>
        <v/>
      </c>
      <c r="R14" s="114" t="str">
        <f t="shared" si="1"/>
        <v/>
      </c>
      <c r="S14" s="114" t="str">
        <f t="shared" si="1"/>
        <v/>
      </c>
      <c r="T14" s="114" t="str">
        <f t="shared" si="1"/>
        <v/>
      </c>
      <c r="U14" s="118"/>
    </row>
    <row r="15" spans="1:34" ht="11.5" customHeight="1" outlineLevel="1">
      <c r="C15" s="9"/>
      <c r="I15" s="8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</row>
    <row r="16" spans="1:34" ht="11.5" customHeight="1" outlineLevel="1">
      <c r="C16" s="115">
        <f t="array" ref="C16:C22">TRANSPOSE(J10:P10)</f>
        <v>44348</v>
      </c>
      <c r="D16" s="101" t="str">
        <f t="shared" ref="D16:D20" si="2">IF(ISNONTEXT($C16),"calculated","")</f>
        <v>calculated</v>
      </c>
      <c r="E16" s="16" t="str">
        <f>IF(ISNONTEXT($C16),"index","")</f>
        <v>index</v>
      </c>
      <c r="J16" s="22">
        <f>IF(AND($C16&gt;J$14,ISNONTEXT($C16)),K16/(1+K$12),IF(AND($C16=J$14,J$14=J$4),1,IF(AND($C16&lt;J$14,J$14=J$4),I16*(1+J$12),0)))</f>
        <v>1</v>
      </c>
      <c r="K16" s="22">
        <f>IF(AND($C16&gt;K$14,ISNONTEXT($C16)),L16/(1+L$12),IF(AND($C16=K$14,K$14=K$4),1,IF(AND($C16&lt;K$14,K$14=K$4),J16*(1+K$12),0)))</f>
        <v>1.0614478114478114</v>
      </c>
      <c r="L16" s="22">
        <f>IF(AND($C16&gt;L$14,ISNONTEXT($C16)),M16/(1+M$12),IF(AND($C16=L$14,L$14=L$4),1,IF(AND($C16&lt;L$14,L$14=L$4),K16*(1+L$12),0)))</f>
        <v>1.1254208754208754</v>
      </c>
      <c r="M16" s="22">
        <f t="shared" ref="M16:N16" si="3">IF(AND($C16&gt;M$14,ISNONTEXT($C16)),N16/(1+N$12),IF(AND($C16=M$14,M$14=M$4),1,IF(AND($C16&lt;M$14,M$14=M$4),L16*(1+M$12),0)))</f>
        <v>1.1681868686868688</v>
      </c>
      <c r="N16" s="22">
        <f t="shared" si="3"/>
        <v>1.1973915404040405</v>
      </c>
      <c r="O16" s="22">
        <f>IF(AND($C16&gt;O$14,ISNONTEXT($C16)),P16/(1+O$12),IF(AND($C16=O$14,O$14=O$4),1,IF(AND($C16&lt;O$14,O$14=O$4),N16*(1+O$12),0)))</f>
        <v>1.2345106781565656</v>
      </c>
      <c r="P16" s="22">
        <f t="shared" ref="P16" si="4">IF(AND($C16&gt;P$14,ISNONTEXT($C16)),Q16/(1+P$12),IF(AND($C16=P$14,P$14=P$4),1,IF(AND($C16&lt;P$14,P$14=P$4),O16*(1+P$12),0)))</f>
        <v>0</v>
      </c>
      <c r="Q16" s="150"/>
      <c r="R16" s="150"/>
      <c r="S16" s="150"/>
      <c r="T16" s="150"/>
      <c r="U16" s="150"/>
    </row>
    <row r="17" spans="3:23" ht="11.5" customHeight="1" outlineLevel="1">
      <c r="C17" s="115">
        <v>44713</v>
      </c>
      <c r="D17" s="101" t="str">
        <f t="shared" si="2"/>
        <v>calculated</v>
      </c>
      <c r="E17" s="16" t="str">
        <f t="shared" ref="E17:E22" si="5">IF(ISNONTEXT($C17),"index","")</f>
        <v>index</v>
      </c>
      <c r="I17" s="22"/>
      <c r="J17" s="22">
        <f>IF(AND($C17&gt;J$14,ISNONTEXT($C17)),K17/(1+K$12),IF(AND($C17=J$14,J$14=J$4),1,IF(AND($C17&lt;J$14,J$14=J$4),I17*(1+J$12),0)))</f>
        <v>0.94210943695479776</v>
      </c>
      <c r="K17" s="22">
        <f t="shared" ref="K17:N17" si="6">IF(AND($C17&gt;K$14,ISNONTEXT($C17)),L17/(1+L$12),IF(AND($C17=K$14,K$14=K$4),1,IF(AND($C17&lt;K$14,K$14=K$4),J17*(1+K$12),0)))</f>
        <v>1</v>
      </c>
      <c r="L17" s="22">
        <f t="shared" si="6"/>
        <v>1.0602696272799366</v>
      </c>
      <c r="M17" s="22">
        <f t="shared" si="6"/>
        <v>1.1005598731165742</v>
      </c>
      <c r="N17" s="22">
        <f t="shared" si="6"/>
        <v>1.1280738699444885</v>
      </c>
      <c r="O17" s="22">
        <f t="shared" ref="O17:P17" si="7">IF(AND($C17&gt;O$14,ISNONTEXT($C17)),P17/(1+O$12),IF(AND($C17=O$14,O$14=O$4),1,IF(AND($C17&lt;O$14,O$14=O$4),N17*(1+O$12),0)))</f>
        <v>1.1630441599127677</v>
      </c>
      <c r="P17" s="22">
        <f t="shared" si="7"/>
        <v>0</v>
      </c>
      <c r="Q17" s="150"/>
      <c r="R17" s="150"/>
      <c r="S17" s="150"/>
      <c r="T17" s="150"/>
      <c r="U17" s="150"/>
    </row>
    <row r="18" spans="3:23" ht="11.5" customHeight="1" outlineLevel="1">
      <c r="C18" s="115">
        <v>45078</v>
      </c>
      <c r="D18" s="101" t="str">
        <f t="shared" si="2"/>
        <v>calculated</v>
      </c>
      <c r="E18" s="16" t="str">
        <f t="shared" si="5"/>
        <v>index</v>
      </c>
      <c r="I18" s="22"/>
      <c r="J18" s="22">
        <f>IF(AND($C18&gt;J$14,ISNONTEXT($C18)),K18/(1+K$12),IF(AND($C18=J$14,J$14=J$4),1,IF(AND($C18&lt;J$14,J$14=J$4),I18*(1+J$12),0)))</f>
        <v>0.88855646970830215</v>
      </c>
      <c r="K18" s="22">
        <f t="shared" ref="K18:N18" si="8">IF(AND($C18&gt;K$14,ISNONTEXT($C18)),L18/(1+L$12),IF(AND($C18=K$14,K$14=K$4),1,IF(AND($C18&lt;K$14,K$14=K$4),J18*(1+K$12),0)))</f>
        <v>0.94315632011967088</v>
      </c>
      <c r="L18" s="22">
        <f t="shared" si="8"/>
        <v>1</v>
      </c>
      <c r="M18" s="22">
        <f t="shared" si="8"/>
        <v>1.038</v>
      </c>
      <c r="N18" s="22">
        <f t="shared" si="8"/>
        <v>1.06395</v>
      </c>
      <c r="O18" s="22">
        <f t="shared" ref="O18:P18" si="9">IF(AND($C18&gt;O$14,ISNONTEXT($C18)),P18/(1+O$12),IF(AND($C18=O$14,O$14=O$4),1,IF(AND($C18&lt;O$14,O$14=O$4),N18*(1+O$12),0)))</f>
        <v>1.0969324499999999</v>
      </c>
      <c r="P18" s="22">
        <f t="shared" si="9"/>
        <v>0</v>
      </c>
      <c r="Q18" s="150"/>
      <c r="R18" s="150"/>
      <c r="S18" s="150"/>
      <c r="T18" s="150"/>
      <c r="U18" s="150"/>
    </row>
    <row r="19" spans="3:23" ht="11.5" customHeight="1" outlineLevel="1">
      <c r="C19" s="115">
        <v>45444</v>
      </c>
      <c r="D19" s="101" t="str">
        <f t="shared" si="2"/>
        <v>calculated</v>
      </c>
      <c r="E19" s="16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0.85602742746464566</v>
      </c>
      <c r="K19" s="22">
        <f t="shared" si="10"/>
        <v>0.90862843942164828</v>
      </c>
      <c r="L19" s="22">
        <f t="shared" si="10"/>
        <v>0.96339113680154143</v>
      </c>
      <c r="M19" s="22">
        <f t="shared" si="10"/>
        <v>1</v>
      </c>
      <c r="N19" s="22">
        <f t="shared" si="10"/>
        <v>1.0249999999999999</v>
      </c>
      <c r="O19" s="22">
        <f t="shared" ref="O19:P19" si="11">IF(AND($C19&gt;O$14,ISNONTEXT($C19)),P19/(1+O$12),IF(AND($C19=O$14,O$14=O$4),1,IF(AND($C19&lt;O$14,O$14=O$4),N19*(1+O$12),0)))</f>
        <v>1.0567749999999998</v>
      </c>
      <c r="P19" s="22">
        <f t="shared" si="11"/>
        <v>0</v>
      </c>
      <c r="Q19" s="150"/>
      <c r="R19" s="150"/>
      <c r="S19" s="150"/>
      <c r="T19" s="150"/>
      <c r="U19" s="150"/>
    </row>
    <row r="20" spans="3:23" ht="11.5" customHeight="1" outlineLevel="1">
      <c r="C20" s="115">
        <v>45809</v>
      </c>
      <c r="D20" s="101" t="str">
        <f t="shared" si="2"/>
        <v>calculated</v>
      </c>
      <c r="E20" s="16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0.8351487097216056</v>
      </c>
      <c r="K20" s="22">
        <f t="shared" ref="K20:N20" si="12">IF(AND($C20&gt;K$14,ISNONTEXT($C20)),L20/(1+L$12),IF(AND($C20=K$14,K$14=K$4),1,IF(AND($C20&lt;K$14,K$14=K$4),J20*(1+K$12),0)))</f>
        <v>0.88646677016746178</v>
      </c>
      <c r="L20" s="22">
        <f t="shared" si="12"/>
        <v>0.93989379200150391</v>
      </c>
      <c r="M20" s="22">
        <f t="shared" si="12"/>
        <v>0.97560975609756106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1.0309999999999999</v>
      </c>
      <c r="P20" s="22">
        <f t="shared" si="13"/>
        <v>0</v>
      </c>
      <c r="Q20" s="150"/>
      <c r="R20" s="150"/>
      <c r="S20" s="150"/>
      <c r="T20" s="150"/>
      <c r="U20" s="150"/>
    </row>
    <row r="21" spans="3:23" ht="11.5" customHeight="1" outlineLevel="1">
      <c r="C21" s="115">
        <v>46174</v>
      </c>
      <c r="D21" s="101" t="str">
        <f>IF(ISNONTEXT($C21),"calculated","")</f>
        <v>calculated</v>
      </c>
      <c r="E21" s="16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0.81003754580175136</v>
      </c>
      <c r="K21" s="22">
        <f t="shared" ref="K21:K22" si="14">IF(AND($C21&gt;K$14,ISNONTEXT($C21)),L21/(1+L$12),IF(AND($C21=K$14,K$14=K$4),1,IF(AND($C21&lt;K$14,K$14=K$4),J21*(1+K$12),0)))</f>
        <v>0.85981258018182527</v>
      </c>
      <c r="L21" s="22">
        <f t="shared" ref="L21:L22" si="15">IF(AND($C21&gt;L$14,ISNONTEXT($C21)),M21/(1+M$12),IF(AND($C21=L$14,L$14=L$4),1,IF(AND($C21&lt;L$14,L$14=L$4),K21*(1+L$12),0)))</f>
        <v>0.9116331639199845</v>
      </c>
      <c r="M21" s="22">
        <f t="shared" ref="M21:M22" si="16">IF(AND($C21&gt;M$14,ISNONTEXT($C21)),N21/(1+N$12),IF(AND($C21=M$14,M$14=M$4),1,IF(AND($C21&lt;M$14,M$14=M$4),L21*(1+M$12),0)))</f>
        <v>0.94627522414894394</v>
      </c>
      <c r="N21" s="22">
        <f t="shared" ref="N21:N22" si="17">IF(AND($C21&gt;N$14,ISNONTEXT($C21)),O21/(1+O$12),IF(AND($C21=N$14,N$14=N$4),1,IF(AND($C21&lt;N$14,N$14=N$4),M21*(1+N$12),0)))</f>
        <v>0.96993210475266745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150"/>
      <c r="R21" s="150"/>
      <c r="S21" s="150"/>
      <c r="T21" s="150"/>
      <c r="U21" s="150"/>
    </row>
    <row r="22" spans="3:23" ht="11.5" customHeight="1" outlineLevel="1">
      <c r="C22" s="115" t="str">
        <v/>
      </c>
      <c r="D22" s="101" t="str">
        <f>IF(ISNONTEXT($C22),"calculated","")</f>
        <v/>
      </c>
      <c r="E22" s="16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150"/>
      <c r="R22" s="150"/>
      <c r="S22" s="150"/>
      <c r="T22" s="150"/>
      <c r="U22" s="150"/>
    </row>
    <row r="23" spans="3:23" ht="11.5" customHeight="1" outlineLevel="1">
      <c r="C23" s="15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3" ht="11.5" customHeight="1" outlineLevel="1">
      <c r="C24" s="9" t="s">
        <v>82</v>
      </c>
      <c r="J24" s="114">
        <f t="shared" ref="J24:T24" si="20">IF(YEAR(J$4)&lt;=PPLastYear,J$4,"")</f>
        <v>44348</v>
      </c>
      <c r="K24" s="114">
        <f t="shared" si="20"/>
        <v>44713</v>
      </c>
      <c r="L24" s="114">
        <f t="shared" si="20"/>
        <v>45078</v>
      </c>
      <c r="M24" s="114">
        <f t="shared" si="20"/>
        <v>45444</v>
      </c>
      <c r="N24" s="114">
        <f t="shared" si="20"/>
        <v>45809</v>
      </c>
      <c r="O24" s="114">
        <f t="shared" si="20"/>
        <v>46174</v>
      </c>
      <c r="P24" s="114" t="str">
        <f t="shared" si="20"/>
        <v/>
      </c>
      <c r="Q24" s="114" t="str">
        <f t="shared" si="20"/>
        <v/>
      </c>
      <c r="R24" s="114" t="str">
        <f t="shared" si="20"/>
        <v/>
      </c>
      <c r="S24" s="114" t="str">
        <f t="shared" si="20"/>
        <v/>
      </c>
      <c r="T24" s="114" t="str">
        <f t="shared" si="20"/>
        <v/>
      </c>
      <c r="U24" s="118"/>
    </row>
    <row r="25" spans="3:23" ht="11.5" customHeight="1" outlineLevel="1">
      <c r="C25" s="15"/>
      <c r="J25" s="8"/>
      <c r="Q25" s="22"/>
      <c r="R25" s="22"/>
      <c r="S25" s="22"/>
      <c r="T25" s="22"/>
      <c r="U25" s="22"/>
    </row>
    <row r="26" spans="3:23" ht="11.5" customHeight="1" outlineLevel="1">
      <c r="C26" s="115">
        <f t="array" ref="C26:C32">TRANSPOSE(J10:P10)</f>
        <v>44348</v>
      </c>
      <c r="D26" s="101" t="str">
        <f t="shared" ref="D26:D32" si="21">IF(ISNONTEXT($C26),"calculated","")</f>
        <v>calculated</v>
      </c>
      <c r="E26" s="16" t="str">
        <f>IF(ISNONTEXT($C26),"index","")</f>
        <v>index</v>
      </c>
      <c r="I26" s="22"/>
      <c r="J26" s="22">
        <f>IF(AND(J$24=J$4,ISNONTEXT($C26)),1/J16*(1+J$12)^0.5,0)</f>
        <v>1.019049330730136</v>
      </c>
      <c r="K26" s="22">
        <f t="shared" ref="K26:T26" si="22">IF(AND(K$24=K$4,ISNONTEXT($C26)),1/K16*(1+K$12)^0.5,0)</f>
        <v>0.970623220902322</v>
      </c>
      <c r="L26" s="22">
        <f t="shared" si="22"/>
        <v>0.9149412196307648</v>
      </c>
      <c r="M26" s="22">
        <f t="shared" si="22"/>
        <v>0.87214030346124072</v>
      </c>
      <c r="N26" s="22">
        <f t="shared" si="22"/>
        <v>0.84552362565063999</v>
      </c>
      <c r="O26" s="22">
        <f t="shared" si="22"/>
        <v>0.82249730163836299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22"/>
      <c r="V26" s="103"/>
      <c r="W26" s="103"/>
    </row>
    <row r="27" spans="3:23" ht="11.5" customHeight="1" outlineLevel="1">
      <c r="C27" s="115">
        <v>44713</v>
      </c>
      <c r="D27" s="101" t="str">
        <f t="shared" si="21"/>
        <v>calculated</v>
      </c>
      <c r="E27" s="16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1.0816676818608599</v>
      </c>
      <c r="K27" s="22">
        <f t="shared" si="24"/>
        <v>1.0302658935671953</v>
      </c>
      <c r="L27" s="22">
        <f t="shared" si="24"/>
        <v>0.97116235518046667</v>
      </c>
      <c r="M27" s="22">
        <f t="shared" si="24"/>
        <v>0.92573141638436418</v>
      </c>
      <c r="N27" s="22">
        <f t="shared" si="24"/>
        <v>0.89747920197429054</v>
      </c>
      <c r="O27" s="22">
        <f t="shared" si="24"/>
        <v>0.87303796074577078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22"/>
      <c r="V27" s="103"/>
      <c r="W27" s="103"/>
    </row>
    <row r="28" spans="3:23" ht="11.5" customHeight="1" outlineLevel="1">
      <c r="C28" s="115">
        <v>45078</v>
      </c>
      <c r="D28" s="101" t="str">
        <f t="shared" si="21"/>
        <v>calculated</v>
      </c>
      <c r="E28" s="16" t="str">
        <f t="shared" si="23"/>
        <v>index</v>
      </c>
      <c r="I28" s="22"/>
      <c r="J28" s="22">
        <f t="shared" ref="J28:T28" si="25">IF(AND(J$24=J$4,ISNONTEXT($C28)),1/J18*(1+J$12)^0.5,0)</f>
        <v>1.1468593898873669</v>
      </c>
      <c r="K28" s="22">
        <f t="shared" si="25"/>
        <v>1.0923596349717211</v>
      </c>
      <c r="L28" s="22">
        <f t="shared" si="25"/>
        <v>1.0296939483554988</v>
      </c>
      <c r="M28" s="22">
        <f t="shared" si="25"/>
        <v>0.98152490381117763</v>
      </c>
      <c r="N28" s="22">
        <f t="shared" si="25"/>
        <v>0.95156993896877606</v>
      </c>
      <c r="O28" s="22">
        <f t="shared" si="25"/>
        <v>0.92565563324115441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22"/>
      <c r="V28" s="103"/>
      <c r="W28" s="103"/>
    </row>
    <row r="29" spans="3:23" ht="11.5" customHeight="1" outlineLevel="1">
      <c r="C29" s="115">
        <v>45444</v>
      </c>
      <c r="D29" s="101" t="str">
        <f t="shared" si="21"/>
        <v>calculated</v>
      </c>
      <c r="E29" s="16" t="str">
        <f t="shared" si="23"/>
        <v>index</v>
      </c>
      <c r="I29" s="22"/>
      <c r="J29" s="22">
        <f t="shared" ref="J29:T29" si="26">IF(AND(J$24=J$4,ISNONTEXT($C29)),1/J19*(1+J$12)^0.5,0)</f>
        <v>1.1904400467030867</v>
      </c>
      <c r="K29" s="22">
        <f t="shared" si="26"/>
        <v>1.1338693011006464</v>
      </c>
      <c r="L29" s="22">
        <f t="shared" si="26"/>
        <v>1.0688223183930077</v>
      </c>
      <c r="M29" s="22">
        <f t="shared" si="26"/>
        <v>1.0188228501560024</v>
      </c>
      <c r="N29" s="22">
        <f t="shared" si="26"/>
        <v>0.98772959664958959</v>
      </c>
      <c r="O29" s="22">
        <f t="shared" si="26"/>
        <v>0.96083054730431838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22"/>
      <c r="V29" s="103"/>
      <c r="W29" s="103"/>
    </row>
    <row r="30" spans="3:23" ht="11.5" customHeight="1" outlineLevel="1">
      <c r="C30" s="115">
        <v>45809</v>
      </c>
      <c r="D30" s="101" t="str">
        <f t="shared" si="21"/>
        <v>calculated</v>
      </c>
      <c r="E30" s="16" t="str">
        <f t="shared" si="23"/>
        <v>index</v>
      </c>
      <c r="I30" s="22"/>
      <c r="J30" s="22">
        <f t="shared" ref="J30:T30" si="27">IF(AND(J$24=J$4,ISNONTEXT($C30)),1/J20*(1+J$12)^0.5,0)</f>
        <v>1.220201047870664</v>
      </c>
      <c r="K30" s="22">
        <f t="shared" si="27"/>
        <v>1.1622160336281624</v>
      </c>
      <c r="L30" s="22">
        <f t="shared" si="27"/>
        <v>1.0955428763528328</v>
      </c>
      <c r="M30" s="22">
        <f t="shared" si="27"/>
        <v>1.0442934214099024</v>
      </c>
      <c r="N30" s="22">
        <f t="shared" si="27"/>
        <v>1.0124228365658292</v>
      </c>
      <c r="O30" s="22">
        <f t="shared" si="27"/>
        <v>0.98485131098692624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22"/>
      <c r="V30" s="103"/>
      <c r="W30" s="103"/>
    </row>
    <row r="31" spans="3:23" ht="11.5" customHeight="1" outlineLevel="1">
      <c r="C31" s="115">
        <v>46174</v>
      </c>
      <c r="D31" s="101" t="str">
        <f t="shared" si="21"/>
        <v>calculated</v>
      </c>
      <c r="E31" s="16" t="str">
        <f t="shared" si="23"/>
        <v>index</v>
      </c>
      <c r="I31" s="22"/>
      <c r="J31" s="22">
        <f t="shared" ref="J31:T32" si="28">IF(AND(J$24=J$4,ISNONTEXT($C31)),1/J21*(1+J$12)^0.5,0)</f>
        <v>1.2580272803546544</v>
      </c>
      <c r="K31" s="22">
        <f t="shared" si="28"/>
        <v>1.1982447306706354</v>
      </c>
      <c r="L31" s="22">
        <f t="shared" si="28"/>
        <v>1.1295047055197704</v>
      </c>
      <c r="M31" s="22">
        <f t="shared" si="28"/>
        <v>1.0766665174736092</v>
      </c>
      <c r="N31" s="22">
        <f t="shared" si="28"/>
        <v>1.0438079444993698</v>
      </c>
      <c r="O31" s="22">
        <f t="shared" si="28"/>
        <v>1.0153817016275208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22"/>
      <c r="V31" s="103"/>
      <c r="W31" s="103"/>
    </row>
    <row r="32" spans="3:23" ht="11.5" customHeight="1" outlineLevel="1">
      <c r="C32" s="115" t="str">
        <v/>
      </c>
      <c r="D32" s="101" t="str">
        <f t="shared" si="21"/>
        <v/>
      </c>
      <c r="E32" s="16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22"/>
      <c r="V32" s="103"/>
      <c r="W32" s="103"/>
    </row>
    <row r="33" spans="1:34">
      <c r="C33" s="15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34" customFormat="1" ht="13">
      <c r="A34" s="37"/>
      <c r="B34" s="43" t="s">
        <v>83</v>
      </c>
      <c r="C34" s="37"/>
      <c r="D34" s="37"/>
      <c r="E34" s="37"/>
      <c r="F34" s="38"/>
      <c r="G34" s="38"/>
      <c r="H34" s="38"/>
      <c r="I34" s="38"/>
      <c r="J34" s="38"/>
      <c r="K34" s="39"/>
      <c r="L34" s="40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1"/>
      <c r="Z34" s="41"/>
      <c r="AA34" s="41"/>
      <c r="AB34" s="41"/>
      <c r="AC34" s="41"/>
      <c r="AD34" s="41"/>
      <c r="AE34" s="41"/>
      <c r="AF34" s="41"/>
      <c r="AG34" s="42"/>
      <c r="AH34" s="42"/>
    </row>
    <row r="35" spans="1:34" ht="11.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5" customHeight="1" outlineLevel="1">
      <c r="C36" s="9" t="s">
        <v>84</v>
      </c>
      <c r="D36" s="21" t="s">
        <v>34</v>
      </c>
      <c r="E36" s="21" t="s">
        <v>51</v>
      </c>
      <c r="J36" s="118" t="str">
        <f t="shared" ref="J36:U36" si="29">IF(YEAR(J$4)&gt;=FPFirstYear,IF(YEAR(J$4)&lt;=FPLastYear,J$4,""),"")</f>
        <v/>
      </c>
      <c r="K36" s="118" t="str">
        <f t="shared" si="29"/>
        <v/>
      </c>
      <c r="L36" s="118" t="str">
        <f t="shared" si="29"/>
        <v/>
      </c>
      <c r="M36" s="118" t="str">
        <f t="shared" si="29"/>
        <v/>
      </c>
      <c r="N36" s="118" t="str">
        <f t="shared" si="29"/>
        <v/>
      </c>
      <c r="O36" s="118" t="str">
        <f t="shared" si="29"/>
        <v/>
      </c>
      <c r="P36" s="118">
        <f t="shared" si="29"/>
        <v>46539</v>
      </c>
      <c r="Q36" s="118">
        <f t="shared" si="29"/>
        <v>46905</v>
      </c>
      <c r="R36" s="118">
        <f t="shared" si="29"/>
        <v>47270</v>
      </c>
      <c r="S36" s="118">
        <f t="shared" si="29"/>
        <v>47635</v>
      </c>
      <c r="T36" s="118">
        <f t="shared" si="29"/>
        <v>48000</v>
      </c>
      <c r="U36" s="118" t="str">
        <f t="shared" si="29"/>
        <v/>
      </c>
    </row>
    <row r="37" spans="1:34" ht="11.5" customHeight="1" outlineLevel="1"/>
    <row r="38" spans="1:34" ht="11.5" customHeight="1" outlineLevel="1">
      <c r="C38" s="52" t="s">
        <v>210</v>
      </c>
      <c r="D38" s="16" t="s">
        <v>85</v>
      </c>
      <c r="E38" s="16" t="str">
        <f t="shared" ref="E38:E45" si="30">percent</f>
        <v>Per cent</v>
      </c>
      <c r="J38" s="148"/>
      <c r="K38" s="108"/>
      <c r="L38" s="108"/>
      <c r="M38" s="108"/>
      <c r="N38" s="108"/>
      <c r="O38" s="108"/>
      <c r="P38" s="121">
        <v>7.0000000000000001E-3</v>
      </c>
      <c r="Q38" s="121">
        <v>7.0000000000000001E-3</v>
      </c>
      <c r="R38" s="121">
        <v>8.0000000000000002E-3</v>
      </c>
      <c r="S38" s="121">
        <v>1.0999999999999999E-2</v>
      </c>
      <c r="T38" s="121">
        <v>8.3999999999999995E-3</v>
      </c>
      <c r="U38" s="163"/>
    </row>
    <row r="39" spans="1:34" ht="11.5" customHeight="1" outlineLevel="1">
      <c r="C39" s="52" t="s">
        <v>194</v>
      </c>
      <c r="D39" s="16" t="s">
        <v>85</v>
      </c>
      <c r="E39" s="16" t="str">
        <f t="shared" si="30"/>
        <v>Per cent</v>
      </c>
      <c r="J39" s="148"/>
      <c r="K39" s="108"/>
      <c r="L39" s="108"/>
      <c r="M39" s="108"/>
      <c r="N39" s="108"/>
      <c r="O39" s="108"/>
      <c r="P39" s="121">
        <v>1.1627048788004135E-2</v>
      </c>
      <c r="Q39" s="121">
        <v>9.7167112576105781E-3</v>
      </c>
      <c r="R39" s="121">
        <v>1.2509981063376197E-2</v>
      </c>
      <c r="S39" s="121">
        <v>1.3480376168036013E-2</v>
      </c>
      <c r="T39" s="121">
        <v>1.1964706087105283E-2</v>
      </c>
      <c r="U39" s="163"/>
    </row>
    <row r="40" spans="1:34" ht="11.5" customHeight="1" outlineLevel="1">
      <c r="C40" s="52" t="s">
        <v>86</v>
      </c>
      <c r="D40" s="16" t="s">
        <v>85</v>
      </c>
      <c r="E40" s="16" t="str">
        <f t="shared" si="30"/>
        <v>Per cent</v>
      </c>
      <c r="J40" s="148"/>
      <c r="K40" s="108"/>
      <c r="L40" s="108"/>
      <c r="M40" s="108"/>
      <c r="N40" s="108"/>
      <c r="O40" s="108"/>
      <c r="P40" s="121">
        <v>9.3135243940020672E-3</v>
      </c>
      <c r="Q40" s="121">
        <v>8.3583556288052887E-3</v>
      </c>
      <c r="R40" s="121">
        <v>1.0254990531688098E-2</v>
      </c>
      <c r="S40" s="121">
        <v>1.2240188084018007E-2</v>
      </c>
      <c r="T40" s="121">
        <v>1.0182353043552642E-2</v>
      </c>
      <c r="U40" s="163"/>
    </row>
    <row r="41" spans="1:34" ht="11.5" customHeight="1" outlineLevel="1">
      <c r="C41" s="159"/>
      <c r="D41" s="16" t="s">
        <v>85</v>
      </c>
      <c r="E41" s="16" t="str">
        <f t="shared" si="30"/>
        <v>Per cent</v>
      </c>
      <c r="J41" s="148"/>
      <c r="K41" s="108"/>
      <c r="L41" s="108"/>
      <c r="M41" s="108"/>
      <c r="N41" s="108"/>
      <c r="O41" s="108"/>
      <c r="P41" s="121"/>
      <c r="Q41" s="121"/>
      <c r="R41" s="121"/>
      <c r="S41" s="121"/>
      <c r="T41" s="121"/>
      <c r="U41" s="163"/>
      <c r="V41" s="104"/>
    </row>
    <row r="42" spans="1:34" ht="11.5" customHeight="1" outlineLevel="1">
      <c r="C42" s="52"/>
      <c r="D42" s="16" t="s">
        <v>85</v>
      </c>
      <c r="E42" s="16" t="str">
        <f t="shared" si="30"/>
        <v>Per cent</v>
      </c>
      <c r="J42" s="148"/>
      <c r="K42" s="108"/>
      <c r="L42" s="108"/>
      <c r="M42" s="108"/>
      <c r="N42" s="108"/>
      <c r="O42" s="108"/>
      <c r="P42" s="121"/>
      <c r="Q42" s="51"/>
      <c r="R42" s="51"/>
      <c r="S42" s="51"/>
      <c r="T42" s="121"/>
      <c r="U42" s="163"/>
    </row>
    <row r="43" spans="1:34" ht="11.5" customHeight="1" outlineLevel="1">
      <c r="C43" s="52"/>
      <c r="D43" s="16" t="s">
        <v>85</v>
      </c>
      <c r="E43" s="16" t="str">
        <f t="shared" si="30"/>
        <v>Per cent</v>
      </c>
      <c r="J43" s="148"/>
      <c r="K43" s="108"/>
      <c r="L43" s="108"/>
      <c r="M43" s="108"/>
      <c r="N43" s="108"/>
      <c r="O43" s="108"/>
      <c r="P43" s="108"/>
      <c r="Q43" s="51"/>
      <c r="R43" s="51"/>
      <c r="S43" s="51"/>
      <c r="T43" s="151"/>
      <c r="U43" s="163"/>
    </row>
    <row r="44" spans="1:34" ht="11.5" customHeight="1" outlineLevel="1">
      <c r="C44" s="52"/>
      <c r="D44" s="16" t="s">
        <v>85</v>
      </c>
      <c r="E44" s="16" t="str">
        <f t="shared" si="30"/>
        <v>Per cent</v>
      </c>
      <c r="J44" s="148"/>
      <c r="K44" s="108"/>
      <c r="L44" s="108"/>
      <c r="M44" s="108"/>
      <c r="N44" s="108"/>
      <c r="O44" s="108"/>
      <c r="P44" s="108"/>
      <c r="Q44" s="51"/>
      <c r="R44" s="51"/>
      <c r="S44" s="51"/>
      <c r="T44" s="151"/>
      <c r="U44" s="163"/>
    </row>
    <row r="45" spans="1:34" ht="11.5" customHeight="1" outlineLevel="1">
      <c r="C45" s="52" t="s">
        <v>87</v>
      </c>
      <c r="D45" s="16" t="s">
        <v>85</v>
      </c>
      <c r="E45" s="16" t="str">
        <f t="shared" si="30"/>
        <v>Per cent</v>
      </c>
      <c r="J45" s="148"/>
      <c r="K45" s="108"/>
      <c r="L45" s="108"/>
      <c r="M45" s="108"/>
      <c r="N45" s="108"/>
      <c r="O45" s="108"/>
      <c r="P45" s="51">
        <v>0</v>
      </c>
      <c r="Q45" s="51">
        <v>0</v>
      </c>
      <c r="R45" s="51">
        <v>0</v>
      </c>
      <c r="S45" s="51">
        <v>0</v>
      </c>
      <c r="T45" s="121">
        <v>0</v>
      </c>
      <c r="U45" s="163"/>
    </row>
    <row r="46" spans="1:34" ht="11.5" customHeight="1" outlineLevel="1"/>
    <row r="47" spans="1:34" ht="11.5" customHeight="1" outlineLevel="1">
      <c r="C47" s="8" t="s">
        <v>88</v>
      </c>
      <c r="D47" s="16" t="s">
        <v>80</v>
      </c>
      <c r="E47" s="16" t="s">
        <v>89</v>
      </c>
      <c r="F47" s="16" t="s">
        <v>90</v>
      </c>
      <c r="J47" s="91" t="str">
        <f t="shared" ref="J47:S47" si="31">IF(J36=J4,IF(COUNTA($C38:$C45)=COUNT(J38:J45),"Ok","Check"),"")</f>
        <v/>
      </c>
      <c r="K47" s="91" t="str">
        <f t="shared" si="31"/>
        <v/>
      </c>
      <c r="L47" s="91" t="str">
        <f t="shared" si="31"/>
        <v/>
      </c>
      <c r="M47" s="91" t="str">
        <f t="shared" si="31"/>
        <v/>
      </c>
      <c r="N47" s="91" t="str">
        <f t="shared" si="31"/>
        <v/>
      </c>
      <c r="O47" s="91" t="str">
        <f t="shared" si="31"/>
        <v/>
      </c>
      <c r="P47" s="91" t="str">
        <f t="shared" si="31"/>
        <v>Ok</v>
      </c>
      <c r="Q47" s="91" t="str">
        <f t="shared" si="31"/>
        <v>Ok</v>
      </c>
      <c r="R47" s="91" t="str">
        <f t="shared" si="31"/>
        <v>Ok</v>
      </c>
      <c r="S47" s="91" t="str">
        <f t="shared" si="31"/>
        <v>Ok</v>
      </c>
      <c r="T47" s="91" t="str">
        <f>IF(T36=T4,IF(COUNTA($C38:$C45)=COUNT(T38:T45),"Ok","Check"),"")</f>
        <v>Ok</v>
      </c>
      <c r="U47" s="91" t="str">
        <f>IF(U36=U4,IF(COUNTA($C38:$C45)=COUNT(U38:U45),"Ok","Check"),"")</f>
        <v/>
      </c>
      <c r="V47" s="24"/>
      <c r="X47" s="90" t="str">
        <f>IF(COUNTIF(J47:U47,"Check")=0,"Ok","Check")</f>
        <v>Ok</v>
      </c>
    </row>
    <row r="48" spans="1:34" ht="11.5" customHeight="1" outlineLevel="1"/>
    <row r="49" spans="1:34" ht="11.5" customHeight="1" outlineLevel="1">
      <c r="C49" s="9" t="s">
        <v>91</v>
      </c>
      <c r="D49" s="21" t="s">
        <v>34</v>
      </c>
      <c r="E49" s="21" t="s">
        <v>51</v>
      </c>
      <c r="J49" s="118" t="str">
        <f t="shared" ref="J49:U49" si="32">IF(YEAR(J$4)&gt;=FPFirstYear,IF(YEAR(J$4)&lt;=FPLastYear,J$4,""),"")</f>
        <v/>
      </c>
      <c r="K49" s="118" t="str">
        <f t="shared" si="32"/>
        <v/>
      </c>
      <c r="L49" s="118" t="str">
        <f t="shared" si="32"/>
        <v/>
      </c>
      <c r="M49" s="118" t="str">
        <f t="shared" si="32"/>
        <v/>
      </c>
      <c r="N49" s="118" t="str">
        <f t="shared" si="32"/>
        <v/>
      </c>
      <c r="O49" s="118" t="str">
        <f t="shared" si="32"/>
        <v/>
      </c>
      <c r="P49" s="118">
        <f t="shared" si="32"/>
        <v>46539</v>
      </c>
      <c r="Q49" s="118">
        <f t="shared" si="32"/>
        <v>46905</v>
      </c>
      <c r="R49" s="118">
        <f t="shared" si="32"/>
        <v>47270</v>
      </c>
      <c r="S49" s="118">
        <f t="shared" si="32"/>
        <v>47635</v>
      </c>
      <c r="T49" s="118">
        <f t="shared" si="32"/>
        <v>48000</v>
      </c>
      <c r="U49" s="118" t="str">
        <f t="shared" si="32"/>
        <v/>
      </c>
    </row>
    <row r="50" spans="1:34" ht="11.5" customHeight="1" outlineLevel="1"/>
    <row r="51" spans="1:34" ht="11.5" customHeight="1" outlineLevel="1">
      <c r="C51" s="105" t="str">
        <f t="shared" ref="C51:C58" si="33">C38</f>
        <v>WPI - Deloitte Aus</v>
      </c>
      <c r="D51" s="16" t="s">
        <v>85</v>
      </c>
      <c r="E51" s="16" t="str">
        <f t="shared" ref="E51:E58" si="34">percent</f>
        <v>Per cent</v>
      </c>
      <c r="J51" s="148"/>
      <c r="K51" s="108"/>
      <c r="L51" s="108"/>
      <c r="M51" s="108"/>
      <c r="N51" s="108"/>
      <c r="O51" s="108"/>
      <c r="P51" s="51"/>
      <c r="Q51" s="51"/>
      <c r="R51" s="51"/>
      <c r="S51" s="51"/>
      <c r="T51" s="51"/>
    </row>
    <row r="52" spans="1:34" ht="11.5" customHeight="1" outlineLevel="1">
      <c r="C52" s="105" t="str">
        <f t="shared" si="33"/>
        <v>WPI - Oxford Economics</v>
      </c>
      <c r="D52" s="16" t="s">
        <v>85</v>
      </c>
      <c r="E52" s="16" t="str">
        <f t="shared" si="34"/>
        <v>Per cent</v>
      </c>
      <c r="J52" s="148"/>
      <c r="K52" s="108"/>
      <c r="L52" s="108"/>
      <c r="M52" s="108"/>
      <c r="N52" s="108"/>
      <c r="O52" s="108"/>
      <c r="P52" s="108"/>
      <c r="Q52" s="51"/>
      <c r="R52" s="51"/>
      <c r="S52" s="51"/>
      <c r="T52" s="51"/>
    </row>
    <row r="53" spans="1:34" ht="11.5" customHeight="1" outlineLevel="1">
      <c r="C53" s="105" t="str">
        <f>C40</f>
        <v>WPI - Average</v>
      </c>
      <c r="D53" s="16" t="s">
        <v>85</v>
      </c>
      <c r="E53" s="16" t="str">
        <f t="shared" si="34"/>
        <v>Per cent</v>
      </c>
      <c r="J53" s="148"/>
      <c r="K53" s="108"/>
      <c r="L53" s="108"/>
      <c r="M53" s="108"/>
      <c r="N53" s="108"/>
      <c r="O53" s="108"/>
      <c r="P53" s="51">
        <v>0.59199999999999997</v>
      </c>
      <c r="Q53" s="51">
        <v>0.59199999999999997</v>
      </c>
      <c r="R53" s="51">
        <v>0.59199999999999997</v>
      </c>
      <c r="S53" s="51">
        <v>0.59199999999999997</v>
      </c>
      <c r="T53" s="51">
        <v>0.59199999999999997</v>
      </c>
    </row>
    <row r="54" spans="1:34" ht="11.5" customHeight="1" outlineLevel="1">
      <c r="C54" s="105">
        <f>C41</f>
        <v>0</v>
      </c>
      <c r="D54" s="16" t="s">
        <v>85</v>
      </c>
      <c r="E54" s="16" t="str">
        <f t="shared" si="34"/>
        <v>Per cent</v>
      </c>
      <c r="J54" s="148"/>
      <c r="K54" s="108"/>
      <c r="L54" s="108"/>
      <c r="M54" s="108"/>
      <c r="N54" s="108"/>
      <c r="O54" s="108"/>
      <c r="P54" s="51"/>
      <c r="Q54" s="51"/>
      <c r="R54" s="51"/>
      <c r="S54" s="51"/>
      <c r="T54" s="51"/>
      <c r="V54" s="104"/>
    </row>
    <row r="55" spans="1:34" ht="11.5" customHeight="1" outlineLevel="1">
      <c r="C55" s="105">
        <f t="shared" si="33"/>
        <v>0</v>
      </c>
      <c r="D55" s="16" t="s">
        <v>85</v>
      </c>
      <c r="E55" s="16" t="str">
        <f t="shared" si="34"/>
        <v>Per cent</v>
      </c>
      <c r="J55" s="148"/>
      <c r="K55" s="108"/>
      <c r="L55" s="108"/>
      <c r="M55" s="108"/>
      <c r="N55" s="108"/>
      <c r="O55" s="108"/>
      <c r="P55" s="51"/>
      <c r="Q55" s="51"/>
      <c r="R55" s="51"/>
      <c r="S55" s="51"/>
      <c r="T55" s="51"/>
    </row>
    <row r="56" spans="1:34" ht="11.5" customHeight="1" outlineLevel="1">
      <c r="C56" s="105">
        <f t="shared" si="33"/>
        <v>0</v>
      </c>
      <c r="D56" s="16" t="s">
        <v>85</v>
      </c>
      <c r="E56" s="16" t="str">
        <f t="shared" si="34"/>
        <v>Per cent</v>
      </c>
      <c r="J56" s="148"/>
      <c r="K56" s="108"/>
      <c r="L56" s="108"/>
      <c r="M56" s="108"/>
      <c r="N56" s="108"/>
      <c r="O56" s="108"/>
      <c r="P56" s="108"/>
      <c r="Q56" s="108"/>
      <c r="R56" s="108"/>
      <c r="S56" s="108"/>
      <c r="T56" s="108"/>
    </row>
    <row r="57" spans="1:34" ht="11.5" customHeight="1" outlineLevel="1">
      <c r="C57" s="105">
        <f t="shared" si="33"/>
        <v>0</v>
      </c>
      <c r="D57" s="16" t="s">
        <v>85</v>
      </c>
      <c r="E57" s="16" t="str">
        <f t="shared" si="34"/>
        <v>Per cent</v>
      </c>
      <c r="J57" s="148"/>
      <c r="K57" s="108"/>
      <c r="L57" s="108"/>
      <c r="M57" s="108"/>
      <c r="N57" s="108"/>
      <c r="O57" s="108"/>
      <c r="P57" s="108"/>
      <c r="Q57" s="108"/>
      <c r="R57" s="108"/>
      <c r="S57" s="108"/>
      <c r="T57" s="108"/>
    </row>
    <row r="58" spans="1:34" ht="11.5" customHeight="1" outlineLevel="1">
      <c r="C58" s="105" t="str">
        <f t="shared" si="33"/>
        <v>CPI</v>
      </c>
      <c r="D58" s="16" t="s">
        <v>85</v>
      </c>
      <c r="E58" s="16" t="str">
        <f t="shared" si="34"/>
        <v>Per cent</v>
      </c>
      <c r="J58" s="148"/>
      <c r="K58" s="108"/>
      <c r="L58" s="108"/>
      <c r="M58" s="108"/>
      <c r="N58" s="108"/>
      <c r="O58" s="108"/>
      <c r="P58" s="51">
        <v>0.40800000000000003</v>
      </c>
      <c r="Q58" s="51">
        <v>0.40800000000000003</v>
      </c>
      <c r="R58" s="51">
        <v>0.40800000000000003</v>
      </c>
      <c r="S58" s="51">
        <v>0.40800000000000003</v>
      </c>
      <c r="T58" s="51">
        <v>0.40800000000000003</v>
      </c>
    </row>
    <row r="59" spans="1:34" ht="11.5" customHeight="1" outlineLevel="1"/>
    <row r="60" spans="1:34" ht="10.5" outlineLevel="1">
      <c r="C60" s="8" t="s">
        <v>88</v>
      </c>
      <c r="D60" s="16" t="s">
        <v>80</v>
      </c>
      <c r="E60" s="16" t="s">
        <v>89</v>
      </c>
      <c r="F60" s="16" t="s">
        <v>90</v>
      </c>
      <c r="J60" s="91" t="str">
        <f t="shared" ref="J60:S60" si="35">IF(J49=J$4,IF(SUM(J51:J58)=1,"Ok","Check"),"")</f>
        <v/>
      </c>
      <c r="K60" s="91" t="str">
        <f t="shared" si="35"/>
        <v/>
      </c>
      <c r="L60" s="91" t="str">
        <f t="shared" si="35"/>
        <v/>
      </c>
      <c r="M60" s="91" t="str">
        <f t="shared" si="35"/>
        <v/>
      </c>
      <c r="N60" s="91" t="str">
        <f t="shared" si="35"/>
        <v/>
      </c>
      <c r="O60" s="91" t="str">
        <f t="shared" si="35"/>
        <v/>
      </c>
      <c r="P60" s="91" t="str">
        <f t="shared" si="35"/>
        <v>Ok</v>
      </c>
      <c r="Q60" s="91" t="str">
        <f t="shared" si="35"/>
        <v>Ok</v>
      </c>
      <c r="R60" s="91" t="str">
        <f t="shared" si="35"/>
        <v>Ok</v>
      </c>
      <c r="S60" s="91" t="str">
        <f t="shared" si="35"/>
        <v>Ok</v>
      </c>
      <c r="T60" s="91" t="str">
        <f>IF(T49=T$4,IF(SUM(T51:T58)=1,"Ok","Check"),"")</f>
        <v>Ok</v>
      </c>
      <c r="V60" s="24"/>
      <c r="X60" s="90" t="str">
        <f>IF(COUNTIF(J60:U60,"Check")=0,"Ok","Check")</f>
        <v>Ok</v>
      </c>
    </row>
    <row r="61" spans="1:34"/>
    <row r="62" spans="1:34" customFormat="1" ht="13">
      <c r="A62" s="37"/>
      <c r="B62" s="43" t="s">
        <v>92</v>
      </c>
      <c r="C62" s="37"/>
      <c r="D62" s="37"/>
      <c r="E62" s="37"/>
      <c r="F62" s="38"/>
      <c r="G62" s="38"/>
      <c r="H62" s="38"/>
      <c r="I62" s="38"/>
      <c r="J62" s="38"/>
      <c r="K62" s="39"/>
      <c r="L62" s="40"/>
      <c r="M62" s="39"/>
      <c r="N62" s="40"/>
      <c r="O62" s="39"/>
      <c r="P62" s="39"/>
      <c r="Q62" s="39"/>
      <c r="R62" s="39"/>
      <c r="S62" s="39"/>
      <c r="T62" s="39"/>
      <c r="U62" s="39"/>
      <c r="V62" s="39"/>
      <c r="W62" s="39"/>
      <c r="X62" s="40"/>
      <c r="Y62" s="41"/>
      <c r="Z62" s="41"/>
      <c r="AA62" s="41"/>
      <c r="AB62" s="41"/>
      <c r="AC62" s="41"/>
      <c r="AD62" s="41"/>
      <c r="AE62" s="41"/>
      <c r="AF62" s="41"/>
      <c r="AG62" s="42"/>
      <c r="AH62" s="42"/>
    </row>
    <row r="63" spans="1:34" outlineLevel="1">
      <c r="G63" s="21"/>
      <c r="H63" s="21"/>
    </row>
    <row r="64" spans="1:34" ht="10.5" outlineLevel="1">
      <c r="C64" s="9" t="s">
        <v>93</v>
      </c>
      <c r="D64" s="21" t="s">
        <v>34</v>
      </c>
      <c r="E64" s="21" t="s">
        <v>51</v>
      </c>
      <c r="F64" s="21" t="s">
        <v>54</v>
      </c>
      <c r="G64" s="21"/>
      <c r="H64" s="21"/>
      <c r="J64" s="118" t="str">
        <f t="shared" ref="J64:U64" si="36">IF(YEAR(J$4)&gt;=PPLastYear,IF(YEAR(J$4)&lt;=FPLastYear,J$4,""),"")</f>
        <v/>
      </c>
      <c r="K64" s="118" t="str">
        <f t="shared" si="36"/>
        <v/>
      </c>
      <c r="L64" s="118" t="str">
        <f t="shared" si="36"/>
        <v/>
      </c>
      <c r="M64" s="118" t="str">
        <f t="shared" si="36"/>
        <v/>
      </c>
      <c r="N64" s="118" t="str">
        <f t="shared" si="36"/>
        <v/>
      </c>
      <c r="O64" s="118">
        <f t="shared" si="36"/>
        <v>46174</v>
      </c>
      <c r="P64" s="118">
        <f t="shared" si="36"/>
        <v>46539</v>
      </c>
      <c r="Q64" s="118">
        <f t="shared" si="36"/>
        <v>46905</v>
      </c>
      <c r="R64" s="118">
        <f t="shared" si="36"/>
        <v>47270</v>
      </c>
      <c r="S64" s="118">
        <f t="shared" si="36"/>
        <v>47635</v>
      </c>
      <c r="T64" s="118">
        <f t="shared" si="36"/>
        <v>48000</v>
      </c>
      <c r="U64" s="118" t="str">
        <f t="shared" si="36"/>
        <v/>
      </c>
    </row>
    <row r="65" spans="3:24" ht="10.5" outlineLevel="1">
      <c r="C65" s="15"/>
      <c r="G65" s="21"/>
      <c r="H65" s="21"/>
      <c r="K65" s="23"/>
      <c r="L65" s="23"/>
      <c r="M65" s="23"/>
      <c r="N65" s="23"/>
      <c r="O65" s="23"/>
    </row>
    <row r="66" spans="3:24" outlineLevel="1">
      <c r="C66" s="52" t="s">
        <v>94</v>
      </c>
      <c r="D66" s="16" t="s">
        <v>85</v>
      </c>
      <c r="E66" s="16" t="s">
        <v>95</v>
      </c>
      <c r="F66" s="16" t="s">
        <v>90</v>
      </c>
      <c r="G66" s="21"/>
      <c r="H66" s="21"/>
      <c r="J66" s="148"/>
      <c r="K66" s="142"/>
      <c r="L66" s="142"/>
      <c r="M66" s="142"/>
      <c r="N66" s="142"/>
      <c r="O66" s="143">
        <v>853251.41771013418</v>
      </c>
      <c r="P66" s="143">
        <v>868367.3628403577</v>
      </c>
      <c r="Q66" s="143">
        <v>883563.35940435715</v>
      </c>
      <c r="R66" s="143">
        <v>898843.42110557656</v>
      </c>
      <c r="S66" s="143">
        <v>914240.23833687708</v>
      </c>
      <c r="T66" s="143">
        <v>929728.43615679897</v>
      </c>
      <c r="X66" s="164"/>
    </row>
    <row r="67" spans="3:24" outlineLevel="1">
      <c r="C67" s="52" t="s">
        <v>96</v>
      </c>
      <c r="D67" s="16" t="s">
        <v>85</v>
      </c>
      <c r="E67" s="16" t="s">
        <v>95</v>
      </c>
      <c r="F67" s="16" t="s">
        <v>90</v>
      </c>
      <c r="G67" s="21"/>
      <c r="H67" s="21"/>
      <c r="J67" s="148"/>
      <c r="K67" s="142"/>
      <c r="L67" s="142"/>
      <c r="M67" s="142"/>
      <c r="N67" s="142"/>
      <c r="O67" s="143">
        <v>47228.678763455951</v>
      </c>
      <c r="P67" s="143">
        <v>47506.116692032381</v>
      </c>
      <c r="Q67" s="143">
        <v>47814.231158983624</v>
      </c>
      <c r="R67" s="143">
        <v>48127.569696874831</v>
      </c>
      <c r="S67" s="143">
        <v>48444.531794563729</v>
      </c>
      <c r="T67" s="143">
        <v>48753.222853125626</v>
      </c>
      <c r="X67" s="164"/>
    </row>
    <row r="68" spans="3:24" outlineLevel="1">
      <c r="C68" s="52" t="s">
        <v>97</v>
      </c>
      <c r="D68" s="16" t="s">
        <v>85</v>
      </c>
      <c r="E68" s="16" t="s">
        <v>95</v>
      </c>
      <c r="F68" s="16" t="s">
        <v>90</v>
      </c>
      <c r="G68" s="21"/>
      <c r="H68" s="21"/>
      <c r="J68" s="148"/>
      <c r="K68" s="142"/>
      <c r="L68" s="142"/>
      <c r="M68" s="142"/>
      <c r="N68" s="142"/>
      <c r="O68" s="143">
        <v>2114.9357600000003</v>
      </c>
      <c r="P68" s="143">
        <v>2114.9357600000003</v>
      </c>
      <c r="Q68" s="143">
        <v>2127.3356560000002</v>
      </c>
      <c r="R68" s="143">
        <v>2177.3345220000006</v>
      </c>
      <c r="S68" s="143">
        <v>2229.3232969999999</v>
      </c>
      <c r="T68" s="143">
        <v>2282.1835289999995</v>
      </c>
      <c r="X68" s="164"/>
    </row>
    <row r="69" spans="3:24" outlineLevel="1">
      <c r="C69" s="52"/>
      <c r="D69" s="16" t="s">
        <v>85</v>
      </c>
      <c r="E69" s="16" t="s">
        <v>95</v>
      </c>
      <c r="F69" s="16" t="s">
        <v>90</v>
      </c>
      <c r="G69" s="21"/>
      <c r="H69" s="21"/>
      <c r="J69" s="148"/>
      <c r="K69" s="142"/>
      <c r="L69" s="142"/>
      <c r="M69" s="142"/>
      <c r="N69" s="142"/>
      <c r="O69" s="143"/>
      <c r="P69" s="143"/>
      <c r="Q69" s="143"/>
      <c r="R69" s="143"/>
      <c r="S69" s="143"/>
      <c r="T69" s="143"/>
      <c r="X69" s="164"/>
    </row>
    <row r="70" spans="3:24" outlineLevel="1">
      <c r="C70" s="52"/>
      <c r="D70" s="16" t="s">
        <v>85</v>
      </c>
      <c r="E70" s="16" t="s">
        <v>95</v>
      </c>
      <c r="F70" s="16" t="s">
        <v>90</v>
      </c>
      <c r="G70" s="21"/>
      <c r="H70" s="21"/>
      <c r="J70" s="148"/>
      <c r="K70" s="142"/>
      <c r="L70" s="142"/>
      <c r="M70" s="142"/>
      <c r="N70" s="142"/>
      <c r="O70" s="143"/>
      <c r="P70" s="143"/>
      <c r="Q70" s="143"/>
      <c r="R70" s="143"/>
      <c r="S70" s="143"/>
      <c r="T70" s="143"/>
    </row>
    <row r="71" spans="3:24" outlineLevel="1">
      <c r="C71" s="52"/>
      <c r="D71" s="16" t="s">
        <v>85</v>
      </c>
      <c r="E71" s="16" t="s">
        <v>95</v>
      </c>
      <c r="F71" s="16" t="s">
        <v>90</v>
      </c>
      <c r="G71" s="21"/>
      <c r="H71" s="21"/>
      <c r="J71" s="148"/>
      <c r="K71" s="142"/>
      <c r="L71" s="142"/>
      <c r="M71" s="142"/>
      <c r="N71" s="142"/>
      <c r="O71" s="143"/>
      <c r="P71" s="143"/>
      <c r="Q71" s="143"/>
      <c r="R71" s="143"/>
      <c r="S71" s="143"/>
      <c r="T71" s="143"/>
      <c r="U71" s="143"/>
    </row>
    <row r="72" spans="3:24" ht="10.5" outlineLevel="1">
      <c r="C72" s="15"/>
      <c r="G72" s="21"/>
      <c r="H72" s="21"/>
      <c r="K72" s="23"/>
      <c r="L72" s="23"/>
      <c r="M72" s="23"/>
      <c r="N72" s="23"/>
      <c r="O72" s="23"/>
    </row>
    <row r="73" spans="3:24" ht="10.5" outlineLevel="1">
      <c r="C73" s="8" t="s">
        <v>88</v>
      </c>
      <c r="D73" s="16" t="s">
        <v>80</v>
      </c>
      <c r="E73" s="16" t="s">
        <v>89</v>
      </c>
      <c r="F73" s="16" t="s">
        <v>90</v>
      </c>
      <c r="J73" s="91" t="str">
        <f t="shared" ref="J73:S73" si="37">IF(J64=J$4,IF(COUNTA($C66:$C71)=COUNT(J66:J71),"Ok","Check"),"")</f>
        <v/>
      </c>
      <c r="K73" s="91" t="str">
        <f t="shared" si="37"/>
        <v/>
      </c>
      <c r="L73" s="91" t="str">
        <f t="shared" si="37"/>
        <v/>
      </c>
      <c r="M73" s="91" t="str">
        <f t="shared" si="37"/>
        <v/>
      </c>
      <c r="N73" s="91" t="str">
        <f t="shared" si="37"/>
        <v/>
      </c>
      <c r="O73" s="91" t="str">
        <f t="shared" si="37"/>
        <v>Ok</v>
      </c>
      <c r="P73" s="91" t="str">
        <f t="shared" si="37"/>
        <v>Ok</v>
      </c>
      <c r="Q73" s="91" t="str">
        <f t="shared" si="37"/>
        <v>Ok</v>
      </c>
      <c r="R73" s="91" t="str">
        <f t="shared" si="37"/>
        <v>Ok</v>
      </c>
      <c r="S73" s="91" t="str">
        <f t="shared" si="37"/>
        <v>Ok</v>
      </c>
      <c r="T73" s="91" t="str">
        <f>IF(T64=T$4,IF(COUNTA($C66:$C71)=COUNT(T66:T71),"Ok","Check"),"")</f>
        <v>Ok</v>
      </c>
      <c r="U73" s="91" t="str">
        <f>IF(U64=U$4,IF(COUNTA($C66:$C71)=COUNT(U66:U71),"Ok","Check"),"")</f>
        <v/>
      </c>
      <c r="V73" s="24"/>
      <c r="X73" s="90" t="str">
        <f>IF(COUNTIF(J73:U73,"Check")=0,"Ok","Check")</f>
        <v>Ok</v>
      </c>
    </row>
    <row r="74" spans="3:24" ht="10.5" outlineLevel="1">
      <c r="C74" s="15"/>
      <c r="G74" s="21"/>
      <c r="H74" s="21"/>
      <c r="K74" s="23"/>
      <c r="L74" s="23"/>
      <c r="M74" s="23"/>
      <c r="N74" s="23"/>
      <c r="O74" s="23"/>
    </row>
    <row r="75" spans="3:24" ht="10.5" outlineLevel="1">
      <c r="C75" s="9" t="s">
        <v>98</v>
      </c>
      <c r="D75" s="21" t="s">
        <v>34</v>
      </c>
      <c r="E75" s="21" t="s">
        <v>51</v>
      </c>
      <c r="F75" s="21" t="s">
        <v>54</v>
      </c>
      <c r="G75" s="21"/>
      <c r="H75" s="21"/>
      <c r="J75" s="118" t="str">
        <f t="shared" ref="J75:U75" si="38">IF(YEAR(J$4)&gt;=FPFirstYear,IF(YEAR(J$4)&lt;=FPLastYear,J$4,""),"")</f>
        <v/>
      </c>
      <c r="K75" s="118" t="str">
        <f t="shared" si="38"/>
        <v/>
      </c>
      <c r="L75" s="118" t="str">
        <f t="shared" si="38"/>
        <v/>
      </c>
      <c r="M75" s="118" t="str">
        <f t="shared" si="38"/>
        <v/>
      </c>
      <c r="N75" s="118" t="str">
        <f t="shared" si="38"/>
        <v/>
      </c>
      <c r="O75" s="118" t="str">
        <f t="shared" si="38"/>
        <v/>
      </c>
      <c r="P75" s="118">
        <f t="shared" si="38"/>
        <v>46539</v>
      </c>
      <c r="Q75" s="118">
        <f t="shared" si="38"/>
        <v>46905</v>
      </c>
      <c r="R75" s="118">
        <f t="shared" si="38"/>
        <v>47270</v>
      </c>
      <c r="S75" s="118">
        <f t="shared" si="38"/>
        <v>47635</v>
      </c>
      <c r="T75" s="118">
        <f t="shared" si="38"/>
        <v>48000</v>
      </c>
      <c r="U75" s="118" t="str">
        <f t="shared" si="38"/>
        <v/>
      </c>
      <c r="V75" s="8" t="str">
        <f>IF(RIGHT(V$4,2)&gt;=RIGHT('Input|General'!$G$13,2),IF(RIGHT(V$4,2)&lt;='Input|General'!$G$14,'Input|Reported opex'!U$4,""),"")</f>
        <v/>
      </c>
    </row>
    <row r="76" spans="3:24" ht="10.5" outlineLevel="1">
      <c r="C76" s="15"/>
      <c r="G76" s="21"/>
      <c r="H76" s="21"/>
      <c r="K76" s="23"/>
      <c r="L76" s="23"/>
      <c r="M76" s="23"/>
      <c r="N76" s="23"/>
      <c r="O76" s="23"/>
    </row>
    <row r="77" spans="3:24" outlineLevel="1">
      <c r="C77" s="105" t="str">
        <f>C66</f>
        <v>Customer numbers (#)</v>
      </c>
      <c r="D77" s="16" t="s">
        <v>80</v>
      </c>
      <c r="E77" s="16" t="s">
        <v>95</v>
      </c>
      <c r="F77" s="16" t="s">
        <v>90</v>
      </c>
      <c r="G77" s="21"/>
      <c r="H77" s="21"/>
      <c r="J77" s="79" t="str">
        <f t="shared" ref="J77:M77" si="39">IF(ISBLANK(I66),"",IF(ISBLANK(J66),"",LN(J66)-LN(I66)))</f>
        <v/>
      </c>
      <c r="K77" s="79" t="str">
        <f t="shared" si="39"/>
        <v/>
      </c>
      <c r="L77" s="79" t="str">
        <f t="shared" si="39"/>
        <v/>
      </c>
      <c r="M77" s="79" t="str">
        <f t="shared" si="39"/>
        <v/>
      </c>
      <c r="N77" s="79" t="str">
        <f>IF(ISBLANK(M66),"",IF(ISBLANK(N66),"",LN(N66)-LN(M66)))</f>
        <v/>
      </c>
      <c r="O77" s="79" t="str">
        <f t="shared" ref="O77:T77" si="40">IF(ISBLANK(N66),"",IF(ISBLANK(O66),"",LN(O66)-LN(N66)))</f>
        <v/>
      </c>
      <c r="P77" s="79">
        <f t="shared" si="40"/>
        <v>1.7560604876178942E-2</v>
      </c>
      <c r="Q77" s="79">
        <f t="shared" si="40"/>
        <v>1.734814908209259E-2</v>
      </c>
      <c r="R77" s="79">
        <f t="shared" si="40"/>
        <v>1.7145845945560012E-2</v>
      </c>
      <c r="S77" s="79">
        <f t="shared" si="40"/>
        <v>1.6984530505776974E-2</v>
      </c>
      <c r="T77" s="79">
        <f t="shared" si="40"/>
        <v>1.6799159636951444E-2</v>
      </c>
      <c r="U77" s="79"/>
    </row>
    <row r="78" spans="3:24" outlineLevel="1">
      <c r="C78" s="105" t="str">
        <f t="shared" ref="C78:C82" si="41">C67</f>
        <v>Circuit Length (km)</v>
      </c>
      <c r="D78" s="16" t="s">
        <v>80</v>
      </c>
      <c r="E78" s="16" t="s">
        <v>95</v>
      </c>
      <c r="F78" s="16" t="s">
        <v>90</v>
      </c>
      <c r="G78" s="21"/>
      <c r="H78" s="21"/>
      <c r="J78" s="79" t="str">
        <f t="shared" ref="J78:T78" si="42">IF(ISBLANK(I67),"",IF(ISBLANK(J67),"",LN(J67)-LN(I67)))</f>
        <v/>
      </c>
      <c r="K78" s="79" t="str">
        <f t="shared" si="42"/>
        <v/>
      </c>
      <c r="L78" s="79" t="str">
        <f t="shared" si="42"/>
        <v/>
      </c>
      <c r="M78" s="79" t="str">
        <f t="shared" si="42"/>
        <v/>
      </c>
      <c r="N78" s="79" t="str">
        <f t="shared" si="42"/>
        <v/>
      </c>
      <c r="O78" s="79" t="str">
        <f t="shared" si="42"/>
        <v/>
      </c>
      <c r="P78" s="79">
        <f>IF(ISBLANK(O67),"",IF(ISBLANK(P67),"",LN(P67)-LN(O67)))</f>
        <v>5.857166216488352E-3</v>
      </c>
      <c r="Q78" s="79">
        <f t="shared" si="42"/>
        <v>6.4648429640303817E-3</v>
      </c>
      <c r="R78" s="79">
        <f t="shared" si="42"/>
        <v>6.5318693031102271E-3</v>
      </c>
      <c r="S78" s="79">
        <f t="shared" si="42"/>
        <v>6.5642816288686845E-3</v>
      </c>
      <c r="T78" s="79">
        <f t="shared" si="42"/>
        <v>6.3518359564209703E-3</v>
      </c>
      <c r="U78" s="79"/>
    </row>
    <row r="79" spans="3:24" outlineLevel="1">
      <c r="C79" s="105" t="str">
        <f t="shared" si="41"/>
        <v>Ratcheted Maximum Demand (MW)</v>
      </c>
      <c r="D79" s="16" t="s">
        <v>80</v>
      </c>
      <c r="E79" s="16" t="s">
        <v>95</v>
      </c>
      <c r="F79" s="16" t="s">
        <v>90</v>
      </c>
      <c r="G79" s="21"/>
      <c r="H79" s="21"/>
      <c r="J79" s="79" t="str">
        <f t="shared" ref="J79:T79" si="43">IF(ISBLANK(I68),"",IF(ISBLANK(J68),"",LN(J68)-LN(I68)))</f>
        <v/>
      </c>
      <c r="K79" s="79" t="str">
        <f t="shared" si="43"/>
        <v/>
      </c>
      <c r="L79" s="79" t="str">
        <f t="shared" si="43"/>
        <v/>
      </c>
      <c r="M79" s="79" t="str">
        <f t="shared" si="43"/>
        <v/>
      </c>
      <c r="N79" s="79" t="str">
        <f t="shared" si="43"/>
        <v/>
      </c>
      <c r="O79" s="79" t="str">
        <f t="shared" si="43"/>
        <v/>
      </c>
      <c r="P79" s="79">
        <f t="shared" si="43"/>
        <v>0</v>
      </c>
      <c r="Q79" s="79">
        <f t="shared" si="43"/>
        <v>5.8458924935944623E-3</v>
      </c>
      <c r="R79" s="79">
        <f t="shared" si="43"/>
        <v>2.3231101359608708E-2</v>
      </c>
      <c r="S79" s="79">
        <f t="shared" si="43"/>
        <v>2.3596652792676309E-2</v>
      </c>
      <c r="T79" s="79">
        <f t="shared" si="43"/>
        <v>2.343458767313944E-2</v>
      </c>
      <c r="U79" s="79"/>
    </row>
    <row r="80" spans="3:24" outlineLevel="1">
      <c r="C80" s="105">
        <f t="shared" si="41"/>
        <v>0</v>
      </c>
      <c r="D80" s="16" t="s">
        <v>80</v>
      </c>
      <c r="E80" s="16" t="s">
        <v>95</v>
      </c>
      <c r="F80" s="16" t="s">
        <v>90</v>
      </c>
      <c r="G80" s="21"/>
      <c r="H80" s="21"/>
      <c r="J80" s="79" t="str">
        <f t="shared" ref="J80:T80" si="44">IF(ISBLANK(I69),"",IF(ISBLANK(J69),"",LN(J69)-LN(I69)))</f>
        <v/>
      </c>
      <c r="K80" s="79" t="str">
        <f t="shared" si="44"/>
        <v/>
      </c>
      <c r="L80" s="79" t="str">
        <f t="shared" si="44"/>
        <v/>
      </c>
      <c r="M80" s="79" t="str">
        <f t="shared" si="44"/>
        <v/>
      </c>
      <c r="N80" s="79" t="str">
        <f t="shared" si="44"/>
        <v/>
      </c>
      <c r="O80" s="79" t="str">
        <f t="shared" si="44"/>
        <v/>
      </c>
      <c r="P80" s="79" t="str">
        <f>IF(ISBLANK(O69),"",IF(ISBLANK(P69),"",LN(P69)-LN(O69)))</f>
        <v/>
      </c>
      <c r="Q80" s="79" t="str">
        <f t="shared" si="44"/>
        <v/>
      </c>
      <c r="R80" s="79" t="str">
        <f t="shared" si="44"/>
        <v/>
      </c>
      <c r="S80" s="79" t="str">
        <f t="shared" si="44"/>
        <v/>
      </c>
      <c r="T80" s="79" t="str">
        <f t="shared" si="44"/>
        <v/>
      </c>
      <c r="U80" s="79" t="str">
        <f>IF(ISBLANK(T69),"",IF(ISBLANK(U70),"",LN(U70)-LN(T69)))</f>
        <v/>
      </c>
    </row>
    <row r="81" spans="3:24" outlineLevel="1">
      <c r="C81" s="105">
        <f t="shared" si="41"/>
        <v>0</v>
      </c>
      <c r="D81" s="16" t="s">
        <v>80</v>
      </c>
      <c r="E81" s="16" t="s">
        <v>95</v>
      </c>
      <c r="F81" s="16" t="s">
        <v>90</v>
      </c>
      <c r="G81" s="21"/>
      <c r="H81" s="21"/>
      <c r="J81" s="79" t="str">
        <f t="shared" ref="J81:T81" si="45">IF(ISBLANK(I70),"",IF(ISBLANK(J70),"",LN(J70)-LN(I70)))</f>
        <v/>
      </c>
      <c r="K81" s="79" t="str">
        <f t="shared" si="45"/>
        <v/>
      </c>
      <c r="L81" s="79" t="str">
        <f t="shared" si="45"/>
        <v/>
      </c>
      <c r="M81" s="79" t="str">
        <f t="shared" si="45"/>
        <v/>
      </c>
      <c r="N81" s="79" t="str">
        <f t="shared" si="45"/>
        <v/>
      </c>
      <c r="O81" s="79" t="str">
        <f t="shared" si="45"/>
        <v/>
      </c>
      <c r="P81" s="79" t="str">
        <f t="shared" si="45"/>
        <v/>
      </c>
      <c r="Q81" s="79" t="str">
        <f t="shared" si="45"/>
        <v/>
      </c>
      <c r="R81" s="79" t="str">
        <f t="shared" si="45"/>
        <v/>
      </c>
      <c r="S81" s="79" t="str">
        <f t="shared" si="45"/>
        <v/>
      </c>
      <c r="T81" s="79" t="str">
        <f t="shared" si="45"/>
        <v/>
      </c>
      <c r="U81" s="79"/>
    </row>
    <row r="82" spans="3:24" outlineLevel="1">
      <c r="C82" s="105">
        <f t="shared" si="41"/>
        <v>0</v>
      </c>
      <c r="D82" s="16" t="s">
        <v>80</v>
      </c>
      <c r="E82" s="16" t="s">
        <v>95</v>
      </c>
      <c r="F82" s="16" t="s">
        <v>90</v>
      </c>
      <c r="G82" s="21"/>
      <c r="H82" s="21"/>
      <c r="J82" s="79" t="str">
        <f t="shared" ref="J82:T82" si="46">IF(ISBLANK(I71),"",IF(ISBLANK(J71),"",LN(J71)-LN(I71)))</f>
        <v/>
      </c>
      <c r="K82" s="79" t="str">
        <f t="shared" si="46"/>
        <v/>
      </c>
      <c r="L82" s="79" t="str">
        <f t="shared" si="46"/>
        <v/>
      </c>
      <c r="M82" s="79" t="str">
        <f t="shared" si="46"/>
        <v/>
      </c>
      <c r="N82" s="79" t="str">
        <f t="shared" si="46"/>
        <v/>
      </c>
      <c r="O82" s="79" t="str">
        <f t="shared" si="46"/>
        <v/>
      </c>
      <c r="P82" s="79" t="str">
        <f t="shared" si="46"/>
        <v/>
      </c>
      <c r="Q82" s="79" t="str">
        <f t="shared" si="46"/>
        <v/>
      </c>
      <c r="R82" s="79" t="str">
        <f t="shared" si="46"/>
        <v/>
      </c>
      <c r="S82" s="79" t="str">
        <f t="shared" si="46"/>
        <v/>
      </c>
      <c r="T82" s="79" t="str">
        <f t="shared" si="46"/>
        <v/>
      </c>
      <c r="U82" s="79"/>
    </row>
    <row r="83" spans="3:24" ht="10.5" outlineLevel="1">
      <c r="C83" s="15"/>
      <c r="G83" s="21"/>
      <c r="H83" s="21"/>
      <c r="K83" s="23"/>
      <c r="L83" s="23"/>
      <c r="M83" s="23"/>
      <c r="N83"/>
      <c r="O83" s="23"/>
    </row>
    <row r="84" spans="3:24" ht="10.5" outlineLevel="1">
      <c r="C84" s="9" t="s">
        <v>99</v>
      </c>
      <c r="D84" s="21" t="s">
        <v>34</v>
      </c>
      <c r="E84" s="21" t="s">
        <v>51</v>
      </c>
      <c r="F84" s="21" t="s">
        <v>54</v>
      </c>
      <c r="G84" s="21"/>
      <c r="H84" s="21"/>
      <c r="J84" s="160" t="s">
        <v>100</v>
      </c>
      <c r="K84" s="160" t="s">
        <v>101</v>
      </c>
      <c r="L84" s="160" t="s">
        <v>102</v>
      </c>
      <c r="M84" s="160" t="s">
        <v>103</v>
      </c>
      <c r="N84"/>
      <c r="O84" s="118"/>
      <c r="P84" s="169"/>
      <c r="Q84" s="118"/>
      <c r="R84" s="118"/>
      <c r="S84" s="118"/>
      <c r="T84" s="118"/>
      <c r="U84" s="118"/>
    </row>
    <row r="85" spans="3:24" ht="10.5" outlineLevel="1">
      <c r="C85" s="15"/>
      <c r="G85" s="21"/>
      <c r="H85" s="21"/>
      <c r="K85" s="23"/>
      <c r="L85" s="23"/>
      <c r="M85" s="23"/>
      <c r="N85"/>
      <c r="O85" s="71"/>
      <c r="P85" s="71"/>
      <c r="Q85" s="71"/>
      <c r="R85" s="71"/>
      <c r="S85" s="71"/>
      <c r="T85" s="71"/>
      <c r="U85" s="71"/>
    </row>
    <row r="86" spans="3:24" outlineLevel="1">
      <c r="C86" s="105" t="str">
        <f>C66</f>
        <v>Customer numbers (#)</v>
      </c>
      <c r="D86" s="16" t="s">
        <v>85</v>
      </c>
      <c r="E86" s="16" t="s">
        <v>95</v>
      </c>
      <c r="F86" s="16" t="s">
        <v>90</v>
      </c>
      <c r="G86" s="21"/>
      <c r="H86" s="21"/>
      <c r="J86" s="51">
        <v>0.38923395445134579</v>
      </c>
      <c r="K86" s="51">
        <v>0.57656731757451185</v>
      </c>
      <c r="L86" s="51">
        <v>0.42154811715481172</v>
      </c>
      <c r="M86" s="51">
        <v>0.43169398907103823</v>
      </c>
      <c r="N86"/>
      <c r="O86" s="184"/>
      <c r="P86" s="140"/>
      <c r="Q86" s="140"/>
      <c r="R86" s="140"/>
      <c r="S86" s="140"/>
      <c r="T86" s="140"/>
      <c r="U86" s="140"/>
    </row>
    <row r="87" spans="3:24" outlineLevel="1">
      <c r="C87" s="105" t="str">
        <f t="shared" ref="C87:C91" si="47">C67</f>
        <v>Circuit Length (km)</v>
      </c>
      <c r="D87" s="16" t="s">
        <v>85</v>
      </c>
      <c r="E87" s="16" t="s">
        <v>95</v>
      </c>
      <c r="F87" s="16" t="s">
        <v>90</v>
      </c>
      <c r="G87" s="21"/>
      <c r="H87" s="21"/>
      <c r="J87" s="51">
        <v>0.12732919254658384</v>
      </c>
      <c r="K87" s="51">
        <v>0.17677286742034939</v>
      </c>
      <c r="L87" s="51">
        <v>0.1914225941422594</v>
      </c>
      <c r="M87" s="51">
        <v>9.94535519125683E-2</v>
      </c>
      <c r="N87"/>
      <c r="O87" s="184"/>
      <c r="P87" s="140"/>
      <c r="Q87" s="140"/>
      <c r="R87" s="140"/>
      <c r="S87" s="140"/>
      <c r="T87" s="140"/>
      <c r="U87" s="140"/>
    </row>
    <row r="88" spans="3:24" outlineLevel="1">
      <c r="C88" s="105" t="str">
        <f t="shared" si="47"/>
        <v>Ratcheted Maximum Demand (MW)</v>
      </c>
      <c r="D88" s="16" t="s">
        <v>85</v>
      </c>
      <c r="E88" s="16" t="s">
        <v>95</v>
      </c>
      <c r="F88" s="16" t="s">
        <v>90</v>
      </c>
      <c r="G88" s="21"/>
      <c r="H88" s="21"/>
      <c r="J88" s="51">
        <v>0.48343685300207045</v>
      </c>
      <c r="K88" s="51">
        <v>0.24665981500513873</v>
      </c>
      <c r="L88" s="51">
        <v>0.38702928870292885</v>
      </c>
      <c r="M88" s="51">
        <v>0.46885245901639344</v>
      </c>
      <c r="N88"/>
      <c r="O88" s="184"/>
      <c r="P88" s="140"/>
      <c r="Q88" s="140"/>
      <c r="R88" s="140"/>
      <c r="S88" s="140"/>
      <c r="T88" s="140"/>
      <c r="U88" s="140"/>
    </row>
    <row r="89" spans="3:24" outlineLevel="1">
      <c r="C89" s="105">
        <f t="shared" si="47"/>
        <v>0</v>
      </c>
      <c r="D89" s="16" t="s">
        <v>85</v>
      </c>
      <c r="E89" s="16" t="s">
        <v>95</v>
      </c>
      <c r="F89" s="16" t="s">
        <v>90</v>
      </c>
      <c r="G89" s="21"/>
      <c r="H89" s="21"/>
      <c r="J89" s="51"/>
      <c r="K89" s="51"/>
      <c r="L89" s="51"/>
      <c r="M89" s="51"/>
      <c r="N89"/>
      <c r="O89" s="165"/>
      <c r="P89" s="140"/>
      <c r="Q89" s="140"/>
      <c r="R89" s="140"/>
      <c r="S89" s="140"/>
      <c r="T89" s="140"/>
      <c r="U89" s="140"/>
    </row>
    <row r="90" spans="3:24" outlineLevel="1">
      <c r="C90" s="105">
        <f t="shared" si="47"/>
        <v>0</v>
      </c>
      <c r="D90" s="16" t="s">
        <v>85</v>
      </c>
      <c r="E90" s="16" t="s">
        <v>95</v>
      </c>
      <c r="F90" s="16" t="s">
        <v>90</v>
      </c>
      <c r="G90" s="21"/>
      <c r="H90" s="21"/>
      <c r="J90" s="52"/>
      <c r="K90" s="52"/>
      <c r="L90" s="52"/>
      <c r="M90" s="52"/>
      <c r="N90"/>
      <c r="O90" s="140"/>
      <c r="P90" s="140"/>
      <c r="Q90" s="140"/>
      <c r="R90" s="140"/>
      <c r="S90" s="140"/>
      <c r="T90" s="140"/>
      <c r="U90" s="140"/>
    </row>
    <row r="91" spans="3:24" outlineLevel="1">
      <c r="C91" s="105">
        <f t="shared" si="47"/>
        <v>0</v>
      </c>
      <c r="D91" s="16" t="s">
        <v>85</v>
      </c>
      <c r="E91" s="16" t="s">
        <v>95</v>
      </c>
      <c r="F91" s="16" t="s">
        <v>90</v>
      </c>
      <c r="G91" s="21"/>
      <c r="H91" s="21"/>
      <c r="J91" s="52"/>
      <c r="K91" s="52"/>
      <c r="L91" s="52"/>
      <c r="M91" s="52"/>
      <c r="N91"/>
      <c r="O91" s="140"/>
      <c r="P91" s="140"/>
      <c r="Q91" s="140"/>
      <c r="R91" s="140"/>
      <c r="S91" s="140"/>
      <c r="T91" s="140"/>
      <c r="U91" s="140"/>
    </row>
    <row r="92" spans="3:24" outlineLevel="1">
      <c r="G92" s="21"/>
      <c r="H92" s="21"/>
      <c r="N92"/>
    </row>
    <row r="93" spans="3:24" ht="10.5" outlineLevel="1">
      <c r="C93" s="8" t="s">
        <v>88</v>
      </c>
      <c r="D93" s="16" t="s">
        <v>80</v>
      </c>
      <c r="E93" s="16" t="s">
        <v>89</v>
      </c>
      <c r="F93" s="16" t="s">
        <v>90</v>
      </c>
      <c r="J93" s="91" t="str">
        <f t="array" ref="J93">IF(ISBLANK(J84),IF(ISBLANK(J86:J91),"Ok","Check"),IF(SUM(J86:J91)=1,"Ok","Check"))</f>
        <v>Ok</v>
      </c>
      <c r="K93" s="91" t="str" cm="1">
        <f t="array" ref="K93">IF(ISBLANK(K84),IF(ISBLANK(K86:K91),"Ok","Check"),IF(SUM(K86:K91)=1,"Ok","Check"))</f>
        <v>Ok</v>
      </c>
      <c r="L93" s="91" t="str">
        <f t="array" ref="L93">IF(ISBLANK(L84),IF(ISBLANK(L86:L91),"Ok","Check"),IF(SUM(L86:L91)=1,"Ok","Check"))</f>
        <v>Ok</v>
      </c>
      <c r="M93" s="91" t="str">
        <f t="array" ref="M93">IF(ISBLANK(M84),IF(ISBLANK(M86:M91),"Ok","Check"),IF(SUM(M86:M91)=1,"Ok","Check"))</f>
        <v>Ok</v>
      </c>
      <c r="N93" s="91" t="str">
        <f t="array" ref="N93">IF(ISBLANK(N86:N91),"",IF(SUM(N86:N91)=1,"Ok","Check"))</f>
        <v/>
      </c>
      <c r="O93"/>
      <c r="P93" s="91" t="str">
        <f t="array" ref="P93">IF(ISBLANK(P86:P91),"",IF(SUM(P86:P91)=1,"Ok","Check"))</f>
        <v/>
      </c>
      <c r="Q93" s="91" t="str">
        <f t="array" ref="Q93">IF(ISBLANK(Q86:Q91),"",IF(SUM(Q86:Q91)=1,"Ok","Check"))</f>
        <v/>
      </c>
      <c r="R93" s="91" t="str">
        <f t="array" ref="R93">IF(ISBLANK(R86:R91),"",IF(SUM(R86:R91)=1,"Ok","Check"))</f>
        <v/>
      </c>
      <c r="S93" s="91" t="str">
        <f t="array" ref="S93">IF(ISBLANK(S86:S91),"",IF(SUM(S86:S91)=1,"Ok","Check"))</f>
        <v/>
      </c>
      <c r="T93" s="91" t="str">
        <f t="array" ref="T93">IF(ISBLANK(T86:T91),"",IF(SUM(T86:T91)=1,"Ok","Check"))</f>
        <v/>
      </c>
      <c r="U93" s="91"/>
      <c r="V93" s="24"/>
      <c r="X93" s="90" t="str">
        <f>IF(COUNTIF(K93:T93,"Check")=0,"Ok","Check")</f>
        <v>Ok</v>
      </c>
    </row>
    <row r="94" spans="3:24" ht="10.5" outlineLevel="1"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24"/>
      <c r="X94" s="91"/>
    </row>
    <row r="95" spans="3:24" ht="10.5" outlineLevel="1">
      <c r="C95" s="9" t="s">
        <v>104</v>
      </c>
      <c r="D95" s="21" t="s">
        <v>34</v>
      </c>
      <c r="E95" s="21" t="s">
        <v>51</v>
      </c>
      <c r="F95" s="21" t="s">
        <v>54</v>
      </c>
      <c r="J95" s="118" t="str">
        <f t="shared" ref="J95:U95" si="48">IF(YEAR(J$4)&gt;=FPFirstYear,IF(YEAR(J$4)&lt;=FPLastYear,J$4,""),"")</f>
        <v/>
      </c>
      <c r="K95" s="118" t="str">
        <f t="shared" si="48"/>
        <v/>
      </c>
      <c r="L95" s="118" t="str">
        <f t="shared" si="48"/>
        <v/>
      </c>
      <c r="M95" s="118" t="str">
        <f t="shared" si="48"/>
        <v/>
      </c>
      <c r="N95" s="118" t="str">
        <f t="shared" si="48"/>
        <v/>
      </c>
      <c r="O95" s="118" t="str">
        <f t="shared" si="48"/>
        <v/>
      </c>
      <c r="P95" s="118">
        <f t="shared" si="48"/>
        <v>46539</v>
      </c>
      <c r="Q95" s="118">
        <f t="shared" si="48"/>
        <v>46905</v>
      </c>
      <c r="R95" s="118">
        <f t="shared" si="48"/>
        <v>47270</v>
      </c>
      <c r="S95" s="118">
        <f t="shared" si="48"/>
        <v>47635</v>
      </c>
      <c r="T95" s="118">
        <f t="shared" si="48"/>
        <v>48000</v>
      </c>
      <c r="U95" s="118" t="str">
        <f t="shared" si="48"/>
        <v/>
      </c>
      <c r="V95" s="24"/>
      <c r="X95" s="91"/>
    </row>
    <row r="96" spans="3:24" ht="10.5" outlineLevel="1"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24"/>
      <c r="X96" s="91"/>
    </row>
    <row r="97" spans="1:34" ht="10.5" outlineLevel="1">
      <c r="C97" s="105" t="str">
        <f t="array" ref="C97:C101">TRANSPOSE(J84:N84)</f>
        <v>SFA CD</v>
      </c>
      <c r="D97" s="16" t="s">
        <v>80</v>
      </c>
      <c r="E97" s="16" t="s">
        <v>95</v>
      </c>
      <c r="F97" s="16" t="s">
        <v>90</v>
      </c>
      <c r="J97" s="79" t="str">
        <f t="shared" ref="J97:S97" si="49">IF(J$95=J$4,SUMPRODUCT(J$77:J$82,$J$86:$J$91),"")</f>
        <v/>
      </c>
      <c r="K97" s="79" t="str">
        <f t="shared" si="49"/>
        <v/>
      </c>
      <c r="L97" s="79" t="str">
        <f t="shared" si="49"/>
        <v/>
      </c>
      <c r="M97" s="79" t="str">
        <f t="shared" si="49"/>
        <v/>
      </c>
      <c r="N97" s="79" t="str">
        <f t="shared" si="49"/>
        <v/>
      </c>
      <c r="O97" s="79" t="str">
        <f t="shared" si="49"/>
        <v/>
      </c>
      <c r="P97" s="79">
        <f>IF(P$95=P$4,SUMPRODUCT(P$77:P$82,$J$86:$J$91),"")</f>
        <v>7.5809719234693068E-3</v>
      </c>
      <c r="Q97" s="79">
        <f t="shared" si="49"/>
        <v>1.0401771774276569E-2</v>
      </c>
      <c r="R97" s="79">
        <f>IF(R$95=R$4,SUMPRODUCT(R$77:R$82,$J$86:$J$91),"")</f>
        <v>1.8736213597050095E-2</v>
      </c>
      <c r="S97" s="79">
        <f t="shared" si="49"/>
        <v>1.8854272220189261E-2</v>
      </c>
      <c r="T97" s="79">
        <f>IF(T$95=T$4,SUMPRODUCT(T$77:T$82,$J$86:$J$91),"")</f>
        <v>1.8676720796573128E-2</v>
      </c>
      <c r="U97" s="79" t="str">
        <f>IF(U$95=U$4,SUMPRODUCT(U$77:U$82,$J$86:$J$91),"")</f>
        <v/>
      </c>
      <c r="V97" s="24"/>
      <c r="X97" s="91"/>
    </row>
    <row r="98" spans="1:34" ht="10.5" outlineLevel="1">
      <c r="C98" s="105" t="str">
        <v>LSE CD</v>
      </c>
      <c r="D98" s="16" t="s">
        <v>80</v>
      </c>
      <c r="E98" s="16" t="s">
        <v>95</v>
      </c>
      <c r="F98" s="16" t="s">
        <v>90</v>
      </c>
      <c r="J98" s="79" t="str">
        <f t="shared" ref="J98:S98" si="50">IF(J$95=J$4,SUMPRODUCT(J$77:J$82,$K$86:$K$91),"")</f>
        <v/>
      </c>
      <c r="K98" s="79" t="str">
        <f t="shared" si="50"/>
        <v/>
      </c>
      <c r="L98" s="79" t="str">
        <f t="shared" si="50"/>
        <v/>
      </c>
      <c r="M98" s="79" t="str">
        <f t="shared" si="50"/>
        <v/>
      </c>
      <c r="N98" s="79" t="str">
        <f t="shared" si="50"/>
        <v/>
      </c>
      <c r="O98" s="79" t="str">
        <f t="shared" si="50"/>
        <v/>
      </c>
      <c r="P98" s="79">
        <f t="shared" si="50"/>
        <v>1.1160258915490631E-2</v>
      </c>
      <c r="Q98" s="79">
        <f>IF(Q$95=Q$4,SUMPRODUCT(Q$77:Q$82,$K$86:$K$91),"")</f>
        <v>1.2587131370328714E-2</v>
      </c>
      <c r="R98" s="79">
        <f t="shared" si="50"/>
        <v>1.6770570834429822E-2</v>
      </c>
      <c r="S98" s="79">
        <f t="shared" si="50"/>
        <v>1.6773458092650167E-2</v>
      </c>
      <c r="T98" s="79">
        <f>IF(T$95=T$4,SUMPRODUCT(T$77:T$82,$K$86:$K$91),"")</f>
        <v>1.6589049724961596E-2</v>
      </c>
      <c r="U98" s="79" t="str">
        <f>IF(U$95=U$4,SUMPRODUCT(U$77:U$82,$K$86:$K$91),"")</f>
        <v/>
      </c>
      <c r="V98" s="24"/>
      <c r="X98" s="91"/>
    </row>
    <row r="99" spans="1:34" ht="10.5" outlineLevel="1">
      <c r="C99" s="105" t="str">
        <v>LSE TLG</v>
      </c>
      <c r="D99" s="16" t="s">
        <v>80</v>
      </c>
      <c r="E99" s="16" t="s">
        <v>95</v>
      </c>
      <c r="F99" s="16" t="s">
        <v>90</v>
      </c>
      <c r="J99" s="79" t="str">
        <f t="shared" ref="J99:S99" si="51">IF(J$95=J$4,SUMPRODUCT(J$77:J$82,$L$86:$L$91),"")</f>
        <v/>
      </c>
      <c r="K99" s="79" t="str">
        <f t="shared" si="51"/>
        <v/>
      </c>
      <c r="L99" s="79" t="str">
        <f t="shared" si="51"/>
        <v/>
      </c>
      <c r="M99" s="79" t="str">
        <f t="shared" si="51"/>
        <v/>
      </c>
      <c r="N99" s="79" t="str">
        <f t="shared" si="51"/>
        <v/>
      </c>
      <c r="O99" s="79" t="str">
        <f t="shared" si="51"/>
        <v/>
      </c>
      <c r="P99" s="79">
        <f t="shared" si="51"/>
        <v>8.5238338731354422E-3</v>
      </c>
      <c r="Q99" s="79">
        <f>IF(Q$95=Q$4,SUMPRODUCT(Q$77:Q$82,$L$86:$L$91),"")</f>
        <v>1.0813128206203792E-2</v>
      </c>
      <c r="R99" s="79">
        <f t="shared" si="51"/>
        <v>1.7469263076971837E-2</v>
      </c>
      <c r="S99" s="79">
        <f t="shared" si="51"/>
        <v>1.7548944419666656E-2</v>
      </c>
      <c r="T99" s="79">
        <f>IF(T$95=T$4,SUMPRODUCT(T$77:T$82,$L$86:$L$91),"")</f>
        <v>1.7367410829265753E-2</v>
      </c>
      <c r="U99" s="79" t="str">
        <f>IF(U$95=U$4,SUMPRODUCT(U$77:U$82,$L$86:$L$91),"")</f>
        <v/>
      </c>
      <c r="V99" s="24"/>
      <c r="X99" s="91"/>
    </row>
    <row r="100" spans="1:34" ht="10.5" outlineLevel="1">
      <c r="C100" s="105" t="str">
        <v>SFA TLG</v>
      </c>
      <c r="D100" s="16" t="s">
        <v>80</v>
      </c>
      <c r="E100" s="16" t="s">
        <v>95</v>
      </c>
      <c r="F100" s="16" t="s">
        <v>90</v>
      </c>
      <c r="J100" s="79" t="str">
        <f t="shared" ref="J100:R100" si="52">IF(J$95=J$4,SUMPRODUCT(J$77:J$82,$M$86:$M$91),"")</f>
        <v/>
      </c>
      <c r="K100" s="79" t="str">
        <f t="shared" si="52"/>
        <v/>
      </c>
      <c r="L100" s="79" t="str">
        <f t="shared" si="52"/>
        <v/>
      </c>
      <c r="M100" s="79" t="str">
        <f t="shared" si="52"/>
        <v/>
      </c>
      <c r="N100" s="79" t="str">
        <f t="shared" si="52"/>
        <v/>
      </c>
      <c r="O100" s="79" t="str">
        <f t="shared" si="52"/>
        <v/>
      </c>
      <c r="P100" s="79">
        <f>IF(P$95=P$4,SUMPRODUCT(P$77:P$82,$M$86:$M$91),"")</f>
        <v>8.1633235538700784E-3</v>
      </c>
      <c r="Q100" s="79">
        <f t="shared" si="52"/>
        <v>1.0872904346344657E-2</v>
      </c>
      <c r="R100" s="79">
        <f t="shared" si="52"/>
        <v>1.8943335233170898E-2</v>
      </c>
      <c r="S100" s="79">
        <f>IF(S$95=S$4,SUMPRODUCT(S$77:S$82,$M$86:$M$91),"")</f>
        <v>1.9048309536685345E-2</v>
      </c>
      <c r="T100" s="79">
        <f>IF(T$95=T$4,SUMPRODUCT(T$77:T$82,$M$86:$M$91),"")</f>
        <v>1.8871172940335461E-2</v>
      </c>
      <c r="U100" s="79" t="str">
        <f>IF(U$95=U$4,SUMPRODUCT(U$77:U$82,$M$86:$M$91),"")</f>
        <v/>
      </c>
      <c r="V100" s="24"/>
      <c r="X100" s="91"/>
    </row>
    <row r="101" spans="1:34" ht="10.5" outlineLevel="1">
      <c r="C101" s="105">
        <v>0</v>
      </c>
      <c r="G101" s="21"/>
      <c r="H101" s="21"/>
      <c r="K101" s="23"/>
      <c r="L101" s="23"/>
      <c r="M101" s="23"/>
      <c r="N101" s="23"/>
      <c r="O101" s="23"/>
      <c r="P101" s="79">
        <f>IF(P$95=P$4,SUMPRODUCT(P$77:P$82,$N$86:$N$91),"")</f>
        <v>0</v>
      </c>
      <c r="Q101" s="79">
        <f>IF(Q$95=Q$4,SUMPRODUCT(Q$77:Q$82,$N$86:$N$91),"")</f>
        <v>0</v>
      </c>
      <c r="R101" s="79">
        <f>IF(R$95=R$4,SUMPRODUCT(R$77:R$82,$N$86:$N$91),"")</f>
        <v>0</v>
      </c>
      <c r="S101" s="79">
        <f>IF(S$95=S$4,SUMPRODUCT(S$77:S$82,$N$86:$N$91),"")</f>
        <v>0</v>
      </c>
      <c r="T101" s="79">
        <f>IF(T$95=T$4,SUMPRODUCT(T$77:T$82,$N$86:$N$91),"")</f>
        <v>0</v>
      </c>
    </row>
    <row r="102" spans="1:34" customFormat="1" ht="13">
      <c r="A102" s="37"/>
      <c r="B102" s="43" t="s">
        <v>105</v>
      </c>
      <c r="C102" s="37"/>
      <c r="D102" s="37"/>
      <c r="E102" s="37"/>
      <c r="F102" s="38"/>
      <c r="G102" s="38"/>
      <c r="H102" s="38"/>
      <c r="I102" s="38"/>
      <c r="J102" s="38"/>
      <c r="K102" s="39"/>
      <c r="L102" s="40"/>
      <c r="M102" s="39"/>
      <c r="N102" s="40"/>
      <c r="O102" s="39"/>
      <c r="P102" s="39"/>
      <c r="Q102" s="39"/>
      <c r="R102" s="39"/>
      <c r="S102" s="39"/>
      <c r="T102" s="39"/>
      <c r="U102" s="39"/>
      <c r="V102" s="39"/>
      <c r="W102" s="39"/>
      <c r="X102" s="40"/>
      <c r="Y102" s="41"/>
      <c r="Z102" s="41"/>
      <c r="AA102" s="41"/>
      <c r="AB102" s="41"/>
      <c r="AC102" s="41"/>
      <c r="AD102" s="41"/>
      <c r="AE102" s="41"/>
      <c r="AF102" s="41"/>
      <c r="AG102" s="42"/>
      <c r="AH102" s="42"/>
    </row>
    <row r="103" spans="1:34" outlineLevel="1">
      <c r="G103" s="21"/>
      <c r="H103" s="21"/>
    </row>
    <row r="104" spans="1:34" ht="10.5" outlineLevel="1">
      <c r="C104" s="9" t="s">
        <v>106</v>
      </c>
      <c r="D104" s="21" t="s">
        <v>34</v>
      </c>
      <c r="E104" s="21" t="s">
        <v>51</v>
      </c>
      <c r="F104" s="21" t="s">
        <v>54</v>
      </c>
      <c r="G104" s="21"/>
      <c r="H104" s="21"/>
      <c r="J104" s="118" t="str">
        <f t="shared" ref="J104:U104" si="53">IF(YEAR(J$4)&gt;=FPFirstYear,IF(YEAR(J$4)&lt;=FPLastYear,J$4,""),"")</f>
        <v/>
      </c>
      <c r="K104" s="118" t="str">
        <f t="shared" si="53"/>
        <v/>
      </c>
      <c r="L104" s="118" t="str">
        <f t="shared" si="53"/>
        <v/>
      </c>
      <c r="M104" s="118" t="str">
        <f t="shared" si="53"/>
        <v/>
      </c>
      <c r="N104" s="118" t="str">
        <f t="shared" si="53"/>
        <v/>
      </c>
      <c r="O104" s="118" t="str">
        <f t="shared" si="53"/>
        <v/>
      </c>
      <c r="P104" s="118">
        <f t="shared" si="53"/>
        <v>46539</v>
      </c>
      <c r="Q104" s="118">
        <f t="shared" si="53"/>
        <v>46905</v>
      </c>
      <c r="R104" s="118">
        <f t="shared" si="53"/>
        <v>47270</v>
      </c>
      <c r="S104" s="118">
        <f t="shared" si="53"/>
        <v>47635</v>
      </c>
      <c r="T104" s="118">
        <f t="shared" si="53"/>
        <v>48000</v>
      </c>
      <c r="U104" s="118" t="str">
        <f t="shared" si="53"/>
        <v/>
      </c>
    </row>
    <row r="105" spans="1:34" ht="10.5" outlineLevel="1">
      <c r="C105" s="15"/>
      <c r="G105" s="21"/>
      <c r="H105" s="21"/>
      <c r="K105" s="23"/>
      <c r="L105" s="23"/>
      <c r="M105" s="23"/>
      <c r="N105" s="23"/>
      <c r="O105" s="23"/>
    </row>
    <row r="106" spans="1:34" ht="10.5" outlineLevel="1">
      <c r="C106" s="15" t="s">
        <v>106</v>
      </c>
      <c r="D106" s="16" t="s">
        <v>85</v>
      </c>
      <c r="E106" s="16" t="str">
        <f>percent</f>
        <v>Per cent</v>
      </c>
      <c r="F106" s="16" t="s">
        <v>90</v>
      </c>
      <c r="G106" s="21"/>
      <c r="H106" s="21"/>
      <c r="J106" s="148"/>
      <c r="K106" s="141"/>
      <c r="L106" s="141"/>
      <c r="M106" s="141"/>
      <c r="N106" s="141"/>
      <c r="O106" s="122"/>
      <c r="P106" s="122">
        <v>5.0000000000000001E-3</v>
      </c>
      <c r="Q106" s="122">
        <v>5.0000000000000001E-3</v>
      </c>
      <c r="R106" s="122">
        <v>5.0000000000000001E-3</v>
      </c>
      <c r="S106" s="122">
        <v>5.0000000000000001E-3</v>
      </c>
      <c r="T106" s="122">
        <v>5.0000000000000001E-3</v>
      </c>
      <c r="U106" s="163"/>
      <c r="X106" s="164"/>
    </row>
    <row r="107" spans="1:34" ht="10.5" outlineLevel="1">
      <c r="C107" s="15"/>
      <c r="G107" s="21"/>
      <c r="H107" s="21"/>
      <c r="K107" s="23"/>
      <c r="L107" s="23"/>
      <c r="M107" s="23"/>
      <c r="N107" s="23"/>
      <c r="O107" s="23"/>
      <c r="P107" s="139"/>
      <c r="Q107" s="139"/>
      <c r="R107" s="139"/>
      <c r="S107" s="139"/>
      <c r="T107" s="139"/>
      <c r="U107" s="139"/>
    </row>
    <row r="108" spans="1:34" ht="10.5" outlineLevel="1">
      <c r="C108" s="8" t="s">
        <v>88</v>
      </c>
      <c r="D108" s="16" t="s">
        <v>80</v>
      </c>
      <c r="E108" s="16" t="s">
        <v>89</v>
      </c>
      <c r="F108" s="16" t="s">
        <v>90</v>
      </c>
      <c r="J108" s="91" t="str">
        <f t="shared" ref="J108:S108" si="54">IF(J104=J$4,IF(ISBLANK(J106),"Check","Ok"),"")</f>
        <v/>
      </c>
      <c r="K108" s="91" t="str">
        <f t="shared" si="54"/>
        <v/>
      </c>
      <c r="L108" s="91" t="str">
        <f t="shared" si="54"/>
        <v/>
      </c>
      <c r="M108" s="91" t="str">
        <f t="shared" si="54"/>
        <v/>
      </c>
      <c r="N108" s="91" t="str">
        <f t="shared" si="54"/>
        <v/>
      </c>
      <c r="O108" s="91" t="str">
        <f t="shared" si="54"/>
        <v/>
      </c>
      <c r="P108" s="91" t="str">
        <f t="shared" si="54"/>
        <v>Ok</v>
      </c>
      <c r="Q108" s="91" t="str">
        <f t="shared" si="54"/>
        <v>Ok</v>
      </c>
      <c r="R108" s="91" t="str">
        <f t="shared" si="54"/>
        <v>Ok</v>
      </c>
      <c r="S108" s="91" t="str">
        <f t="shared" si="54"/>
        <v>Ok</v>
      </c>
      <c r="T108" s="91" t="str">
        <f>IF(T104=T$4,IF(ISBLANK(T106),"Check","Ok"),"")</f>
        <v>Ok</v>
      </c>
      <c r="U108" s="91" t="str">
        <f>IF(U104=U$4,IF(ISBLANK(U106),"Check","Ok"),"")</f>
        <v/>
      </c>
      <c r="V108" s="24"/>
      <c r="X108" s="90" t="str">
        <f>IF(COUNTIF(J108:T108,"Check")=0,"Ok","Check")</f>
        <v>Ok</v>
      </c>
    </row>
    <row r="109" spans="1:34" ht="10.5" outlineLevel="1">
      <c r="C109" s="15"/>
      <c r="G109" s="21"/>
      <c r="H109" s="21"/>
      <c r="K109" s="23"/>
      <c r="L109" s="23"/>
      <c r="M109" s="23"/>
      <c r="N109" s="23"/>
      <c r="O109" s="23"/>
    </row>
    <row r="110" spans="1:34" customFormat="1" ht="13">
      <c r="A110" s="37"/>
      <c r="B110" s="43" t="s">
        <v>22</v>
      </c>
      <c r="C110" s="37"/>
      <c r="D110" s="37"/>
      <c r="E110" s="37"/>
      <c r="F110" s="38"/>
      <c r="G110" s="38"/>
      <c r="H110" s="38"/>
      <c r="I110" s="38"/>
      <c r="J110" s="38"/>
      <c r="K110" s="39"/>
      <c r="L110" s="40"/>
      <c r="M110" s="39"/>
      <c r="N110" s="40"/>
      <c r="O110" s="39"/>
      <c r="P110" s="39"/>
      <c r="Q110" s="39"/>
      <c r="R110" s="39"/>
      <c r="S110" s="39"/>
      <c r="T110" s="39"/>
      <c r="U110" s="39"/>
      <c r="V110" s="39"/>
      <c r="W110" s="39"/>
      <c r="X110" s="40"/>
      <c r="Y110" s="41"/>
      <c r="Z110" s="41"/>
      <c r="AA110" s="41"/>
      <c r="AB110" s="41"/>
      <c r="AC110" s="41"/>
      <c r="AD110" s="41"/>
      <c r="AE110" s="41"/>
      <c r="AF110" s="41"/>
      <c r="AG110" s="42"/>
      <c r="AH110" s="42"/>
    </row>
  </sheetData>
  <mergeCells count="2">
    <mergeCell ref="K3:M3"/>
    <mergeCell ref="O3:T3"/>
  </mergeCells>
  <conditionalFormatting sqref="J93:N93 P93:U93 J94:U94 J96:U96">
    <cfRule type="cellIs" dxfId="94" priority="9" operator="equal">
      <formula>"Check"</formula>
    </cfRule>
    <cfRule type="cellIs" dxfId="93" priority="10" operator="equal">
      <formula>"Ok"</formula>
    </cfRule>
  </conditionalFormatting>
  <conditionalFormatting sqref="J66:T69 J70:U71">
    <cfRule type="expression" dxfId="92" priority="24">
      <formula>J$64=J$4</formula>
    </cfRule>
  </conditionalFormatting>
  <conditionalFormatting sqref="J106:T106">
    <cfRule type="expression" dxfId="91" priority="121">
      <formula>J$104=J$4</formula>
    </cfRule>
  </conditionalFormatting>
  <conditionalFormatting sqref="J16:U22">
    <cfRule type="cellIs" dxfId="90" priority="16" operator="equal">
      <formula>0</formula>
    </cfRule>
  </conditionalFormatting>
  <conditionalFormatting sqref="J26:U32">
    <cfRule type="cellIs" dxfId="89" priority="17" operator="equal">
      <formula>0</formula>
    </cfRule>
  </conditionalFormatting>
  <conditionalFormatting sqref="J36:U36">
    <cfRule type="expression" dxfId="88" priority="51">
      <formula>J$36=J$4</formula>
    </cfRule>
  </conditionalFormatting>
  <conditionalFormatting sqref="J38:U45">
    <cfRule type="expression" dxfId="87" priority="49">
      <formula>J$36=J$4</formula>
    </cfRule>
  </conditionalFormatting>
  <conditionalFormatting sqref="J47:U47">
    <cfRule type="cellIs" dxfId="86" priority="36" operator="equal">
      <formula>"Check"</formula>
    </cfRule>
    <cfRule type="cellIs" dxfId="85" priority="37" operator="equal">
      <formula>"Ok"</formula>
    </cfRule>
  </conditionalFormatting>
  <conditionalFormatting sqref="J49:U49">
    <cfRule type="expression" dxfId="84" priority="21">
      <formula>J$36=J$4</formula>
    </cfRule>
  </conditionalFormatting>
  <conditionalFormatting sqref="J51:U58 U70">
    <cfRule type="expression" dxfId="83" priority="48">
      <formula>J$49=J$4</formula>
    </cfRule>
  </conditionalFormatting>
  <conditionalFormatting sqref="J60:U60">
    <cfRule type="cellIs" dxfId="82" priority="60" operator="equal">
      <formula>"Check"</formula>
    </cfRule>
    <cfRule type="cellIs" dxfId="81" priority="61" operator="equal">
      <formula>"Ok"</formula>
    </cfRule>
  </conditionalFormatting>
  <conditionalFormatting sqref="J64:U64">
    <cfRule type="expression" dxfId="80" priority="26">
      <formula>J$64=J$4</formula>
    </cfRule>
  </conditionalFormatting>
  <conditionalFormatting sqref="J73:U73">
    <cfRule type="cellIs" dxfId="79" priority="32" operator="equal">
      <formula>"Check"</formula>
    </cfRule>
    <cfRule type="cellIs" dxfId="78" priority="33" operator="equal">
      <formula>"Ok"</formula>
    </cfRule>
  </conditionalFormatting>
  <conditionalFormatting sqref="J75:U75">
    <cfRule type="expression" dxfId="77" priority="20">
      <formula>J$36=J$4</formula>
    </cfRule>
  </conditionalFormatting>
  <conditionalFormatting sqref="J95:U95">
    <cfRule type="expression" dxfId="76" priority="8">
      <formula>J$95=J$4</formula>
    </cfRule>
  </conditionalFormatting>
  <conditionalFormatting sqref="J104:U104">
    <cfRule type="expression" dxfId="75" priority="19">
      <formula>J$36=J$4</formula>
    </cfRule>
  </conditionalFormatting>
  <conditionalFormatting sqref="J108:U108">
    <cfRule type="cellIs" dxfId="74" priority="40" operator="equal">
      <formula>"Check"</formula>
    </cfRule>
    <cfRule type="cellIs" dxfId="73" priority="41" operator="equal">
      <formula>"Ok"</formula>
    </cfRule>
  </conditionalFormatting>
  <conditionalFormatting sqref="K90:M91">
    <cfRule type="expression" dxfId="72" priority="3">
      <formula>K$84=K$4</formula>
    </cfRule>
  </conditionalFormatting>
  <conditionalFormatting sqref="T1:U1">
    <cfRule type="cellIs" dxfId="71" priority="80" operator="equal">
      <formula>"Check"</formula>
    </cfRule>
    <cfRule type="cellIs" dxfId="70" priority="81" operator="equal">
      <formula>"Ok"</formula>
    </cfRule>
  </conditionalFormatting>
  <conditionalFormatting sqref="U66:U68">
    <cfRule type="expression" dxfId="69" priority="6">
      <formula>U$49=U$4</formula>
    </cfRule>
  </conditionalFormatting>
  <conditionalFormatting sqref="U106">
    <cfRule type="expression" dxfId="68" priority="1">
      <formula>U$36=U$4</formula>
    </cfRule>
  </conditionalFormatting>
  <conditionalFormatting sqref="X1">
    <cfRule type="cellIs" dxfId="67" priority="116" operator="equal">
      <formula>"Check"</formula>
    </cfRule>
    <cfRule type="cellIs" dxfId="66" priority="117" operator="equal">
      <formula>"Ok"</formula>
    </cfRule>
  </conditionalFormatting>
  <conditionalFormatting sqref="X47">
    <cfRule type="cellIs" dxfId="65" priority="38" operator="equal">
      <formula>"Check"</formula>
    </cfRule>
    <cfRule type="cellIs" dxfId="64" priority="39" operator="equal">
      <formula>"Ok"</formula>
    </cfRule>
  </conditionalFormatting>
  <conditionalFormatting sqref="X60">
    <cfRule type="cellIs" dxfId="63" priority="68" operator="equal">
      <formula>"Check"</formula>
    </cfRule>
    <cfRule type="cellIs" dxfId="62" priority="69" operator="equal">
      <formula>"Ok"</formula>
    </cfRule>
  </conditionalFormatting>
  <conditionalFormatting sqref="X73">
    <cfRule type="cellIs" dxfId="61" priority="34" operator="equal">
      <formula>"Check"</formula>
    </cfRule>
    <cfRule type="cellIs" dxfId="60" priority="35" operator="equal">
      <formula>"Ok"</formula>
    </cfRule>
  </conditionalFormatting>
  <conditionalFormatting sqref="X93:X100">
    <cfRule type="cellIs" dxfId="59" priority="12" operator="equal">
      <formula>"Check"</formula>
    </cfRule>
    <cfRule type="cellIs" dxfId="58" priority="13" operator="equal">
      <formula>"Ok"</formula>
    </cfRule>
  </conditionalFormatting>
  <conditionalFormatting sqref="X108">
    <cfRule type="cellIs" dxfId="57" priority="42" operator="equal">
      <formula>"Check"</formula>
    </cfRule>
    <cfRule type="cellIs" dxfId="56" priority="43" operator="equal">
      <formula>"Ok"</formula>
    </cfRule>
  </conditionalFormatting>
  <dataValidations disablePrompts="1"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FF99"/>
  </sheetPr>
  <dimension ref="A1:AU58"/>
  <sheetViews>
    <sheetView showGridLines="0" zoomScale="110" zoomScaleNormal="110" workbookViewId="0">
      <selection activeCell="T42" sqref="T42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44140625" style="8" hidden="1" customWidth="1"/>
    <col min="48" max="16384" width="0" style="8" hidden="1"/>
  </cols>
  <sheetData>
    <row r="1" spans="1:30" s="32" customFormat="1" ht="15.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25</v>
      </c>
      <c r="L1" s="33" t="s">
        <v>26</v>
      </c>
      <c r="M1" s="50" t="s">
        <v>27</v>
      </c>
      <c r="N1" s="11" t="s">
        <v>28</v>
      </c>
      <c r="O1" s="12" t="s">
        <v>29</v>
      </c>
      <c r="R1" s="33" t="s">
        <v>30</v>
      </c>
      <c r="S1" s="34" t="str">
        <f>IF(COUNTA($W$8:$W$239)=COUNTIF($W$8:$W$239,"OK"),"OK","Check")</f>
        <v>OK</v>
      </c>
      <c r="U1" s="134" t="s">
        <v>31</v>
      </c>
      <c r="V1" s="34" t="str">
        <f>'Check|List'!$S$1</f>
        <v>Ok</v>
      </c>
    </row>
    <row r="2" spans="1:30" s="36" customFormat="1" ht="13.5" thickBot="1">
      <c r="B2" s="35" t="str">
        <f>Index!$C$11</f>
        <v>Input | Step changes</v>
      </c>
      <c r="C2" s="35"/>
      <c r="D2" s="35"/>
      <c r="E2" s="35"/>
      <c r="F2" s="59"/>
      <c r="G2" s="59"/>
      <c r="H2" s="59"/>
      <c r="I2" s="59"/>
    </row>
    <row r="3" spans="1:30" s="60" customFormat="1" ht="10.5">
      <c r="D3" s="130"/>
      <c r="E3" s="130"/>
      <c r="F3" s="130"/>
      <c r="G3" s="130"/>
      <c r="H3" s="130"/>
      <c r="I3" s="130"/>
      <c r="J3" s="113" t="s">
        <v>41</v>
      </c>
      <c r="K3" s="125"/>
      <c r="L3" s="125"/>
      <c r="M3" s="130"/>
      <c r="N3" s="185"/>
      <c r="O3" s="185"/>
      <c r="P3" s="185"/>
      <c r="Q3" s="185"/>
      <c r="R3" s="185"/>
      <c r="S3" s="185"/>
      <c r="T3" s="61"/>
      <c r="U3" s="61"/>
      <c r="V3" s="61"/>
      <c r="W3" s="61"/>
      <c r="X3" s="61"/>
      <c r="Y3" s="61"/>
      <c r="Z3" s="61"/>
    </row>
    <row r="4" spans="1:30" customFormat="1">
      <c r="A4" s="62"/>
      <c r="B4" s="62"/>
      <c r="C4" s="62"/>
      <c r="D4" s="63" t="s">
        <v>34</v>
      </c>
      <c r="E4" s="63" t="s">
        <v>51</v>
      </c>
      <c r="F4" s="64" t="s">
        <v>54</v>
      </c>
      <c r="G4" s="65"/>
      <c r="H4" s="65"/>
      <c r="I4" s="65"/>
      <c r="J4" s="111">
        <f>DATE(PPFirstYear,MONTH('Input|General'!$G$9),1)</f>
        <v>44713</v>
      </c>
      <c r="K4" s="111">
        <f>DATE(PPFirstYear+1,MONTH('Input|General'!$G$9),1)</f>
        <v>45078</v>
      </c>
      <c r="L4" s="111">
        <f>DATE(PPFirstYear+2,MONTH('Input|General'!$G$9),1)</f>
        <v>45444</v>
      </c>
      <c r="M4" s="111">
        <f>DATE(PPFirstYear+3,MONTH('Input|General'!$G$9),1)</f>
        <v>45809</v>
      </c>
      <c r="N4" s="111">
        <f>DATE(PPFirstYear+4,MONTH('Input|General'!$G$9),1)</f>
        <v>46174</v>
      </c>
      <c r="O4" s="111">
        <f>DATE(PPFirstYear+5,MONTH('Input|General'!$G$9),1)</f>
        <v>46539</v>
      </c>
      <c r="P4" s="111">
        <f>DATE(PPFirstYear+6,MONTH('Input|General'!$G$9),1)</f>
        <v>46905</v>
      </c>
      <c r="Q4" s="111">
        <f>DATE(PPFirstYear+7,MONTH('Input|General'!$G$9),1)</f>
        <v>47270</v>
      </c>
      <c r="R4" s="111">
        <f>DATE(PPFirstYear+8,MONTH('Input|General'!$G$9),1)</f>
        <v>47635</v>
      </c>
      <c r="S4" s="111">
        <f>DATE(PPFirstYear+9,MONTH('Input|General'!$G$9),1)</f>
        <v>48000</v>
      </c>
      <c r="T4" s="111">
        <f>DATE(PPFirstYear+10,MONTH('Input|General'!$G$9),1)</f>
        <v>48366</v>
      </c>
      <c r="U4" s="66"/>
      <c r="V4" s="67"/>
      <c r="W4" s="67"/>
    </row>
    <row r="5" spans="1:30" s="6" customFormat="1" ht="3" customHeight="1">
      <c r="D5" s="27"/>
      <c r="E5" s="27"/>
      <c r="F5" s="27"/>
      <c r="G5" s="27"/>
      <c r="H5" s="27"/>
      <c r="I5" s="27"/>
    </row>
    <row r="6" spans="1:30" s="6" customFormat="1" ht="9.25" customHeight="1">
      <c r="D6" s="27"/>
      <c r="E6" s="27"/>
      <c r="F6" s="27"/>
      <c r="G6" s="27"/>
      <c r="H6" s="27"/>
      <c r="I6" s="27"/>
    </row>
    <row r="7" spans="1:30" s="6" customFormat="1" ht="3" customHeight="1">
      <c r="D7" s="27"/>
      <c r="E7" s="27"/>
      <c r="F7" s="27"/>
      <c r="G7" s="27"/>
      <c r="H7" s="27"/>
      <c r="I7" s="27"/>
    </row>
    <row r="8" spans="1:30" customFormat="1" ht="13">
      <c r="A8" s="37"/>
      <c r="B8" s="43" t="s">
        <v>107</v>
      </c>
      <c r="C8" s="37"/>
      <c r="D8" s="37"/>
      <c r="E8" s="37"/>
      <c r="F8" s="38"/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40"/>
      <c r="W8" s="40"/>
      <c r="X8" s="41"/>
      <c r="Y8" s="41"/>
      <c r="Z8" s="41"/>
      <c r="AA8" s="41"/>
      <c r="AB8" s="41"/>
      <c r="AC8" s="42"/>
      <c r="AD8" s="42"/>
    </row>
    <row r="9" spans="1:30" ht="10.5" outlineLevel="1">
      <c r="C9" s="9" t="s">
        <v>108</v>
      </c>
      <c r="D9" s="21" t="s">
        <v>34</v>
      </c>
      <c r="E9" s="21" t="s">
        <v>51</v>
      </c>
      <c r="F9" s="21" t="s">
        <v>54</v>
      </c>
      <c r="G9" s="21"/>
      <c r="H9" s="21"/>
      <c r="I9" s="118"/>
      <c r="J9" s="118" t="str">
        <f t="shared" ref="J9:S9" si="0">IF(YEAR(J$4)&gt;=FPFirstYear,IF(YEAR(J$4)&lt;=FPLastYear,J$4,""),"")</f>
        <v/>
      </c>
      <c r="K9" s="118" t="str">
        <f t="shared" si="0"/>
        <v/>
      </c>
      <c r="L9" s="118" t="str">
        <f t="shared" si="0"/>
        <v/>
      </c>
      <c r="M9" s="118" t="str">
        <f t="shared" si="0"/>
        <v/>
      </c>
      <c r="N9" s="118" t="str">
        <f t="shared" si="0"/>
        <v/>
      </c>
      <c r="O9" s="118">
        <f t="shared" si="0"/>
        <v>46539</v>
      </c>
      <c r="P9" s="118">
        <f t="shared" si="0"/>
        <v>46905</v>
      </c>
      <c r="Q9" s="118">
        <f t="shared" si="0"/>
        <v>47270</v>
      </c>
      <c r="R9" s="118">
        <f t="shared" si="0"/>
        <v>47635</v>
      </c>
      <c r="S9" s="118">
        <f t="shared" si="0"/>
        <v>48000</v>
      </c>
    </row>
    <row r="10" spans="1:30" outlineLevel="1">
      <c r="C10" s="52" t="s">
        <v>208</v>
      </c>
      <c r="D10" s="16" t="s">
        <v>39</v>
      </c>
      <c r="E10" s="106" t="s">
        <v>59</v>
      </c>
      <c r="F10" s="124">
        <v>45444</v>
      </c>
      <c r="G10" s="21"/>
      <c r="H10" s="21"/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83"/>
    </row>
    <row r="11" spans="1:30" outlineLevel="1">
      <c r="C11" s="52"/>
      <c r="D11" s="16" t="s">
        <v>39</v>
      </c>
      <c r="E11" s="106" t="s">
        <v>59</v>
      </c>
      <c r="F11" s="124">
        <v>45444</v>
      </c>
      <c r="G11" s="21"/>
      <c r="H11" s="21"/>
      <c r="O11" s="123"/>
      <c r="P11" s="123"/>
      <c r="Q11" s="123"/>
      <c r="R11" s="123"/>
      <c r="S11" s="123"/>
      <c r="T11" s="183"/>
    </row>
    <row r="12" spans="1:30" outlineLevel="1">
      <c r="C12" s="52" t="s">
        <v>199</v>
      </c>
      <c r="D12" s="16" t="s">
        <v>39</v>
      </c>
      <c r="E12" s="106" t="s">
        <v>59</v>
      </c>
      <c r="F12" s="124">
        <v>45444</v>
      </c>
      <c r="G12" s="21"/>
      <c r="H12" s="21"/>
      <c r="J12" s="108"/>
      <c r="K12" s="108"/>
      <c r="L12" s="108"/>
      <c r="M12" s="108"/>
      <c r="N12" s="108"/>
      <c r="O12" s="123">
        <v>0.50800000000000001</v>
      </c>
      <c r="P12" s="123">
        <v>1.016</v>
      </c>
      <c r="Q12" s="123">
        <v>1.5780000000000001</v>
      </c>
      <c r="R12" s="123">
        <v>2.194</v>
      </c>
      <c r="S12" s="123">
        <v>2.702</v>
      </c>
      <c r="T12" s="183"/>
    </row>
    <row r="13" spans="1:30" outlineLevel="1">
      <c r="C13" s="52" t="s">
        <v>197</v>
      </c>
      <c r="D13" s="16" t="s">
        <v>39</v>
      </c>
      <c r="E13" s="106" t="s">
        <v>59</v>
      </c>
      <c r="F13" s="124">
        <v>45078</v>
      </c>
      <c r="G13" s="21"/>
      <c r="H13" s="21"/>
      <c r="J13" s="108"/>
      <c r="K13" s="108"/>
      <c r="L13" s="108"/>
      <c r="M13" s="108"/>
      <c r="N13" s="108"/>
      <c r="O13" s="123">
        <v>1.4630000000000001</v>
      </c>
      <c r="P13" s="123">
        <v>1.4630000000000001</v>
      </c>
      <c r="Q13" s="123">
        <v>1.4630000000000001</v>
      </c>
      <c r="R13" s="123">
        <v>1.4630000000000001</v>
      </c>
      <c r="S13" s="123">
        <v>1.4630000000000001</v>
      </c>
      <c r="T13" s="183"/>
    </row>
    <row r="14" spans="1:30" outlineLevel="1">
      <c r="C14" s="52" t="s">
        <v>190</v>
      </c>
      <c r="D14" s="16" t="s">
        <v>39</v>
      </c>
      <c r="E14" s="106" t="s">
        <v>59</v>
      </c>
      <c r="F14" s="124">
        <v>45444</v>
      </c>
      <c r="G14" s="21"/>
      <c r="H14" s="21"/>
      <c r="J14" s="108"/>
      <c r="K14" s="108"/>
      <c r="L14" s="108"/>
      <c r="M14" s="108"/>
      <c r="N14" s="108"/>
      <c r="O14" s="123">
        <v>-4.3842332083640613E-2</v>
      </c>
      <c r="P14" s="123">
        <v>-8.7684664167281226E-2</v>
      </c>
      <c r="Q14" s="123">
        <v>-0.13152699625092182</v>
      </c>
      <c r="R14" s="123">
        <v>-0.17536932833456245</v>
      </c>
      <c r="S14" s="123">
        <v>-0.21921166041820303</v>
      </c>
      <c r="T14" s="183"/>
    </row>
    <row r="15" spans="1:30" outlineLevel="1">
      <c r="C15" s="52" t="s">
        <v>200</v>
      </c>
      <c r="D15" s="16" t="s">
        <v>39</v>
      </c>
      <c r="E15" s="106" t="s">
        <v>59</v>
      </c>
      <c r="F15" s="124">
        <v>45444</v>
      </c>
      <c r="G15" s="21"/>
      <c r="H15" s="21"/>
      <c r="J15" s="108"/>
      <c r="K15" s="108"/>
      <c r="L15" s="108"/>
      <c r="M15" s="108"/>
      <c r="N15" s="108"/>
      <c r="O15" s="176">
        <v>3.414256</v>
      </c>
      <c r="P15" s="176">
        <v>6.9596559999999998</v>
      </c>
      <c r="Q15" s="176">
        <v>8.2186559999999993</v>
      </c>
      <c r="R15" s="176">
        <v>9.4856560000000005</v>
      </c>
      <c r="S15" s="176">
        <v>9.6896559999999994</v>
      </c>
      <c r="T15" s="183"/>
    </row>
    <row r="16" spans="1:30" outlineLevel="1">
      <c r="C16" s="52" t="s">
        <v>198</v>
      </c>
      <c r="D16" s="16" t="s">
        <v>39</v>
      </c>
      <c r="E16" s="106" t="s">
        <v>59</v>
      </c>
      <c r="F16" s="124">
        <v>46174</v>
      </c>
      <c r="G16" s="21"/>
      <c r="H16" s="21"/>
      <c r="J16" s="108"/>
      <c r="K16" s="108"/>
      <c r="L16" s="108"/>
      <c r="M16" s="108"/>
      <c r="N16" s="108"/>
      <c r="O16" s="123">
        <v>1.5707620503253217</v>
      </c>
      <c r="P16" s="123">
        <v>1.5698472309887788</v>
      </c>
      <c r="Q16" s="123">
        <v>1.5682594465593149</v>
      </c>
      <c r="R16" s="123">
        <v>1.5665337617618253</v>
      </c>
      <c r="S16" s="123">
        <v>1.564895674030385</v>
      </c>
      <c r="T16" s="183"/>
    </row>
    <row r="17" spans="1:30" outlineLevel="1">
      <c r="C17" s="52" t="s">
        <v>203</v>
      </c>
      <c r="D17" s="16" t="s">
        <v>39</v>
      </c>
      <c r="E17" s="106" t="s">
        <v>59</v>
      </c>
      <c r="F17" s="124">
        <v>46174</v>
      </c>
      <c r="G17" s="21"/>
      <c r="H17" s="21"/>
      <c r="J17" s="108"/>
      <c r="K17" s="108"/>
      <c r="L17" s="108"/>
      <c r="M17" s="108"/>
      <c r="N17" s="108"/>
      <c r="O17" s="179">
        <v>-0.77054480114239976</v>
      </c>
      <c r="P17" s="179">
        <v>-0.77054480114239976</v>
      </c>
      <c r="Q17" s="179">
        <v>-0.77054480114239976</v>
      </c>
      <c r="R17" s="179">
        <v>-0.77054480114239976</v>
      </c>
      <c r="S17" s="179">
        <v>-0.77054480114239976</v>
      </c>
      <c r="T17" s="183"/>
    </row>
    <row r="18" spans="1:30" outlineLevel="1">
      <c r="C18" s="52" t="s">
        <v>196</v>
      </c>
      <c r="D18" s="16" t="s">
        <v>39</v>
      </c>
      <c r="E18" s="106" t="s">
        <v>59</v>
      </c>
      <c r="F18" s="124">
        <v>46174</v>
      </c>
      <c r="G18" s="21"/>
      <c r="H18" s="21"/>
      <c r="J18" s="108"/>
      <c r="K18" s="108"/>
      <c r="L18" s="108"/>
      <c r="M18" s="108"/>
      <c r="N18" s="108"/>
      <c r="O18" s="123">
        <v>1.8137686833443194</v>
      </c>
      <c r="P18" s="123">
        <v>1.8777256549461565</v>
      </c>
      <c r="Q18" s="123">
        <v>1.8455818311865408</v>
      </c>
      <c r="R18" s="123">
        <v>1.81298402426157</v>
      </c>
      <c r="S18" s="123">
        <v>1.8075912594408798</v>
      </c>
      <c r="T18" s="183"/>
    </row>
    <row r="19" spans="1:30" outlineLevel="1">
      <c r="C19" s="52" t="s">
        <v>191</v>
      </c>
      <c r="D19" s="16" t="s">
        <v>39</v>
      </c>
      <c r="E19" s="106" t="s">
        <v>59</v>
      </c>
      <c r="F19" s="124">
        <v>46174</v>
      </c>
      <c r="G19" s="21"/>
      <c r="H19" s="21"/>
      <c r="J19" s="108"/>
      <c r="K19" s="108"/>
      <c r="L19" s="108"/>
      <c r="M19" s="108"/>
      <c r="N19" s="108"/>
      <c r="O19" s="123">
        <v>3</v>
      </c>
      <c r="P19" s="123">
        <v>3</v>
      </c>
      <c r="Q19" s="123">
        <v>3</v>
      </c>
      <c r="R19" s="123">
        <v>3</v>
      </c>
      <c r="S19" s="123">
        <v>3</v>
      </c>
      <c r="T19" s="183"/>
    </row>
    <row r="20" spans="1:30" outlineLevel="1">
      <c r="C20" s="52" t="s">
        <v>202</v>
      </c>
      <c r="D20" s="16" t="s">
        <v>39</v>
      </c>
      <c r="E20" s="106" t="s">
        <v>59</v>
      </c>
      <c r="F20" s="124">
        <v>46174</v>
      </c>
      <c r="G20" s="21"/>
      <c r="H20" s="21"/>
      <c r="J20" s="108"/>
      <c r="K20" s="108"/>
      <c r="L20" s="108"/>
      <c r="M20" s="108"/>
      <c r="N20" s="108"/>
      <c r="O20" s="123">
        <v>3.2868505186560282</v>
      </c>
      <c r="P20" s="123">
        <v>3.1202491163489929</v>
      </c>
      <c r="Q20" s="123">
        <v>3.1113949498912601</v>
      </c>
      <c r="R20" s="123">
        <v>3.1017717918812595</v>
      </c>
      <c r="S20" s="123">
        <v>3.0926371126531493</v>
      </c>
      <c r="T20" s="183"/>
    </row>
    <row r="21" spans="1:30" outlineLevel="1">
      <c r="C21" s="52" t="s">
        <v>201</v>
      </c>
      <c r="D21" s="16" t="s">
        <v>39</v>
      </c>
      <c r="E21" s="106" t="s">
        <v>59</v>
      </c>
      <c r="F21" s="124">
        <v>44348</v>
      </c>
      <c r="G21" s="21"/>
      <c r="H21" s="21"/>
      <c r="J21" s="108"/>
      <c r="K21" s="108"/>
      <c r="L21" s="108"/>
      <c r="M21" s="108"/>
      <c r="N21" s="108"/>
      <c r="O21" s="123">
        <v>2.6327349999999998</v>
      </c>
      <c r="P21" s="123">
        <v>2.6327349999999998</v>
      </c>
      <c r="Q21" s="123">
        <v>3.5008683673438505</v>
      </c>
      <c r="R21" s="123">
        <v>4.3350268621190562</v>
      </c>
      <c r="S21" s="123">
        <v>4.4201014359427759</v>
      </c>
      <c r="T21" s="183"/>
    </row>
    <row r="22" spans="1:30" outlineLevel="1">
      <c r="C22" s="52" t="s">
        <v>206</v>
      </c>
      <c r="D22" s="16" t="s">
        <v>39</v>
      </c>
      <c r="E22" s="106" t="s">
        <v>59</v>
      </c>
      <c r="F22" s="124">
        <v>46174</v>
      </c>
      <c r="G22" s="21"/>
      <c r="H22" s="21"/>
      <c r="O22" s="123">
        <v>1.7583568811672983</v>
      </c>
      <c r="P22" s="123">
        <v>1.9977480700983368</v>
      </c>
      <c r="Q22" s="123">
        <v>2.1264178791702593</v>
      </c>
      <c r="R22" s="123">
        <v>2.2404596078410743</v>
      </c>
      <c r="S22" s="123">
        <v>2.3805154215368947</v>
      </c>
      <c r="T22" s="183"/>
    </row>
    <row r="23" spans="1:30" outlineLevel="1">
      <c r="G23" s="21"/>
      <c r="H23" s="21"/>
    </row>
    <row r="24" spans="1:30" ht="10.5" outlineLevel="1">
      <c r="C24" s="8" t="s">
        <v>88</v>
      </c>
      <c r="D24" s="16" t="s">
        <v>80</v>
      </c>
      <c r="E24" s="16" t="s">
        <v>89</v>
      </c>
      <c r="F24" s="16" t="s">
        <v>90</v>
      </c>
      <c r="J24" s="91" t="str">
        <f t="shared" ref="J24:S24" si="1">IF(J9=J4,IF(COUNTA($C12:$C20)=COUNT(J12:J20),"Ok","Check"),"")</f>
        <v/>
      </c>
      <c r="K24" s="91" t="str">
        <f t="shared" si="1"/>
        <v/>
      </c>
      <c r="L24" s="91" t="str">
        <f t="shared" si="1"/>
        <v/>
      </c>
      <c r="M24" s="91" t="str">
        <f t="shared" si="1"/>
        <v/>
      </c>
      <c r="N24" s="91" t="str">
        <f t="shared" si="1"/>
        <v/>
      </c>
      <c r="O24" s="91" t="str">
        <f t="shared" si="1"/>
        <v>Ok</v>
      </c>
      <c r="P24" s="91" t="str">
        <f t="shared" si="1"/>
        <v>Ok</v>
      </c>
      <c r="Q24" s="91" t="str">
        <f t="shared" si="1"/>
        <v>Ok</v>
      </c>
      <c r="R24" s="91" t="str">
        <f t="shared" si="1"/>
        <v>Ok</v>
      </c>
      <c r="S24" s="91" t="str">
        <f t="shared" si="1"/>
        <v>Ok</v>
      </c>
      <c r="T24" s="91" t="str">
        <f t="shared" ref="T24" si="2">IF(T10=T4,IF(COUNTA($C12:$C20)=COUNT(T12:T20),"Ok","Check"),"")</f>
        <v/>
      </c>
      <c r="U24" s="24"/>
      <c r="W24" s="90" t="str">
        <f>IF(COUNTIF(J24:T24,"Check")=0,"Ok","Check")</f>
        <v>Ok</v>
      </c>
    </row>
    <row r="25" spans="1:30">
      <c r="G25" s="21"/>
      <c r="H25" s="21"/>
    </row>
    <row r="26" spans="1:30" customFormat="1" ht="13">
      <c r="A26" s="37"/>
      <c r="B26" s="43" t="s">
        <v>109</v>
      </c>
      <c r="C26" s="37"/>
      <c r="D26" s="37"/>
      <c r="E26" s="37"/>
      <c r="F26" s="38"/>
      <c r="G26" s="38"/>
      <c r="H26" s="38"/>
      <c r="I26" s="38"/>
      <c r="J26" s="39"/>
      <c r="K26" s="40"/>
      <c r="L26" s="39"/>
      <c r="M26" s="40"/>
      <c r="N26" s="39"/>
      <c r="O26" s="39"/>
      <c r="P26" s="39"/>
      <c r="Q26" s="39"/>
      <c r="R26" s="39"/>
      <c r="S26" s="39"/>
      <c r="T26" s="39"/>
      <c r="U26" s="39"/>
      <c r="V26" s="40"/>
      <c r="W26" s="40"/>
      <c r="X26" s="41"/>
      <c r="Y26" s="41"/>
      <c r="Z26" s="41"/>
      <c r="AA26" s="41"/>
      <c r="AB26" s="41"/>
      <c r="AC26" s="42"/>
      <c r="AD26" s="42"/>
    </row>
    <row r="27" spans="1:30" outlineLevel="1">
      <c r="G27" s="21"/>
      <c r="H27" s="21"/>
    </row>
    <row r="28" spans="1:30" ht="10.5" outlineLevel="1">
      <c r="C28" s="9" t="s">
        <v>110</v>
      </c>
      <c r="D28" s="21" t="s">
        <v>34</v>
      </c>
      <c r="E28" s="21" t="s">
        <v>51</v>
      </c>
      <c r="F28" s="21" t="s">
        <v>54</v>
      </c>
      <c r="G28" s="21"/>
      <c r="H28" s="21"/>
      <c r="J28" s="118" t="str">
        <f t="shared" ref="J28:T28" si="3">IF(YEAR(J$4)&gt;=FPFirstYear,IF(YEAR(J$4)&lt;=FPLastYear,J$4,""),"")</f>
        <v/>
      </c>
      <c r="K28" s="118" t="str">
        <f t="shared" si="3"/>
        <v/>
      </c>
      <c r="L28" s="118" t="str">
        <f t="shared" si="3"/>
        <v/>
      </c>
      <c r="M28" s="118" t="str">
        <f t="shared" si="3"/>
        <v/>
      </c>
      <c r="N28" s="118" t="str">
        <f t="shared" si="3"/>
        <v/>
      </c>
      <c r="O28" s="118">
        <f t="shared" si="3"/>
        <v>46539</v>
      </c>
      <c r="P28" s="118">
        <f t="shared" si="3"/>
        <v>46905</v>
      </c>
      <c r="Q28" s="118">
        <f t="shared" si="3"/>
        <v>47270</v>
      </c>
      <c r="R28" s="118">
        <f t="shared" si="3"/>
        <v>47635</v>
      </c>
      <c r="S28" s="118">
        <f t="shared" si="3"/>
        <v>48000</v>
      </c>
      <c r="T28" s="118" t="str">
        <f t="shared" si="3"/>
        <v/>
      </c>
    </row>
    <row r="29" spans="1:30" outlineLevel="1">
      <c r="G29" s="21"/>
      <c r="H29" s="21"/>
    </row>
    <row r="30" spans="1:30" outlineLevel="1">
      <c r="C30" s="158" t="s">
        <v>61</v>
      </c>
      <c r="D30" s="16" t="s">
        <v>39</v>
      </c>
      <c r="E30" s="106" t="s">
        <v>59</v>
      </c>
      <c r="F30" s="124">
        <v>46174</v>
      </c>
      <c r="G30" s="21"/>
      <c r="H30" s="21"/>
      <c r="J30" s="108"/>
      <c r="K30" s="108"/>
      <c r="L30" s="108"/>
      <c r="M30" s="108"/>
      <c r="N30" s="123"/>
      <c r="O30" s="123">
        <v>11.118533963725287</v>
      </c>
      <c r="P30" s="123">
        <v>10.793915778707442</v>
      </c>
      <c r="Q30" s="123">
        <v>10.682662750790376</v>
      </c>
      <c r="R30" s="123">
        <v>10.682662750790376</v>
      </c>
      <c r="S30" s="123">
        <v>10.682662750790376</v>
      </c>
      <c r="T30" s="183"/>
      <c r="W30" s="164"/>
    </row>
    <row r="31" spans="1:30" outlineLevel="1">
      <c r="C31" s="158" t="s">
        <v>70</v>
      </c>
      <c r="D31" s="16" t="str">
        <f>D30</f>
        <v>AER</v>
      </c>
      <c r="E31" s="106" t="s">
        <v>59</v>
      </c>
      <c r="F31" s="124">
        <v>45444</v>
      </c>
      <c r="G31" s="21"/>
      <c r="H31" s="21"/>
      <c r="J31" s="108"/>
      <c r="K31" s="108"/>
      <c r="L31" s="108"/>
      <c r="M31" s="108"/>
      <c r="N31" s="123"/>
      <c r="O31" s="123">
        <v>0.31</v>
      </c>
      <c r="P31" s="123">
        <v>1.23</v>
      </c>
      <c r="Q31" s="123">
        <v>1.66</v>
      </c>
      <c r="R31" s="123">
        <v>2.11</v>
      </c>
      <c r="S31" s="123">
        <v>1.94</v>
      </c>
      <c r="T31" s="183"/>
      <c r="W31" s="164"/>
    </row>
    <row r="32" spans="1:30" outlineLevel="1">
      <c r="C32" s="158"/>
      <c r="D32" s="16" t="str">
        <f>D31</f>
        <v>AER</v>
      </c>
      <c r="E32" s="106" t="s">
        <v>59</v>
      </c>
      <c r="F32" s="124">
        <v>46174</v>
      </c>
      <c r="G32" s="21"/>
      <c r="H32" s="21"/>
      <c r="J32" s="108"/>
      <c r="K32" s="108"/>
      <c r="L32" s="108"/>
      <c r="M32" s="108"/>
      <c r="N32" s="123"/>
      <c r="O32" s="123"/>
      <c r="P32" s="123"/>
      <c r="Q32" s="123"/>
      <c r="R32" s="123"/>
      <c r="S32" s="123"/>
      <c r="T32" s="123"/>
    </row>
    <row r="33" spans="1:30" outlineLevel="1">
      <c r="C33" s="158"/>
      <c r="D33" s="16" t="s">
        <v>39</v>
      </c>
      <c r="E33" s="106" t="s">
        <v>59</v>
      </c>
      <c r="F33" s="124">
        <v>46174</v>
      </c>
      <c r="G33" s="21"/>
      <c r="H33" s="21"/>
      <c r="J33" s="108"/>
      <c r="K33" s="108"/>
      <c r="L33" s="108"/>
      <c r="M33" s="108"/>
      <c r="N33" s="123"/>
      <c r="O33" s="123"/>
      <c r="P33" s="123"/>
      <c r="Q33" s="123"/>
      <c r="R33" s="123"/>
      <c r="S33" s="123"/>
      <c r="T33" s="123"/>
    </row>
    <row r="34" spans="1:30" outlineLevel="1">
      <c r="C34" s="158"/>
      <c r="D34" s="16" t="s">
        <v>39</v>
      </c>
      <c r="E34" s="106" t="s">
        <v>59</v>
      </c>
      <c r="F34" s="124">
        <v>46174</v>
      </c>
      <c r="G34" s="21"/>
      <c r="H34" s="21"/>
      <c r="J34" s="108"/>
      <c r="K34" s="108"/>
      <c r="L34" s="108"/>
      <c r="M34" s="108"/>
      <c r="N34" s="123"/>
      <c r="O34" s="123"/>
      <c r="P34" s="123"/>
      <c r="Q34" s="123"/>
      <c r="R34" s="123"/>
      <c r="S34" s="123"/>
      <c r="T34" s="123"/>
    </row>
    <row r="35" spans="1:30" outlineLevel="1">
      <c r="G35" s="21"/>
      <c r="H35" s="21"/>
    </row>
    <row r="36" spans="1:30" ht="10.5" outlineLevel="1">
      <c r="C36" s="8" t="s">
        <v>88</v>
      </c>
      <c r="D36" s="16" t="s">
        <v>80</v>
      </c>
      <c r="E36" s="16" t="s">
        <v>89</v>
      </c>
      <c r="F36" s="16" t="s">
        <v>90</v>
      </c>
      <c r="J36" s="91" t="str">
        <f t="shared" ref="J36:T36" si="4">IF(J28=J4,IF(COUNTA($C30:$C34)=COUNT(J30:J34),"Ok","Check"),"")</f>
        <v/>
      </c>
      <c r="K36" s="91" t="str">
        <f t="shared" si="4"/>
        <v/>
      </c>
      <c r="L36" s="91" t="str">
        <f t="shared" si="4"/>
        <v/>
      </c>
      <c r="M36" s="91" t="str">
        <f t="shared" si="4"/>
        <v/>
      </c>
      <c r="N36" s="91" t="str">
        <f t="shared" si="4"/>
        <v/>
      </c>
      <c r="O36" s="91" t="str">
        <f t="shared" si="4"/>
        <v>Ok</v>
      </c>
      <c r="P36" s="91" t="str">
        <f t="shared" si="4"/>
        <v>Ok</v>
      </c>
      <c r="Q36" s="91" t="str">
        <f t="shared" si="4"/>
        <v>Ok</v>
      </c>
      <c r="R36" s="91" t="str">
        <f t="shared" si="4"/>
        <v>Ok</v>
      </c>
      <c r="S36" s="91" t="str">
        <f t="shared" si="4"/>
        <v>Ok</v>
      </c>
      <c r="T36" s="91" t="str">
        <f t="shared" si="4"/>
        <v/>
      </c>
      <c r="U36" s="24"/>
      <c r="W36" s="90" t="str">
        <f>IF(COUNTIF(J36:T36,"Check")=0,"Ok","Check")</f>
        <v>Ok</v>
      </c>
    </row>
    <row r="37" spans="1:30">
      <c r="G37" s="21"/>
      <c r="H37" s="21"/>
    </row>
    <row r="38" spans="1:30" customFormat="1" ht="13">
      <c r="A38" s="37"/>
      <c r="B38" s="43" t="s">
        <v>111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 outlineLevel="1">
      <c r="G39" s="21"/>
      <c r="H39" s="21"/>
    </row>
    <row r="40" spans="1:30" ht="10.5" outlineLevel="1">
      <c r="C40" s="9" t="s">
        <v>112</v>
      </c>
      <c r="D40" s="21" t="s">
        <v>34</v>
      </c>
      <c r="E40" s="21" t="s">
        <v>51</v>
      </c>
      <c r="F40" s="21" t="s">
        <v>54</v>
      </c>
      <c r="G40" s="21"/>
      <c r="H40" s="21"/>
      <c r="J40" s="118" t="str">
        <f t="shared" ref="J40:T40" si="5">IF(YEAR(J$4)&gt;=FPFirstYear,IF(YEAR(J$4)&lt;=FPLastYear,J$4,""),"")</f>
        <v/>
      </c>
      <c r="K40" s="118" t="str">
        <f t="shared" si="5"/>
        <v/>
      </c>
      <c r="L40" s="118" t="str">
        <f t="shared" si="5"/>
        <v/>
      </c>
      <c r="M40" s="118" t="str">
        <f t="shared" si="5"/>
        <v/>
      </c>
      <c r="N40" s="118" t="str">
        <f t="shared" si="5"/>
        <v/>
      </c>
      <c r="O40" s="118">
        <f t="shared" si="5"/>
        <v>46539</v>
      </c>
      <c r="P40" s="118">
        <f t="shared" si="5"/>
        <v>46905</v>
      </c>
      <c r="Q40" s="118">
        <f t="shared" si="5"/>
        <v>47270</v>
      </c>
      <c r="R40" s="118">
        <f t="shared" si="5"/>
        <v>47635</v>
      </c>
      <c r="S40" s="118">
        <f t="shared" si="5"/>
        <v>48000</v>
      </c>
      <c r="T40" s="118" t="str">
        <f t="shared" si="5"/>
        <v/>
      </c>
    </row>
    <row r="41" spans="1:30" outlineLevel="1">
      <c r="G41" s="21"/>
      <c r="H41" s="21"/>
    </row>
    <row r="42" spans="1:30" outlineLevel="1">
      <c r="C42" s="15" t="s">
        <v>113</v>
      </c>
      <c r="D42" s="16" t="s">
        <v>114</v>
      </c>
      <c r="E42" s="16" t="s">
        <v>59</v>
      </c>
      <c r="F42" s="152">
        <f>DATE(PPLastYear,MONTH('Input|General'!$G$9),1)</f>
        <v>46174</v>
      </c>
      <c r="G42" s="21"/>
      <c r="H42" s="21"/>
      <c r="J42" s="123"/>
      <c r="K42" s="123"/>
      <c r="L42" s="123"/>
      <c r="M42" s="123"/>
      <c r="N42" s="123"/>
      <c r="O42" s="123">
        <f>'[1]PTRM input'!$G$340</f>
        <v>2.9864334303291766</v>
      </c>
      <c r="P42" s="123">
        <f>'[1]PTRM input'!$H$340</f>
        <v>3.1326963142880633</v>
      </c>
      <c r="Q42" s="123">
        <f>'[1]PTRM input'!$I$340</f>
        <v>3.3131286135674807</v>
      </c>
      <c r="R42" s="123">
        <f>'[1]PTRM input'!$J$340</f>
        <v>3.5039626861955711</v>
      </c>
      <c r="S42" s="123">
        <f>'[1]PTRM input'!$K$340</f>
        <v>3.6900946653676079</v>
      </c>
      <c r="T42" s="183"/>
    </row>
    <row r="43" spans="1:30" outlineLevel="1">
      <c r="G43" s="21"/>
      <c r="H43" s="21"/>
    </row>
    <row r="44" spans="1:30" ht="10.5" outlineLevel="1">
      <c r="C44" s="8" t="s">
        <v>88</v>
      </c>
      <c r="D44" s="16" t="s">
        <v>80</v>
      </c>
      <c r="E44" s="16" t="s">
        <v>89</v>
      </c>
      <c r="F44" s="16" t="s">
        <v>90</v>
      </c>
      <c r="J44" s="91" t="str">
        <f t="shared" ref="J44:T44" si="6">IF(J40=J4,IF(ISBLANK(J42),"Check","Ok"),"")</f>
        <v/>
      </c>
      <c r="K44" s="91" t="str">
        <f t="shared" si="6"/>
        <v/>
      </c>
      <c r="L44" s="91" t="str">
        <f t="shared" si="6"/>
        <v/>
      </c>
      <c r="M44" s="91" t="str">
        <f t="shared" si="6"/>
        <v/>
      </c>
      <c r="N44" s="91" t="str">
        <f t="shared" si="6"/>
        <v/>
      </c>
      <c r="O44" s="91" t="str">
        <f t="shared" si="6"/>
        <v>Ok</v>
      </c>
      <c r="P44" s="91" t="str">
        <f t="shared" si="6"/>
        <v>Ok</v>
      </c>
      <c r="Q44" s="91" t="str">
        <f t="shared" si="6"/>
        <v>Ok</v>
      </c>
      <c r="R44" s="91" t="str">
        <f t="shared" si="6"/>
        <v>Ok</v>
      </c>
      <c r="S44" s="91" t="str">
        <f t="shared" si="6"/>
        <v>Ok</v>
      </c>
      <c r="T44" s="91" t="str">
        <f t="shared" si="6"/>
        <v/>
      </c>
      <c r="U44" s="24"/>
      <c r="W44" s="90" t="str">
        <f>IF(COUNTIF(J44:T44,"Check")=0,"Ok","Check")</f>
        <v>Ok</v>
      </c>
    </row>
    <row r="45" spans="1:30">
      <c r="G45" s="21"/>
      <c r="H45" s="21"/>
    </row>
    <row r="46" spans="1:30" customFormat="1" ht="13">
      <c r="A46" s="37"/>
      <c r="B46" s="43" t="s">
        <v>22</v>
      </c>
      <c r="C46" s="37"/>
      <c r="D46" s="37"/>
      <c r="E46" s="37"/>
      <c r="F46" s="38"/>
      <c r="G46" s="38"/>
      <c r="H46" s="38"/>
      <c r="I46" s="38"/>
      <c r="J46" s="39"/>
      <c r="K46" s="40"/>
      <c r="L46" s="39"/>
      <c r="M46" s="40"/>
      <c r="N46" s="39"/>
      <c r="O46" s="39"/>
      <c r="P46" s="39"/>
      <c r="Q46" s="39"/>
      <c r="R46" s="39"/>
      <c r="S46" s="39"/>
      <c r="T46" s="39"/>
      <c r="U46" s="39"/>
      <c r="V46" s="40"/>
      <c r="W46" s="40"/>
      <c r="X46" s="41"/>
      <c r="Y46" s="41"/>
      <c r="Z46" s="41"/>
      <c r="AA46" s="41"/>
      <c r="AB46" s="41"/>
      <c r="AC46" s="42"/>
      <c r="AD46" s="42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  <row r="55" spans="7:8" hidden="1">
      <c r="G55" s="21"/>
      <c r="H55" s="21"/>
    </row>
    <row r="56" spans="7:8" hidden="1">
      <c r="G56" s="21"/>
      <c r="H56" s="21"/>
    </row>
    <row r="57" spans="7:8"/>
    <row r="58" spans="7:8"/>
  </sheetData>
  <mergeCells count="1">
    <mergeCell ref="N3:S3"/>
  </mergeCells>
  <conditionalFormatting sqref="J30:M34 O33:O34">
    <cfRule type="expression" dxfId="55" priority="193">
      <formula>J$28=J$4</formula>
    </cfRule>
  </conditionalFormatting>
  <conditionalFormatting sqref="J9:S9 J28:S28 J40:S40">
    <cfRule type="expression" dxfId="54" priority="207">
      <formula>J$9=J$4</formula>
    </cfRule>
  </conditionalFormatting>
  <conditionalFormatting sqref="J24:T24">
    <cfRule type="cellIs" dxfId="53" priority="20" operator="equal">
      <formula>"Check"</formula>
    </cfRule>
    <cfRule type="cellIs" dxfId="52" priority="21" operator="equal">
      <formula>"Ok"</formula>
    </cfRule>
  </conditionalFormatting>
  <conditionalFormatting sqref="J36:T36">
    <cfRule type="cellIs" dxfId="51" priority="16" operator="equal">
      <formula>"Check"</formula>
    </cfRule>
    <cfRule type="cellIs" dxfId="50" priority="17" operator="equal">
      <formula>"Ok"</formula>
    </cfRule>
  </conditionalFormatting>
  <conditionalFormatting sqref="J42:T42">
    <cfRule type="expression" dxfId="49" priority="197">
      <formula>J$40=J$4</formula>
    </cfRule>
  </conditionalFormatting>
  <conditionalFormatting sqref="J44:T44">
    <cfRule type="cellIs" dxfId="48" priority="11" operator="equal">
      <formula>"Check"</formula>
    </cfRule>
    <cfRule type="cellIs" dxfId="47" priority="12" operator="equal">
      <formula>"Ok"</formula>
    </cfRule>
  </conditionalFormatting>
  <conditionalFormatting sqref="O10:S11 J12:S21 O22:S22 N30:S34">
    <cfRule type="expression" dxfId="46" priority="208">
      <formula>J$9=J$4</formula>
    </cfRule>
  </conditionalFormatting>
  <conditionalFormatting sqref="S1">
    <cfRule type="cellIs" dxfId="45" priority="29" operator="equal">
      <formula>"Check"</formula>
    </cfRule>
    <cfRule type="cellIs" dxfId="44" priority="30" operator="equal">
      <formula>"Ok"</formula>
    </cfRule>
  </conditionalFormatting>
  <conditionalFormatting sqref="T10:T22 T30:T34">
    <cfRule type="expression" dxfId="43" priority="3">
      <formula>T$10=T$4</formula>
    </cfRule>
  </conditionalFormatting>
  <conditionalFormatting sqref="T28 T40">
    <cfRule type="expression" dxfId="42" priority="27">
      <formula>T$10=T$4</formula>
    </cfRule>
  </conditionalFormatting>
  <conditionalFormatting sqref="V1">
    <cfRule type="cellIs" dxfId="41" priority="31" operator="equal">
      <formula>"Check"</formula>
    </cfRule>
    <cfRule type="cellIs" dxfId="40" priority="32" operator="equal">
      <formula>"Ok"</formula>
    </cfRule>
  </conditionalFormatting>
  <conditionalFormatting sqref="W24">
    <cfRule type="cellIs" dxfId="39" priority="22" operator="equal">
      <formula>"Check"</formula>
    </cfRule>
    <cfRule type="cellIs" dxfId="38" priority="23" operator="equal">
      <formula>"Ok"</formula>
    </cfRule>
  </conditionalFormatting>
  <conditionalFormatting sqref="W36">
    <cfRule type="cellIs" dxfId="37" priority="18" operator="equal">
      <formula>"Check"</formula>
    </cfRule>
    <cfRule type="cellIs" dxfId="36" priority="19" operator="equal">
      <formula>"Ok"</formula>
    </cfRule>
  </conditionalFormatting>
  <conditionalFormatting sqref="W44">
    <cfRule type="cellIs" dxfId="35" priority="13" operator="equal">
      <formula>"Check"</formula>
    </cfRule>
    <cfRule type="cellIs" dxfId="34" priority="14" operator="equal">
      <formula>"Ok"</formula>
    </cfRule>
  </conditionalFormatting>
  <dataValidations count="2">
    <dataValidation type="list" allowBlank="1" showInputMessage="1" showErrorMessage="1" sqref="F25 F35 F37 F45 F23" xr:uid="{00000000-0002-0000-0700-000000000000}">
      <formula1>"Real 2010,Real 2011,Real 2012,Real 2013,Real 2014,Real 2015,Nominal"</formula1>
    </dataValidation>
    <dataValidation type="list" allowBlank="1" showInputMessage="1" showErrorMessage="1" sqref="U30:U35 I42 U25 I25 I30:I35 U37 I37 U45 I45 U12:U23 I23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U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E42 E30:E34 E10:E22</xm:sqref>
        </x14:dataValidation>
        <x14:dataValidation type="list" allowBlank="1" showInputMessage="1" showErrorMessage="1" xr:uid="{00000000-0002-0000-0700-000004000000}">
          <x14:formula1>
            <xm:f>'Lookup|Tables'!$H$41:$H$60</xm:f>
          </x14:formula1>
          <xm:sqref>F30:F34 F42 F10:F22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CCFFCC"/>
  </sheetPr>
  <dimension ref="A1:AM194"/>
  <sheetViews>
    <sheetView showGridLines="0" topLeftCell="D45" zoomScaleNormal="100" workbookViewId="0">
      <selection activeCell="U104" sqref="U104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44140625" style="16" customWidth="1"/>
    <col min="10" max="24" width="10.6640625" style="8" customWidth="1"/>
    <col min="25" max="39" width="10.44140625" style="8" hidden="1" customWidth="1"/>
    <col min="40" max="16384" width="10.44140625" style="8" hidden="1"/>
  </cols>
  <sheetData>
    <row r="1" spans="1:31" s="32" customFormat="1" ht="15.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25</v>
      </c>
      <c r="L1" s="33" t="s">
        <v>26</v>
      </c>
      <c r="M1" s="50" t="s">
        <v>27</v>
      </c>
      <c r="N1" s="11" t="s">
        <v>28</v>
      </c>
      <c r="O1" s="12" t="s">
        <v>29</v>
      </c>
      <c r="R1" s="33" t="s">
        <v>30</v>
      </c>
      <c r="S1" s="34" t="s">
        <v>90</v>
      </c>
      <c r="T1" s="34"/>
      <c r="V1" s="134" t="s">
        <v>31</v>
      </c>
      <c r="W1" s="34" t="str">
        <f>'Check|List'!$S$1</f>
        <v>Ok</v>
      </c>
    </row>
    <row r="2" spans="1:31" s="36" customFormat="1" ht="13.5" thickBot="1">
      <c r="B2" s="35" t="str">
        <f>Index!$C$12</f>
        <v>Calc | Opex Forecast</v>
      </c>
      <c r="C2" s="35"/>
      <c r="D2" s="35"/>
      <c r="E2" s="35"/>
      <c r="F2" s="59"/>
      <c r="G2" s="59"/>
      <c r="H2" s="59"/>
      <c r="I2" s="59"/>
    </row>
    <row r="3" spans="1:31" s="60" customFormat="1" ht="10.5">
      <c r="D3" s="130"/>
      <c r="E3" s="130"/>
      <c r="F3" s="130"/>
      <c r="G3" s="130"/>
      <c r="H3" s="130"/>
      <c r="I3" s="130"/>
      <c r="J3" s="125" t="s">
        <v>41</v>
      </c>
      <c r="K3" s="125"/>
      <c r="L3" s="125"/>
      <c r="M3" s="130"/>
      <c r="N3" s="185"/>
      <c r="O3" s="185"/>
      <c r="P3" s="185"/>
      <c r="Q3" s="185"/>
      <c r="R3" s="185"/>
      <c r="S3" s="185"/>
      <c r="T3" s="130"/>
      <c r="U3" s="61"/>
      <c r="V3" s="61"/>
      <c r="W3" s="61"/>
      <c r="X3" s="61"/>
      <c r="Y3" s="61"/>
      <c r="Z3" s="61"/>
      <c r="AA3" s="61"/>
    </row>
    <row r="4" spans="1:31" customFormat="1">
      <c r="A4" s="62"/>
      <c r="B4" s="62"/>
      <c r="C4" s="62"/>
      <c r="D4" s="63" t="s">
        <v>34</v>
      </c>
      <c r="E4" s="63" t="s">
        <v>51</v>
      </c>
      <c r="F4" s="64" t="s">
        <v>54</v>
      </c>
      <c r="G4" s="65"/>
      <c r="H4" s="65"/>
      <c r="I4" s="65"/>
      <c r="J4" s="111">
        <f>DATE(PPFirstYear,MONTH('Input|General'!$G$9),1)</f>
        <v>44713</v>
      </c>
      <c r="K4" s="111">
        <f>DATE(PPFirstYear+1,MONTH('Input|General'!$G$9),1)</f>
        <v>45078</v>
      </c>
      <c r="L4" s="111">
        <f>DATE(PPFirstYear+2,MONTH('Input|General'!$G$9),1)</f>
        <v>45444</v>
      </c>
      <c r="M4" s="111">
        <f>DATE(PPFirstYear+3,MONTH('Input|General'!$G$9),1)</f>
        <v>45809</v>
      </c>
      <c r="N4" s="111">
        <f>DATE(PPFirstYear+4,MONTH('Input|General'!$G$9),1)</f>
        <v>46174</v>
      </c>
      <c r="O4" s="111">
        <f>DATE(PPFirstYear+5,MONTH('Input|General'!$G$9),1)</f>
        <v>46539</v>
      </c>
      <c r="P4" s="111">
        <f>DATE(PPFirstYear+6,MONTH('Input|General'!$G$9),1)</f>
        <v>46905</v>
      </c>
      <c r="Q4" s="111">
        <f>DATE(PPFirstYear+7,MONTH('Input|General'!$G$9),1)</f>
        <v>47270</v>
      </c>
      <c r="R4" s="111">
        <f>DATE(PPFirstYear+8,MONTH('Input|General'!$G$9),1)</f>
        <v>47635</v>
      </c>
      <c r="S4" s="111">
        <f>DATE(PPFirstYear+9,MONTH('Input|General'!$G$9),1)</f>
        <v>48000</v>
      </c>
      <c r="T4" s="111">
        <f>DATE(PPFirstYear+10,MONTH('Input|General'!$G$9),1)</f>
        <v>48366</v>
      </c>
      <c r="U4" s="66"/>
      <c r="V4" s="66"/>
      <c r="W4" s="67"/>
      <c r="X4" s="67"/>
    </row>
    <row r="5" spans="1:31" s="6" customFormat="1" ht="3" customHeight="1">
      <c r="D5" s="27"/>
      <c r="E5" s="27"/>
      <c r="F5" s="27"/>
      <c r="G5" s="27"/>
      <c r="H5" s="27"/>
      <c r="I5" s="27"/>
    </row>
    <row r="6" spans="1:31" s="6" customFormat="1" ht="9.25" customHeight="1">
      <c r="D6" s="27"/>
      <c r="E6" s="27"/>
      <c r="F6" s="27"/>
      <c r="G6" s="27"/>
      <c r="H6" s="27"/>
      <c r="I6" s="27"/>
    </row>
    <row r="7" spans="1:31" s="6" customFormat="1" ht="3" customHeight="1">
      <c r="D7" s="27"/>
      <c r="E7" s="27"/>
      <c r="F7" s="27"/>
      <c r="G7" s="27"/>
      <c r="H7" s="27"/>
      <c r="I7" s="27"/>
    </row>
    <row r="8" spans="1:31" customFormat="1" ht="13">
      <c r="A8" s="37"/>
      <c r="B8" s="43" t="s">
        <v>115</v>
      </c>
      <c r="C8" s="37"/>
      <c r="D8" s="37"/>
      <c r="E8" s="58" t="s">
        <v>59</v>
      </c>
      <c r="F8" s="149">
        <f>DATE(PPLastYear,MONTH('Input|General'!$G$9),1)</f>
        <v>46174</v>
      </c>
      <c r="G8" s="38"/>
      <c r="H8" s="38"/>
      <c r="I8" s="38"/>
      <c r="J8" s="39"/>
      <c r="K8" s="40"/>
      <c r="L8" s="39"/>
      <c r="M8" s="40"/>
      <c r="N8" s="39"/>
      <c r="O8" s="39"/>
      <c r="P8" s="39"/>
      <c r="Q8" s="39"/>
      <c r="R8" s="39"/>
      <c r="S8" s="39"/>
      <c r="T8" s="39"/>
      <c r="U8" s="39"/>
      <c r="V8" s="39"/>
      <c r="W8" s="40"/>
      <c r="X8" s="40"/>
      <c r="Y8" s="41"/>
      <c r="Z8" s="41"/>
      <c r="AA8" s="41"/>
      <c r="AB8" s="41"/>
      <c r="AC8" s="41"/>
      <c r="AD8" s="42"/>
      <c r="AE8" s="42"/>
    </row>
    <row r="9" spans="1:31" outlineLevel="1"/>
    <row r="10" spans="1:31" ht="10.5" outlineLevel="1">
      <c r="C10" s="9"/>
      <c r="D10" s="21" t="s">
        <v>34</v>
      </c>
      <c r="E10" s="21" t="s">
        <v>51</v>
      </c>
      <c r="F10" s="21" t="s">
        <v>54</v>
      </c>
      <c r="J10" s="118">
        <f t="shared" ref="J10:S10" si="0">IF(YEAR(J$4)&lt;=PPLastYear,J$4,"")</f>
        <v>44713</v>
      </c>
      <c r="K10" s="118">
        <f t="shared" si="0"/>
        <v>45078</v>
      </c>
      <c r="L10" s="118">
        <f t="shared" si="0"/>
        <v>45444</v>
      </c>
      <c r="M10" s="118">
        <f t="shared" si="0"/>
        <v>45809</v>
      </c>
      <c r="N10" s="118">
        <f t="shared" si="0"/>
        <v>46174</v>
      </c>
      <c r="O10" s="118" t="str">
        <f t="shared" si="0"/>
        <v/>
      </c>
      <c r="P10" s="118" t="str">
        <f t="shared" si="0"/>
        <v/>
      </c>
      <c r="Q10" s="118" t="str">
        <f t="shared" si="0"/>
        <v/>
      </c>
      <c r="R10" s="118" t="str">
        <f t="shared" si="0"/>
        <v/>
      </c>
      <c r="S10" s="118" t="str">
        <f t="shared" si="0"/>
        <v/>
      </c>
      <c r="T10" s="118"/>
    </row>
    <row r="11" spans="1:31" outlineLevel="1">
      <c r="C11" s="15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31" outlineLevel="1">
      <c r="C12" s="15" t="s">
        <v>116</v>
      </c>
      <c r="D12" s="72" t="s">
        <v>117</v>
      </c>
      <c r="E12" s="16" t="str">
        <f>'Input|Reported opex'!E58</f>
        <v>$millions</v>
      </c>
      <c r="F12" s="116" t="str">
        <f>'Input|Reported opex'!F58</f>
        <v>nominal</v>
      </c>
      <c r="J12" s="73">
        <f>IF(YEAR(J$4)=BaseYear,'Input|Reported opex'!J47,0)</f>
        <v>0</v>
      </c>
      <c r="K12" s="73">
        <f>IF(YEAR(K$4)=BaseYear,'Input|Reported opex'!K47,0)</f>
        <v>239.6980491736461</v>
      </c>
      <c r="L12" s="73">
        <f>IF(YEAR(L$4)=BaseYear,'Input|Reported opex'!L47,0)</f>
        <v>0</v>
      </c>
      <c r="M12" s="73">
        <f>IF(YEAR(M$4)=BaseYear,'Input|Reported opex'!M47,0)</f>
        <v>0</v>
      </c>
      <c r="N12" s="73">
        <f>IF(YEAR(N$4)=BaseYear,'Input|Reported opex'!N47,0)</f>
        <v>0</v>
      </c>
      <c r="O12" s="73">
        <f>IF(YEAR(O$4)=BaseYear,'Input|Reported opex'!O47,0)</f>
        <v>0</v>
      </c>
      <c r="P12" s="73">
        <f>IF(YEAR(P$4)=BaseYear,'Input|Reported opex'!P47,0)</f>
        <v>0</v>
      </c>
      <c r="Q12" s="73">
        <f>IF(YEAR(Q$4)=BaseYear,'Input|Reported opex'!Q47,0)</f>
        <v>0</v>
      </c>
      <c r="R12" s="73">
        <f>IF(YEAR(R$4)=BaseYear,'Input|Reported opex'!R47,0)</f>
        <v>0</v>
      </c>
      <c r="S12" s="73">
        <f>IF(YEAR(S$4)=BaseYear,'Input|Reported opex'!S47,0)</f>
        <v>0</v>
      </c>
      <c r="T12" s="73">
        <f>IF(YEAR(T$4)=BaseYear,'Input|Reported opex'!T47,0)</f>
        <v>0</v>
      </c>
    </row>
    <row r="13" spans="1:31" outlineLevel="1">
      <c r="C13" s="15" t="s">
        <v>116</v>
      </c>
      <c r="D13" s="16" t="s">
        <v>50</v>
      </c>
      <c r="E13" s="16" t="str">
        <f>$E$8</f>
        <v>$millions</v>
      </c>
      <c r="F13" s="116">
        <f>$F$8</f>
        <v>46174</v>
      </c>
      <c r="J13" s="73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3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270.74007444554258</v>
      </c>
      <c r="L13" s="73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73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3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3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3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3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3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3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3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118</v>
      </c>
      <c r="D14" s="72" t="s">
        <v>117</v>
      </c>
      <c r="E14" s="16" t="str">
        <f>'Input|Reported opex'!E15</f>
        <v>$millions</v>
      </c>
      <c r="F14" s="116">
        <f>'Input|Reported opex'!F15</f>
        <v>44348</v>
      </c>
      <c r="J14" s="73">
        <f>IF(YEAR(J$4)=BaseYear,'Input|Reported opex'!J15,0)</f>
        <v>0</v>
      </c>
      <c r="K14" s="73">
        <f>IF(YEAR(K$4)=BaseYear,'Input|Reported opex'!K15,0)</f>
        <v>241.15913674009724</v>
      </c>
      <c r="L14" s="73">
        <f>IF(YEAR(L$4)=BaseYear,'Input|Reported opex'!L15,0)</f>
        <v>0</v>
      </c>
      <c r="M14" s="73">
        <f>IF(YEAR(M$4)=BaseYear,'Input|Reported opex'!M15,0)</f>
        <v>0</v>
      </c>
      <c r="N14" s="73">
        <f>IF(YEAR(N$4)=BaseYear,'Input|Reported opex'!N15,0)</f>
        <v>0</v>
      </c>
      <c r="O14" s="73">
        <f>IF(YEAR(O$4)=BaseYear,'Input|Reported opex'!O15,0)</f>
        <v>0</v>
      </c>
      <c r="P14" s="73">
        <f>IF(YEAR(P$4)=BaseYear,'Input|Reported opex'!P15,0)</f>
        <v>0</v>
      </c>
      <c r="Q14" s="73">
        <f>IF(YEAR(Q$4)=BaseYear,'Input|Reported opex'!Q15,0)</f>
        <v>0</v>
      </c>
      <c r="R14" s="73">
        <f>IF(YEAR(R$4)=BaseYear,'Input|Reported opex'!R15,0)</f>
        <v>0</v>
      </c>
      <c r="S14" s="73">
        <f>IF(YEAR(S$4)=BaseYear,'Input|Reported opex'!S15,0)</f>
        <v>0</v>
      </c>
      <c r="T14" s="73"/>
    </row>
    <row r="15" spans="1:31" outlineLevel="1">
      <c r="C15" s="15" t="s">
        <v>118</v>
      </c>
      <c r="D15" s="16" t="s">
        <v>50</v>
      </c>
      <c r="E15" s="16" t="str">
        <f>$E$8</f>
        <v>$millions</v>
      </c>
      <c r="F15" s="116">
        <f>$F$8</f>
        <v>46174</v>
      </c>
      <c r="J15" s="73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3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297.71352944066939</v>
      </c>
      <c r="L15" s="73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73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3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3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3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3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3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3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3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119</v>
      </c>
      <c r="D16" s="72" t="s">
        <v>117</v>
      </c>
      <c r="E16" s="16" t="str">
        <f>'Input|Reported opex'!E15</f>
        <v>$millions</v>
      </c>
      <c r="F16" s="116">
        <f>'Input|Reported opex'!F15</f>
        <v>44348</v>
      </c>
      <c r="J16" s="73">
        <f>IF(YEAR(J$4)=PPLastYear,'Input|Reported opex'!J15,0)</f>
        <v>0</v>
      </c>
      <c r="K16" s="73">
        <f>IF(YEAR(K$4)=PPLastYear,'Input|Reported opex'!K15,0)</f>
        <v>0</v>
      </c>
      <c r="L16" s="73">
        <f>IF(YEAR(L$4)=PPLastYear,'Input|Reported opex'!L15,0)</f>
        <v>0</v>
      </c>
      <c r="M16" s="73">
        <f>IF(YEAR(M$4)=PPLastYear,'Input|Reported opex'!M15,0)</f>
        <v>0</v>
      </c>
      <c r="N16" s="73">
        <f>IF(YEAR(N$4)=PPLastYear,'Input|Reported opex'!N15,0)</f>
        <v>256.95930981173541</v>
      </c>
      <c r="O16" s="73">
        <f>IF(YEAR(O$4)=PPLastYear,'Input|Reported opex'!O15,0)</f>
        <v>0</v>
      </c>
      <c r="P16" s="73">
        <f>IF(YEAR(P$4)=PPLastYear,'Input|Reported opex'!P15,0)</f>
        <v>0</v>
      </c>
      <c r="Q16" s="73">
        <f>IF(YEAR(Q$4)=PPLastYear,'Input|Reported opex'!Q15,0)</f>
        <v>0</v>
      </c>
      <c r="R16" s="73">
        <f>IF(YEAR(R$4)=PPLastYear,'Input|Reported opex'!R15,0)</f>
        <v>0</v>
      </c>
      <c r="S16" s="73">
        <f>IF(YEAR(S$4)=PPLastYear,'Input|Reported opex'!S15,0)</f>
        <v>0</v>
      </c>
      <c r="T16" s="73"/>
    </row>
    <row r="17" spans="3:20" outlineLevel="1">
      <c r="C17" s="15" t="s">
        <v>119</v>
      </c>
      <c r="D17" s="16" t="s">
        <v>50</v>
      </c>
      <c r="E17" s="16" t="str">
        <f>$E$8</f>
        <v>$millions</v>
      </c>
      <c r="F17" s="116">
        <f>$F$8</f>
        <v>46174</v>
      </c>
      <c r="J17" s="73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3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3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3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3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317.2190118143285</v>
      </c>
      <c r="O17" s="73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3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3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3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3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3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16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3:20" outlineLevel="1">
      <c r="C19" s="15" t="s">
        <v>120</v>
      </c>
      <c r="D19" s="72" t="s">
        <v>117</v>
      </c>
      <c r="E19" s="16" t="str">
        <f>'Input|Reported opex'!E65</f>
        <v>$millions</v>
      </c>
      <c r="F19" s="116" t="str">
        <f>'Input|Reported opex'!F58</f>
        <v>nominal</v>
      </c>
      <c r="J19" s="73">
        <f>IF(YEAR(J$4)=BaseYear,'Input|Reported opex'!J58,0)</f>
        <v>0</v>
      </c>
      <c r="K19" s="73">
        <f>IF(YEAR(K$4)=BaseYear,'Input|Reported opex'!K58,0)</f>
        <v>7.415165</v>
      </c>
      <c r="L19" s="73">
        <f>IF(YEAR(L$4)=BaseYear,'Input|Reported opex'!L58,0)</f>
        <v>0</v>
      </c>
      <c r="M19" s="73">
        <f>IF(YEAR(M$4)=BaseYear,'Input|Reported opex'!M58,0)</f>
        <v>0</v>
      </c>
      <c r="N19" s="73">
        <f>IF(YEAR(N$4)=BaseYear,'Input|Reported opex'!N58,0)</f>
        <v>0</v>
      </c>
      <c r="O19" s="73">
        <f>IF(YEAR(O$4)=BaseYear,'Input|Reported opex'!O58,0)</f>
        <v>0</v>
      </c>
      <c r="P19" s="73">
        <f>IF(YEAR(P$4)=BaseYear,'Input|Reported opex'!P58,0)</f>
        <v>0</v>
      </c>
      <c r="Q19" s="73">
        <f>IF(YEAR(Q$4)=BaseYear,'Input|Reported opex'!Q58,0)</f>
        <v>0</v>
      </c>
      <c r="R19" s="73">
        <f>IF(YEAR(R$4)=BaseYear,'Input|Reported opex'!R58,0)</f>
        <v>0</v>
      </c>
      <c r="S19" s="73">
        <f>IF(YEAR(S$4)=BaseYear,'Input|Reported opex'!S58,0)</f>
        <v>0</v>
      </c>
      <c r="T19" s="73"/>
    </row>
    <row r="20" spans="3:20" outlineLevel="1">
      <c r="C20" s="15" t="s">
        <v>120</v>
      </c>
      <c r="D20" s="16" t="s">
        <v>50</v>
      </c>
      <c r="E20" s="16" t="str">
        <f>$E$8</f>
        <v>$millions</v>
      </c>
      <c r="F20" s="116">
        <f>$F$8</f>
        <v>46174</v>
      </c>
      <c r="J20" s="73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3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8.375463759705509</v>
      </c>
      <c r="L20" s="73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73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3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3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3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3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3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3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3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121</v>
      </c>
      <c r="D21" s="72" t="s">
        <v>117</v>
      </c>
      <c r="E21" s="16" t="str">
        <f>'Input|Reported opex'!E22</f>
        <v>$millions</v>
      </c>
      <c r="F21" s="116">
        <f>'Input|Reported opex'!F29</f>
        <v>44348</v>
      </c>
      <c r="J21" s="73">
        <f>IF(YEAR(J$4)=BaseYear,'Input|Reported opex'!J29,0)</f>
        <v>0</v>
      </c>
      <c r="K21" s="73">
        <f>IF(YEAR(K$4)=BaseYear,'Input|Reported opex'!K29,0)</f>
        <v>9.5527739009206396</v>
      </c>
      <c r="L21" s="73">
        <f>IF(YEAR(L$4)=BaseYear,'Input|Reported opex'!L29,0)</f>
        <v>0</v>
      </c>
      <c r="M21" s="73">
        <f>IF(YEAR(M$4)=BaseYear,'Input|Reported opex'!M29,0)</f>
        <v>0</v>
      </c>
      <c r="N21" s="73">
        <f>IF(YEAR(N$4)=BaseYear,'Input|Reported opex'!N29,0)</f>
        <v>0</v>
      </c>
      <c r="O21" s="73">
        <f>IF(YEAR(O$4)=BaseYear,'Input|Reported opex'!O29,0)</f>
        <v>0</v>
      </c>
      <c r="P21" s="73">
        <f>IF(YEAR(P$4)=BaseYear,'Input|Reported opex'!P29,0)</f>
        <v>0</v>
      </c>
      <c r="Q21" s="73">
        <f>IF(YEAR(Q$4)=BaseYear,'Input|Reported opex'!Q29,0)</f>
        <v>0</v>
      </c>
      <c r="R21" s="73">
        <f>IF(YEAR(R$4)=BaseYear,'Input|Reported opex'!R29,0)</f>
        <v>0</v>
      </c>
      <c r="S21" s="73">
        <f>IF(YEAR(S$4)=BaseYear,'Input|Reported opex'!S29,0)</f>
        <v>0</v>
      </c>
      <c r="T21" s="73"/>
    </row>
    <row r="22" spans="3:20" outlineLevel="1">
      <c r="C22" s="15" t="s">
        <v>121</v>
      </c>
      <c r="D22" s="16" t="s">
        <v>50</v>
      </c>
      <c r="E22" s="16" t="str">
        <f>$E$8</f>
        <v>$millions</v>
      </c>
      <c r="F22" s="116">
        <f>$F$8</f>
        <v>46174</v>
      </c>
      <c r="J22" s="73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3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11.79300138670188</v>
      </c>
      <c r="L22" s="73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73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3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3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3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3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3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3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3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122</v>
      </c>
      <c r="D23" s="72" t="s">
        <v>117</v>
      </c>
      <c r="E23" s="16" t="str">
        <f>'Input|Reported opex'!E22</f>
        <v>$millions</v>
      </c>
      <c r="F23" s="116">
        <f>'Input|Reported opex'!F29</f>
        <v>44348</v>
      </c>
      <c r="J23" s="73">
        <f>IF(YEAR(J$4)=PPLastYear,'Input|Reported opex'!J29,0)</f>
        <v>0</v>
      </c>
      <c r="K23" s="73">
        <f>IF(YEAR(K$4)=PPLastYear,'Input|Reported opex'!K29,0)</f>
        <v>0</v>
      </c>
      <c r="L23" s="73">
        <f>IF(YEAR(L$4)=PPLastYear,'Input|Reported opex'!L29,0)</f>
        <v>0</v>
      </c>
      <c r="M23" s="73">
        <f>IF(YEAR(M$4)=PPLastYear,'Input|Reported opex'!M29,0)</f>
        <v>0</v>
      </c>
      <c r="N23" s="73">
        <f>IF(YEAR(N$4)=PPLastYear,'Input|Reported opex'!N29,0)</f>
        <v>9.1384981018856415</v>
      </c>
      <c r="O23" s="73">
        <f>IF(YEAR(O$4)=PPLastYear,'Input|Reported opex'!O29,0)</f>
        <v>0</v>
      </c>
      <c r="P23" s="73">
        <f>IF(YEAR(P$4)=PPLastYear,'Input|Reported opex'!P29,0)</f>
        <v>0</v>
      </c>
      <c r="Q23" s="73">
        <f>IF(YEAR(Q$4)=PPLastYear,'Input|Reported opex'!Q29,0)</f>
        <v>0</v>
      </c>
      <c r="R23" s="73">
        <f>IF(YEAR(R$4)=PPLastYear,'Input|Reported opex'!R29,0)</f>
        <v>0</v>
      </c>
      <c r="S23" s="73">
        <f>IF(YEAR(S$4)=PPLastYear,'Input|Reported opex'!S29,0)</f>
        <v>0</v>
      </c>
      <c r="T23" s="73"/>
    </row>
    <row r="24" spans="3:20" outlineLevel="1">
      <c r="C24" s="15" t="s">
        <v>122</v>
      </c>
      <c r="D24" s="16" t="s">
        <v>50</v>
      </c>
      <c r="E24" s="16" t="str">
        <f>$E$8</f>
        <v>$millions</v>
      </c>
      <c r="F24" s="116">
        <f>$F$8</f>
        <v>46174</v>
      </c>
      <c r="J24" s="73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3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3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3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3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11.281573489091331</v>
      </c>
      <c r="O24" s="73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3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3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3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3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3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4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3:20" ht="10.5" outlineLevel="1">
      <c r="C26" s="75" t="s">
        <v>123</v>
      </c>
      <c r="D26" s="76" t="s">
        <v>50</v>
      </c>
      <c r="E26" s="76" t="str">
        <f>$E$8</f>
        <v>$millions</v>
      </c>
      <c r="F26" s="116">
        <f>$F$8</f>
        <v>46174</v>
      </c>
      <c r="J26" s="77">
        <f ca="1">J13</f>
        <v>0</v>
      </c>
      <c r="K26" s="77">
        <f t="shared" ref="K26:S26" ca="1" si="1">K13</f>
        <v>270.74007444554258</v>
      </c>
      <c r="L26" s="77">
        <f ca="1">L13</f>
        <v>0</v>
      </c>
      <c r="M26" s="77">
        <f t="shared" ca="1" si="1"/>
        <v>0</v>
      </c>
      <c r="N26" s="77">
        <f t="shared" ca="1" si="1"/>
        <v>0</v>
      </c>
      <c r="O26" s="77">
        <f t="shared" ca="1" si="1"/>
        <v>0</v>
      </c>
      <c r="P26" s="77">
        <f t="shared" ca="1" si="1"/>
        <v>0</v>
      </c>
      <c r="Q26" s="77">
        <f t="shared" ca="1" si="1"/>
        <v>0</v>
      </c>
      <c r="R26" s="77">
        <f t="shared" ca="1" si="1"/>
        <v>0</v>
      </c>
      <c r="S26" s="77">
        <f t="shared" ca="1" si="1"/>
        <v>0</v>
      </c>
      <c r="T26" s="77"/>
    </row>
    <row r="27" spans="3:20" ht="10.5" outlineLevel="1">
      <c r="C27" s="84"/>
      <c r="F27" s="11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</row>
    <row r="28" spans="3:20" ht="10.5" outlineLevel="1">
      <c r="C28" s="84" t="s">
        <v>124</v>
      </c>
      <c r="D28" s="72" t="s">
        <v>117</v>
      </c>
      <c r="E28" s="16" t="str">
        <f>'Input|Reported opex'!E70</f>
        <v>$millions</v>
      </c>
      <c r="F28" s="116">
        <f>'Input|Reported opex'!F70</f>
        <v>46174</v>
      </c>
      <c r="J28" s="77">
        <f>IF('Input|Reported opex'!J$62='Input|Reported opex'!J$10,'Input|Reported opex'!J70,0)</f>
        <v>0</v>
      </c>
      <c r="K28" s="77">
        <f>IF('Input|Reported opex'!K$62='Input|Reported opex'!K$10,'Input|Reported opex'!K70,0)</f>
        <v>0</v>
      </c>
      <c r="L28" s="77">
        <f>IF('Input|Reported opex'!L$62='Input|Reported opex'!L$10,'Input|Reported opex'!L70,0)</f>
        <v>0</v>
      </c>
      <c r="M28" s="77">
        <f>IF('Input|Reported opex'!M$62='Input|Reported opex'!M$10,'Input|Reported opex'!M70,0)</f>
        <v>0</v>
      </c>
      <c r="N28" s="77">
        <f>IF('Input|Reported opex'!N$62='Input|Reported opex'!N$10,'Input|Reported opex'!N70,0)</f>
        <v>0</v>
      </c>
      <c r="O28" s="77">
        <f>IF('Input|Reported opex'!O$62='Input|Reported opex'!O$10,'Input|Reported opex'!O70,0)</f>
        <v>0</v>
      </c>
      <c r="P28" s="77">
        <f>IF('Input|Reported opex'!P$62='Input|Reported opex'!P$10,'Input|Reported opex'!P70,0)</f>
        <v>0</v>
      </c>
      <c r="Q28" s="77">
        <f>IF('Input|Reported opex'!Q$62='Input|Reported opex'!Q$10,'Input|Reported opex'!Q70,0)</f>
        <v>0</v>
      </c>
      <c r="R28" s="77">
        <f>IF('Input|Reported opex'!R$62='Input|Reported opex'!R$10,'Input|Reported opex'!R70,0)</f>
        <v>0</v>
      </c>
      <c r="S28" s="77">
        <f>IF('Input|Reported opex'!S$62='Input|Reported opex'!S$10,'Input|Reported opex'!S70,0)</f>
        <v>0</v>
      </c>
      <c r="T28" s="77"/>
    </row>
    <row r="29" spans="3:20" ht="10.5" outlineLevel="1">
      <c r="C29" s="84" t="str">
        <f>C28</f>
        <v>Add back non-recurrent efficiency gains in the base year</v>
      </c>
      <c r="D29" s="16" t="s">
        <v>50</v>
      </c>
      <c r="E29" s="16" t="str">
        <f>$E$8</f>
        <v>$millions</v>
      </c>
      <c r="F29" s="116">
        <f>$F$8</f>
        <v>46174</v>
      </c>
      <c r="J29" s="77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7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7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7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7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7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7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7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7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7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7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84"/>
      <c r="F30" s="116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pans="3:20" ht="10.5" outlineLevel="1">
      <c r="C31" s="84" t="s">
        <v>125</v>
      </c>
      <c r="D31" s="16" t="s">
        <v>50</v>
      </c>
      <c r="E31" s="16" t="str">
        <f>$E$8</f>
        <v>$millions</v>
      </c>
      <c r="F31" s="116">
        <f>$F$8</f>
        <v>46174</v>
      </c>
      <c r="J31" s="77">
        <f t="shared" ref="J31:S31" si="2">IF(YEAR(J$4)=PPLastYear,-SUM($J15:$S15)+SUM($J17:$S17),0)</f>
        <v>0</v>
      </c>
      <c r="K31" s="77">
        <f t="shared" si="2"/>
        <v>0</v>
      </c>
      <c r="L31" s="77">
        <f t="shared" si="2"/>
        <v>0</v>
      </c>
      <c r="M31" s="77">
        <f t="shared" si="2"/>
        <v>0</v>
      </c>
      <c r="N31" s="77">
        <f t="shared" si="2"/>
        <v>19.505482373659106</v>
      </c>
      <c r="O31" s="77">
        <f t="shared" si="2"/>
        <v>0</v>
      </c>
      <c r="P31" s="77">
        <f t="shared" si="2"/>
        <v>0</v>
      </c>
      <c r="Q31" s="77">
        <f t="shared" si="2"/>
        <v>0</v>
      </c>
      <c r="R31" s="77">
        <f t="shared" si="2"/>
        <v>0</v>
      </c>
      <c r="S31" s="77">
        <f t="shared" si="2"/>
        <v>0</v>
      </c>
      <c r="T31" s="77"/>
    </row>
    <row r="32" spans="3:20" ht="10.5" outlineLevel="1">
      <c r="C32" s="84"/>
      <c r="F32" s="116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</row>
    <row r="33" spans="3:20" ht="10.5" outlineLevel="1">
      <c r="C33" s="84" t="s">
        <v>126</v>
      </c>
      <c r="D33" s="16" t="s">
        <v>50</v>
      </c>
      <c r="E33" s="16" t="str">
        <f>$E$8</f>
        <v>$millions</v>
      </c>
      <c r="F33" s="116">
        <f>$F$8</f>
        <v>46174</v>
      </c>
      <c r="J33" s="77">
        <f t="shared" ref="J33:S33" si="3">IF(YEAR(J$4)=PPLastYear,SUM($J26:$S26,$J29:$S29,$J31:$S31),0)</f>
        <v>0</v>
      </c>
      <c r="K33" s="77">
        <f t="shared" si="3"/>
        <v>0</v>
      </c>
      <c r="L33" s="77">
        <f t="shared" si="3"/>
        <v>0</v>
      </c>
      <c r="M33" s="77">
        <f t="shared" si="3"/>
        <v>0</v>
      </c>
      <c r="N33" s="77">
        <f ca="1">IF(YEAR(N$4)=PPLastYear,SUM($J26:$S26,$J29:$S29,$J31:$S31),0)</f>
        <v>290.24555681920168</v>
      </c>
      <c r="O33" s="77">
        <f t="shared" si="3"/>
        <v>0</v>
      </c>
      <c r="P33" s="77">
        <f t="shared" si="3"/>
        <v>0</v>
      </c>
      <c r="Q33" s="77">
        <f t="shared" si="3"/>
        <v>0</v>
      </c>
      <c r="R33" s="77">
        <f t="shared" si="3"/>
        <v>0</v>
      </c>
      <c r="S33" s="77">
        <f t="shared" si="3"/>
        <v>0</v>
      </c>
      <c r="T33" s="77"/>
    </row>
    <row r="34" spans="3:20" ht="10.5" outlineLevel="1">
      <c r="C34" s="84"/>
      <c r="F34" s="116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pans="3:20" ht="10.5" outlineLevel="1">
      <c r="C35" s="84" t="s">
        <v>127</v>
      </c>
      <c r="D35" s="16" t="s">
        <v>50</v>
      </c>
      <c r="E35" s="16" t="str">
        <f>$E$8</f>
        <v>$millions</v>
      </c>
      <c r="F35" s="116">
        <f>$F$8</f>
        <v>46174</v>
      </c>
      <c r="J35" s="77">
        <f t="shared" ref="J35:S35" si="4">IF(YEAR(J$4)=PPLastYear,-(SUM($J20:$S20)-SUM($J22:$S22)+SUM($J24:$S24)),0)</f>
        <v>0</v>
      </c>
      <c r="K35" s="77">
        <f t="shared" si="4"/>
        <v>0</v>
      </c>
      <c r="L35" s="77">
        <f t="shared" si="4"/>
        <v>0</v>
      </c>
      <c r="M35" s="77">
        <f t="shared" si="4"/>
        <v>0</v>
      </c>
      <c r="N35" s="77">
        <f>IF(YEAR(N$4)=PPLastYear,-(SUM($J20:$S20)-SUM($J22:$S22)+SUM($J24:$S24)),0)</f>
        <v>-7.8640358620949602</v>
      </c>
      <c r="O35" s="77">
        <f t="shared" si="4"/>
        <v>0</v>
      </c>
      <c r="P35" s="77">
        <f t="shared" si="4"/>
        <v>0</v>
      </c>
      <c r="Q35" s="77">
        <f t="shared" si="4"/>
        <v>0</v>
      </c>
      <c r="R35" s="77">
        <f t="shared" si="4"/>
        <v>0</v>
      </c>
      <c r="S35" s="77">
        <f t="shared" si="4"/>
        <v>0</v>
      </c>
      <c r="T35" s="77"/>
    </row>
    <row r="36" spans="3:20" ht="10.5" outlineLevel="1">
      <c r="C36" s="84"/>
      <c r="F36" s="116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3:20" ht="10.5" outlineLevel="1">
      <c r="C37" s="84" t="str">
        <f>'Input|Reported opex'!$C$64</f>
        <v>Adjustment - Corporate Overheads</v>
      </c>
      <c r="D37" s="72" t="s">
        <v>117</v>
      </c>
      <c r="E37" s="16" t="str">
        <f>'Input|Reported opex'!E64</f>
        <v>$millions</v>
      </c>
      <c r="F37" s="116">
        <f>'Input|Reported opex'!F64</f>
        <v>45078</v>
      </c>
      <c r="J37" s="73">
        <f>IF(YEAR(J$4)=PPLastYear,'Input|Reported opex'!J64,0)</f>
        <v>0</v>
      </c>
      <c r="K37" s="73">
        <f>IF(YEAR(K$4)=PPLastYear,'Input|Reported opex'!K64,0)</f>
        <v>0</v>
      </c>
      <c r="L37" s="73">
        <f>IF(YEAR(L$4)=PPLastYear,'Input|Reported opex'!L64,0)</f>
        <v>0</v>
      </c>
      <c r="M37" s="73">
        <f>IF(YEAR(M$4)=PPLastYear,'Input|Reported opex'!M64,0)</f>
        <v>0</v>
      </c>
      <c r="N37" s="73">
        <f>IF(YEAR(N$4)=PPLastYear,'Input|Reported opex'!N64,0)</f>
        <v>3.7060810000000002</v>
      </c>
      <c r="O37" s="73">
        <f>IF(YEAR(O$4)=PPLastYear,'Input|Reported opex'!O64,0)</f>
        <v>0</v>
      </c>
      <c r="P37" s="73">
        <f>IF(YEAR(P$4)=PPLastYear,'Input|Reported opex'!P64,0)</f>
        <v>0</v>
      </c>
      <c r="Q37" s="73">
        <f>IF(YEAR(Q$4)=PPLastYear,'Input|Reported opex'!Q64,0)</f>
        <v>0</v>
      </c>
      <c r="R37" s="73">
        <f>IF(YEAR(R$4)=PPLastYear,'Input|Reported opex'!R64,0)</f>
        <v>0</v>
      </c>
      <c r="S37" s="73">
        <f>IF(YEAR(S$4)=PPLastYear,'Input|Reported opex'!S64,0)</f>
        <v>0</v>
      </c>
      <c r="T37" s="73"/>
    </row>
    <row r="38" spans="3:20" ht="10.5" outlineLevel="1">
      <c r="C38" s="84" t="str">
        <f>C37</f>
        <v>Adjustment - Corporate Overheads</v>
      </c>
      <c r="D38" s="16" t="s">
        <v>50</v>
      </c>
      <c r="E38" s="16" t="str">
        <f>$E$8</f>
        <v>$millions</v>
      </c>
      <c r="F38" s="116">
        <f>$F$8</f>
        <v>46174</v>
      </c>
      <c r="J38" s="77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7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7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7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7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4.0653205112284496</v>
      </c>
      <c r="O38" s="77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7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7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7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7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7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84"/>
      <c r="F39" s="116"/>
      <c r="J39" s="77"/>
      <c r="K39" s="77"/>
      <c r="L39" s="77"/>
      <c r="M39" s="77"/>
      <c r="N39" s="77"/>
      <c r="O39" s="77"/>
      <c r="P39" s="77"/>
      <c r="Q39" s="77"/>
      <c r="R39" s="73"/>
      <c r="S39" s="73"/>
      <c r="T39" s="73"/>
    </row>
    <row r="40" spans="3:20" ht="10.5" outlineLevel="1">
      <c r="C40" s="84" t="str">
        <f>'Input|Reported opex'!$C$65</f>
        <v xml:space="preserve">Adjustment - Property </v>
      </c>
      <c r="D40" s="72" t="s">
        <v>117</v>
      </c>
      <c r="E40" s="16" t="str">
        <f>'Input|Reported opex'!$E$65</f>
        <v>$millions</v>
      </c>
      <c r="F40" s="116">
        <f>'Input|Reported opex'!$F$65</f>
        <v>45078</v>
      </c>
      <c r="J40" s="73">
        <f>IF(YEAR(J$4)=PPLastYear,'Input|Reported opex'!J65,0)</f>
        <v>0</v>
      </c>
      <c r="K40" s="73">
        <f>IF(YEAR(K$4)=PPLastYear,'Input|Reported opex'!K65,0)</f>
        <v>0</v>
      </c>
      <c r="L40" s="73">
        <f>IF(YEAR(L$4)=PPLastYear,'Input|Reported opex'!L65,0)</f>
        <v>0</v>
      </c>
      <c r="M40" s="73">
        <f>IF(YEAR(M$4)=PPLastYear,'Input|Reported opex'!M65,0)</f>
        <v>0</v>
      </c>
      <c r="N40" s="73">
        <f>IF(YEAR(N$4)=PPLastYear,'Input|Reported opex'!N65,0)</f>
        <v>-0.45654357733016798</v>
      </c>
      <c r="O40" s="73">
        <f>IF(YEAR(O$4)=PPLastYear,'Input|Reported opex'!O65,0)</f>
        <v>0</v>
      </c>
      <c r="P40" s="73">
        <f>IF(YEAR(P$4)=PPLastYear,'Input|Reported opex'!P65,0)</f>
        <v>0</v>
      </c>
      <c r="Q40" s="73">
        <f>IF(YEAR(Q$4)=PPLastYear,'Input|Reported opex'!Q65,0)</f>
        <v>0</v>
      </c>
      <c r="R40" s="73">
        <f>IF(YEAR(R$4)=PPLastYear,'Input|Reported opex'!R65,0)</f>
        <v>0</v>
      </c>
      <c r="S40" s="73">
        <f>IF(YEAR(S$4)=PPLastYear,'Input|Reported opex'!S65,0)</f>
        <v>0</v>
      </c>
      <c r="T40" s="73"/>
    </row>
    <row r="41" spans="3:20" ht="10.5" outlineLevel="1">
      <c r="C41" s="84" t="str">
        <f>C40</f>
        <v xml:space="preserve">Adjustment - Property </v>
      </c>
      <c r="D41" s="16" t="s">
        <v>50</v>
      </c>
      <c r="E41" s="16" t="str">
        <f>$E$8</f>
        <v>$millions</v>
      </c>
      <c r="F41" s="116">
        <f>$F$8</f>
        <v>46174</v>
      </c>
      <c r="J41" s="77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7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7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7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7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-0.50079746481254561</v>
      </c>
      <c r="O41" s="77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7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7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7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7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7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84"/>
      <c r="F42" s="116"/>
      <c r="J42" s="77"/>
      <c r="K42" s="77"/>
      <c r="L42" s="77"/>
      <c r="M42" s="77"/>
      <c r="N42" s="77"/>
      <c r="O42" s="77"/>
      <c r="P42" s="77"/>
      <c r="Q42" s="77"/>
      <c r="R42" s="73"/>
      <c r="S42" s="73"/>
      <c r="T42" s="73"/>
    </row>
    <row r="43" spans="3:20" ht="10.5" outlineLevel="1">
      <c r="C43" s="84">
        <f>'Input|Reported opex'!$C$66</f>
        <v>0</v>
      </c>
      <c r="D43" s="72" t="s">
        <v>117</v>
      </c>
      <c r="E43" s="16" t="str">
        <f>'Input|Reported opex'!$E$66</f>
        <v>$millions</v>
      </c>
      <c r="F43" s="116">
        <f>'Input|Reported opex'!$F$66</f>
        <v>46174</v>
      </c>
      <c r="J43" s="73">
        <f>IF(YEAR(J$4)=PPLastYear,'Input|Reported opex'!J66,0)</f>
        <v>0</v>
      </c>
      <c r="K43" s="73">
        <f>IF(YEAR(K$4)=PPLastYear,'Input|Reported opex'!K66,0)</f>
        <v>0</v>
      </c>
      <c r="L43" s="73">
        <f>IF(YEAR(L$4)=PPLastYear,'Input|Reported opex'!L66,0)</f>
        <v>0</v>
      </c>
      <c r="M43" s="73">
        <f>IF(YEAR(M$4)=PPLastYear,'Input|Reported opex'!M66,0)</f>
        <v>0</v>
      </c>
      <c r="N43" s="73">
        <f>IF(YEAR(N$4)=PPLastYear,'Input|Reported opex'!N66,0)</f>
        <v>0</v>
      </c>
      <c r="O43" s="73">
        <f>IF(YEAR(O$4)=PPLastYear,'Input|Reported opex'!O66,0)</f>
        <v>0</v>
      </c>
      <c r="P43" s="73">
        <f>IF(YEAR(P$4)=PPLastYear,'Input|Reported opex'!P66,0)</f>
        <v>0</v>
      </c>
      <c r="Q43" s="73">
        <f>IF(YEAR(Q$4)=PPLastYear,'Input|Reported opex'!Q66,0)</f>
        <v>0</v>
      </c>
      <c r="R43" s="73">
        <f>IF(YEAR(R$4)=PPLastYear,'Input|Reported opex'!R66,0)</f>
        <v>0</v>
      </c>
      <c r="S43" s="73">
        <f>IF(YEAR(S$4)=PPLastYear,'Input|Reported opex'!S66,0)</f>
        <v>0</v>
      </c>
      <c r="T43" s="73"/>
    </row>
    <row r="44" spans="3:20" ht="10.5" outlineLevel="1">
      <c r="C44" s="84">
        <f>C43</f>
        <v>0</v>
      </c>
      <c r="D44" s="16" t="s">
        <v>50</v>
      </c>
      <c r="E44" s="16" t="str">
        <f>$E$8</f>
        <v>$millions</v>
      </c>
      <c r="F44" s="116">
        <f>$F$8</f>
        <v>46174</v>
      </c>
      <c r="J44" s="77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7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7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7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7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7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7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7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7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7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7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84"/>
      <c r="F45" s="116"/>
      <c r="J45" s="77"/>
      <c r="K45" s="77"/>
      <c r="L45" s="77"/>
      <c r="M45" s="77"/>
      <c r="N45" s="77"/>
      <c r="O45" s="77"/>
      <c r="P45" s="77"/>
      <c r="Q45" s="77"/>
      <c r="R45" s="73"/>
      <c r="S45" s="73"/>
      <c r="T45" s="73"/>
    </row>
    <row r="46" spans="3:20" ht="10.5" outlineLevel="1">
      <c r="C46" s="84">
        <f>'Input|Reported opex'!$C$67</f>
        <v>0</v>
      </c>
      <c r="D46" s="72" t="s">
        <v>117</v>
      </c>
      <c r="E46" s="16" t="str">
        <f>'Input|Reported opex'!$E$67</f>
        <v>$millions</v>
      </c>
      <c r="F46" s="116">
        <f>'Input|Reported opex'!$F$67</f>
        <v>46174</v>
      </c>
      <c r="J46" s="73">
        <f>IF(YEAR(J$4)=PPLastYear,'Input|Reported opex'!J67,0)</f>
        <v>0</v>
      </c>
      <c r="K46" s="73">
        <f>IF(YEAR(K$4)=PPLastYear,'Input|Reported opex'!K67,0)</f>
        <v>0</v>
      </c>
      <c r="L46" s="73">
        <f>IF(YEAR(L$4)=PPLastYear,'Input|Reported opex'!L67,0)</f>
        <v>0</v>
      </c>
      <c r="M46" s="73">
        <f>IF(YEAR(M$4)=PPLastYear,'Input|Reported opex'!M67,0)</f>
        <v>0</v>
      </c>
      <c r="N46" s="73">
        <f>IF(YEAR(N$4)=PPLastYear,'Input|Reported opex'!N67,0)</f>
        <v>0</v>
      </c>
      <c r="O46" s="73">
        <f>IF(YEAR(O$4)=PPLastYear,'Input|Reported opex'!O67,0)</f>
        <v>0</v>
      </c>
      <c r="P46" s="73">
        <f>IF(YEAR(P$4)=PPLastYear,'Input|Reported opex'!P67,0)</f>
        <v>0</v>
      </c>
      <c r="Q46" s="73">
        <f>IF(YEAR(Q$4)=PPLastYear,'Input|Reported opex'!Q67,0)</f>
        <v>0</v>
      </c>
      <c r="R46" s="73">
        <f>IF(YEAR(R$4)=PPLastYear,'Input|Reported opex'!R67,0)</f>
        <v>0</v>
      </c>
      <c r="S46" s="73">
        <f>IF(YEAR(S$4)=PPLastYear,'Input|Reported opex'!S67,0)</f>
        <v>0</v>
      </c>
      <c r="T46" s="73"/>
    </row>
    <row r="47" spans="3:20" ht="10.5" outlineLevel="1">
      <c r="C47" s="84">
        <f>C46</f>
        <v>0</v>
      </c>
      <c r="D47" s="16" t="s">
        <v>50</v>
      </c>
      <c r="E47" s="16" t="str">
        <f>$E$8</f>
        <v>$millions</v>
      </c>
      <c r="F47" s="116">
        <f>$F$8</f>
        <v>46174</v>
      </c>
      <c r="J47" s="77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7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7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7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7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7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7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7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7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7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7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84"/>
      <c r="F48" s="116"/>
      <c r="J48" s="77"/>
      <c r="K48" s="77"/>
      <c r="L48" s="77"/>
      <c r="M48" s="77"/>
      <c r="N48" s="77"/>
      <c r="O48" s="77"/>
      <c r="P48" s="77"/>
      <c r="Q48" s="77"/>
      <c r="R48" s="73"/>
      <c r="S48" s="73"/>
      <c r="T48" s="73"/>
    </row>
    <row r="49" spans="1:31" ht="10.5" outlineLevel="1">
      <c r="C49" s="84">
        <f>'Input|Reported opex'!$C$68</f>
        <v>0</v>
      </c>
      <c r="D49" s="72" t="s">
        <v>117</v>
      </c>
      <c r="E49" s="16" t="str">
        <f>'Input|Reported opex'!$E$68</f>
        <v>$millions</v>
      </c>
      <c r="F49" s="116">
        <f>'Input|Reported opex'!$F$68</f>
        <v>46174</v>
      </c>
      <c r="J49" s="73">
        <f>IF(YEAR(J$4)=PPLastYear,'Input|Reported opex'!J68,0)</f>
        <v>0</v>
      </c>
      <c r="K49" s="73">
        <f>IF(YEAR(K$4)=PPLastYear,'Input|Reported opex'!K68,0)</f>
        <v>0</v>
      </c>
      <c r="L49" s="73">
        <f>IF(YEAR(L$4)=PPLastYear,'Input|Reported opex'!L68,0)</f>
        <v>0</v>
      </c>
      <c r="M49" s="73">
        <f>IF(YEAR(M$4)=PPLastYear,'Input|Reported opex'!M68,0)</f>
        <v>0</v>
      </c>
      <c r="N49" s="73">
        <f>IF(YEAR(N$4)=PPLastYear,'Input|Reported opex'!N68,0)</f>
        <v>0</v>
      </c>
      <c r="O49" s="73">
        <f>IF(YEAR(O$4)=PPLastYear,'Input|Reported opex'!O68,0)</f>
        <v>0</v>
      </c>
      <c r="P49" s="73">
        <f>IF(YEAR(P$4)=PPLastYear,'Input|Reported opex'!P68,0)</f>
        <v>0</v>
      </c>
      <c r="Q49" s="73">
        <f>IF(YEAR(Q$4)=PPLastYear,'Input|Reported opex'!Q68,0)</f>
        <v>0</v>
      </c>
      <c r="R49" s="73">
        <f>IF(YEAR(R$4)=PPLastYear,'Input|Reported opex'!R68,0)</f>
        <v>0</v>
      </c>
      <c r="S49" s="73">
        <f>IF(YEAR(S$4)=PPLastYear,'Input|Reported opex'!S68,0)</f>
        <v>0</v>
      </c>
      <c r="T49" s="73"/>
    </row>
    <row r="50" spans="1:31" ht="10.5" outlineLevel="1">
      <c r="C50" s="84">
        <f>C49</f>
        <v>0</v>
      </c>
      <c r="D50" s="16" t="s">
        <v>50</v>
      </c>
      <c r="E50" s="16" t="str">
        <f>$E$8</f>
        <v>$millions</v>
      </c>
      <c r="F50" s="116">
        <f>$F$8</f>
        <v>46174</v>
      </c>
      <c r="J50" s="77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7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7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7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7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7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7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7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7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7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7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84"/>
      <c r="F51" s="116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</row>
    <row r="52" spans="1:31" ht="10.5" outlineLevel="1">
      <c r="C52" s="84" t="s">
        <v>77</v>
      </c>
      <c r="D52" s="16" t="s">
        <v>80</v>
      </c>
      <c r="E52" s="16" t="str">
        <f>$E$8</f>
        <v>$millions</v>
      </c>
      <c r="F52" s="116">
        <f>$F$8</f>
        <v>46174</v>
      </c>
      <c r="J52" s="77">
        <f>SUM(J33,J38,J41,J44,J47,J50)*'Input|Reported opex'!J72</f>
        <v>0</v>
      </c>
      <c r="K52" s="77">
        <f>SUM(K33,K38,K41,K44,K47,K50)*'Input|Reported opex'!K72</f>
        <v>0</v>
      </c>
      <c r="L52" s="77">
        <f>SUM(L33,L38,L41,L44,L47,L50)*'Input|Reported opex'!L72</f>
        <v>0</v>
      </c>
      <c r="M52" s="77">
        <f>SUM(M33,M38,M41,M44,M47,M50)*'Input|Reported opex'!M72</f>
        <v>0</v>
      </c>
      <c r="N52" s="77">
        <f ca="1">SUM(N33,N38,N41,N44,N47,N50)*'Input|Reported opex'!N72</f>
        <v>0</v>
      </c>
      <c r="O52" s="77">
        <f>SUM(O33,O38,O41,O44,O47,O50)*'Input|Reported opex'!O72</f>
        <v>0</v>
      </c>
      <c r="P52" s="77">
        <f>SUM(P33,P38,P41,P44,P47,P50)*'Input|Reported opex'!P72</f>
        <v>0</v>
      </c>
      <c r="Q52" s="77">
        <f>SUM(Q33,Q38,Q41,Q44,Q47,Q50)*'Input|Reported opex'!Q72</f>
        <v>0</v>
      </c>
      <c r="R52" s="77">
        <f>SUM(R33,R38,R41,R44,R47,R50)*'Input|Reported opex'!R72</f>
        <v>0</v>
      </c>
      <c r="S52" s="77">
        <f>SUM(S33,S38,S41,S44,S47,S50)*'Input|Reported opex'!S72</f>
        <v>0</v>
      </c>
      <c r="T52" s="77"/>
    </row>
    <row r="53" spans="1:31" ht="10.5" outlineLevel="1">
      <c r="C53" s="84"/>
      <c r="F53" s="116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31" ht="10.5" outlineLevel="1">
      <c r="C54" s="127" t="s">
        <v>128</v>
      </c>
      <c r="D54" s="74" t="s">
        <v>80</v>
      </c>
      <c r="E54" s="74" t="str">
        <f>$E$8</f>
        <v>$millions</v>
      </c>
      <c r="F54" s="128">
        <f>$F$8</f>
        <v>46174</v>
      </c>
      <c r="J54" s="77">
        <f>SUM(J33,J35,J38,J41,J44,J47,J50,J52)</f>
        <v>0</v>
      </c>
      <c r="K54" s="77">
        <f t="shared" ref="K54:S54" si="5">SUM(K33,K35,K38,K41,K44,K47,K50,K52)</f>
        <v>0</v>
      </c>
      <c r="L54" s="77">
        <f t="shared" si="5"/>
        <v>0</v>
      </c>
      <c r="M54" s="77">
        <f t="shared" si="5"/>
        <v>0</v>
      </c>
      <c r="N54" s="77">
        <f ca="1">SUM(N33,N35,N38,N41,N44,N47,N50,N52)</f>
        <v>285.94604400352262</v>
      </c>
      <c r="O54" s="77">
        <f t="shared" si="5"/>
        <v>0</v>
      </c>
      <c r="P54" s="77">
        <f t="shared" si="5"/>
        <v>0</v>
      </c>
      <c r="Q54" s="77">
        <f t="shared" si="5"/>
        <v>0</v>
      </c>
      <c r="R54" s="77">
        <f t="shared" si="5"/>
        <v>0</v>
      </c>
      <c r="S54" s="77">
        <f t="shared" si="5"/>
        <v>0</v>
      </c>
      <c r="T54" s="77"/>
    </row>
    <row r="55" spans="1:31">
      <c r="J55" s="71"/>
      <c r="K55" s="71"/>
      <c r="L55" s="71"/>
    </row>
    <row r="56" spans="1:31" customFormat="1" ht="13">
      <c r="A56" s="37"/>
      <c r="B56" s="43" t="s">
        <v>129</v>
      </c>
      <c r="C56" s="37"/>
      <c r="D56" s="37"/>
      <c r="E56" s="37"/>
      <c r="F56" s="38"/>
      <c r="G56" s="38"/>
      <c r="H56" s="38"/>
      <c r="I56" s="38"/>
      <c r="J56" s="39"/>
      <c r="K56" s="40"/>
      <c r="L56" s="39"/>
      <c r="M56" s="40"/>
      <c r="N56" s="39"/>
      <c r="O56" s="39"/>
      <c r="P56" s="39"/>
      <c r="Q56" s="39"/>
      <c r="R56" s="39"/>
      <c r="S56" s="39"/>
      <c r="T56" s="39"/>
      <c r="U56" s="39"/>
      <c r="V56" s="39"/>
      <c r="W56" s="40"/>
      <c r="X56" s="40"/>
      <c r="Y56" s="41"/>
      <c r="Z56" s="41"/>
      <c r="AA56" s="41"/>
      <c r="AB56" s="41"/>
      <c r="AC56" s="41"/>
      <c r="AD56" s="42"/>
      <c r="AE56" s="42"/>
    </row>
    <row r="57" spans="1:31" outlineLevel="1"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1:31" ht="10.5" outlineLevel="1">
      <c r="C58" s="9" t="s">
        <v>130</v>
      </c>
      <c r="D58" s="21" t="s">
        <v>34</v>
      </c>
      <c r="E58" s="21" t="s">
        <v>51</v>
      </c>
      <c r="F58" s="21" t="s">
        <v>54</v>
      </c>
      <c r="J58" s="118" t="str">
        <f>IF(YEAR(J$4)&gt;='Input|General'!$G$13,IF(YEAR(J$4)&lt;='Input|General'!$G$14,J$4,""),"")</f>
        <v/>
      </c>
      <c r="K58" s="118" t="str">
        <f>IF(YEAR(K$4)&gt;='Input|General'!$G$13,IF(YEAR(K$4)&lt;='Input|General'!$G$14,K$4,""),"")</f>
        <v/>
      </c>
      <c r="L58" s="118" t="str">
        <f>IF(YEAR(L$4)&gt;='Input|General'!$G$13,IF(YEAR(L$4)&lt;='Input|General'!$G$14,L$4,""),"")</f>
        <v/>
      </c>
      <c r="M58" s="118" t="str">
        <f>IF(YEAR(M$4)&gt;='Input|General'!$G$13,IF(YEAR(M$4)&lt;='Input|General'!$G$14,M$4,""),"")</f>
        <v/>
      </c>
      <c r="N58" s="118" t="str">
        <f>IF(YEAR(N$4)&gt;='Input|General'!$G$13,IF(YEAR(N$4)&lt;='Input|General'!$G$14,N$4,""),"")</f>
        <v/>
      </c>
      <c r="O58" s="118">
        <f>IF(YEAR(O$4)&gt;='Input|General'!$G$13,IF(YEAR(O$4)&lt;='Input|General'!$G$14,O$4,""),"")</f>
        <v>46539</v>
      </c>
      <c r="P58" s="118">
        <f>IF(YEAR(P$4)&gt;='Input|General'!$G$13,IF(YEAR(P$4)&lt;='Input|General'!$G$14,P$4,""),"")</f>
        <v>46905</v>
      </c>
      <c r="Q58" s="118">
        <f>IF(YEAR(Q$4)&gt;='Input|General'!$G$13,IF(YEAR(Q$4)&lt;='Input|General'!$G$14,Q$4,""),"")</f>
        <v>47270</v>
      </c>
      <c r="R58" s="118">
        <f>IF(YEAR(R$4)&gt;='Input|General'!$G$13,IF(YEAR(R$4)&lt;='Input|General'!$G$14,R$4,""),"")</f>
        <v>47635</v>
      </c>
      <c r="S58" s="118">
        <f>IF(YEAR(S$4)&gt;='Input|General'!$G$13,IF(YEAR(S$4)&lt;='Input|General'!$G$14,S$4,""),"")</f>
        <v>48000</v>
      </c>
      <c r="T58" s="118" t="str">
        <f>IF(YEAR(T$4)&gt;='Input|General'!$G$13,IF(YEAR(T$4)&lt;='Input|General'!$G$14,T$4,""),"")</f>
        <v/>
      </c>
    </row>
    <row r="59" spans="1:31" ht="10.5" outlineLevel="1">
      <c r="C59" s="9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1:31" ht="10.5" outlineLevel="1">
      <c r="B60" s="9"/>
      <c r="C60" s="78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1:31" outlineLevel="1">
      <c r="C61" s="15" t="s">
        <v>131</v>
      </c>
      <c r="D61" s="16" t="s">
        <v>50</v>
      </c>
      <c r="E61" s="16" t="s">
        <v>78</v>
      </c>
      <c r="F61" s="16" t="s">
        <v>90</v>
      </c>
      <c r="J61" s="79">
        <f ca="1">IF(J58=J4,AVERAGE(OFFSET('Input|Rate of change'!K97,0,0,COUNTA('Input|Rate of change'!$J$84:$M$84),1)),0)</f>
        <v>0</v>
      </c>
      <c r="K61" s="79">
        <f ca="1">IF(K58=K4,AVERAGE(OFFSET('Input|Rate of change'!L97,0,0,COUNTA('Input|Rate of change'!$J$84:$M$84),1)),0)</f>
        <v>0</v>
      </c>
      <c r="L61" s="79">
        <f ca="1">IF(L58=L4,AVERAGE(OFFSET('Input|Rate of change'!M97,0,0,COUNTA('Input|Rate of change'!$J$84:$M$84),1)),0)</f>
        <v>0</v>
      </c>
      <c r="M61" s="79">
        <f ca="1">IF(M58=M4,AVERAGE(OFFSET('Input|Rate of change'!N97,0,0,COUNTA('Input|Rate of change'!$J$84:$M$84),1)),0)</f>
        <v>0</v>
      </c>
      <c r="N61" s="79">
        <f ca="1">IF(N58=N4,AVERAGE(OFFSET('Input|Rate of change'!O97,0,0,COUNTA('Input|Rate of change'!$J$84:$M$84),1)),0)</f>
        <v>0</v>
      </c>
      <c r="O61" s="79">
        <f ca="1">IF(O58=O4,AVERAGE(OFFSET('Input|Rate of change'!P97,0,0,COUNTA('Input|Rate of change'!$J$84:$M$84),1)),0)</f>
        <v>8.8570970664913658E-3</v>
      </c>
      <c r="P61" s="79">
        <f ca="1">IF(P58=P4,AVERAGE(OFFSET('Input|Rate of change'!Q97,0,0,COUNTA('Input|Rate of change'!$J$84:$M$84),1)),0)</f>
        <v>1.1168733924288432E-2</v>
      </c>
      <c r="Q61" s="79">
        <f ca="1">IF(Q58=Q4,AVERAGE(OFFSET('Input|Rate of change'!R97,0,0,COUNTA('Input|Rate of change'!$J$84:$M$84),1)),0)</f>
        <v>1.7979845685405664E-2</v>
      </c>
      <c r="R61" s="79">
        <f ca="1">IF(R58=R4,AVERAGE(OFFSET('Input|Rate of change'!S97,0,0,COUNTA('Input|Rate of change'!$J$84:$M$84),1)),0)</f>
        <v>1.805624606729786E-2</v>
      </c>
      <c r="S61" s="79">
        <f ca="1">IF(S58=S4,AVERAGE(OFFSET('Input|Rate of change'!T97,0,0,COUNTA('Input|Rate of change'!$J$84:$M$84),1)),0)</f>
        <v>1.7876088572783985E-2</v>
      </c>
      <c r="T61" s="79"/>
    </row>
    <row r="62" spans="1:31" outlineLevel="1"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  <row r="63" spans="1:31" outlineLevel="1">
      <c r="C63" s="15" t="s">
        <v>84</v>
      </c>
      <c r="D63" s="16" t="s">
        <v>50</v>
      </c>
      <c r="E63" s="16" t="s">
        <v>78</v>
      </c>
      <c r="F63" s="16" t="s">
        <v>90</v>
      </c>
      <c r="J63" s="79">
        <f>SUMPRODUCT('Input|Rate of change'!K38:K45,'Input|Rate of change'!K51:K58)</f>
        <v>0</v>
      </c>
      <c r="K63" s="79">
        <f>SUMPRODUCT('Input|Rate of change'!L38:L45,'Input|Rate of change'!L51:L58)</f>
        <v>0</v>
      </c>
      <c r="L63" s="79">
        <f>SUMPRODUCT('Input|Rate of change'!M38:M45,'Input|Rate of change'!M51:M58)</f>
        <v>0</v>
      </c>
      <c r="M63" s="79">
        <f>SUMPRODUCT('Input|Rate of change'!N38:N45,'Input|Rate of change'!N51:N58)</f>
        <v>0</v>
      </c>
      <c r="N63" s="79">
        <f>SUMPRODUCT('Input|Rate of change'!O38:O45,'Input|Rate of change'!O51:O58)</f>
        <v>0</v>
      </c>
      <c r="O63" s="79">
        <f>SUMPRODUCT('Input|Rate of change'!P38:P45,'Input|Rate of change'!P51:P58)</f>
        <v>5.5136064412492237E-3</v>
      </c>
      <c r="P63" s="79">
        <f>SUMPRODUCT('Input|Rate of change'!Q38:Q45,'Input|Rate of change'!Q51:Q58)</f>
        <v>4.9481465322527311E-3</v>
      </c>
      <c r="Q63" s="79">
        <f>SUMPRODUCT('Input|Rate of change'!R38:R45,'Input|Rate of change'!R51:R58)</f>
        <v>6.0709543947593536E-3</v>
      </c>
      <c r="R63" s="79">
        <f>SUMPRODUCT('Input|Rate of change'!S38:S45,'Input|Rate of change'!S51:S58)</f>
        <v>7.2461913457386598E-3</v>
      </c>
      <c r="S63" s="79">
        <f>SUMPRODUCT('Input|Rate of change'!T38:T45,'Input|Rate of change'!T51:T58)</f>
        <v>6.0279530017831639E-3</v>
      </c>
      <c r="T63" s="79">
        <f>SUMPRODUCT('Input|Rate of change'!U38:U45,'Input|Rate of change'!U51:U58)</f>
        <v>0</v>
      </c>
    </row>
    <row r="64" spans="1:31" outlineLevel="1">
      <c r="C64" s="15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</row>
    <row r="65" spans="1:31" outlineLevel="1">
      <c r="C65" s="15" t="s">
        <v>132</v>
      </c>
      <c r="D65" s="16" t="s">
        <v>50</v>
      </c>
      <c r="E65" s="16" t="s">
        <v>78</v>
      </c>
      <c r="F65" s="16" t="s">
        <v>90</v>
      </c>
      <c r="J65" s="79">
        <f>'Input|Rate of change'!K106</f>
        <v>0</v>
      </c>
      <c r="K65" s="79">
        <f>'Input|Rate of change'!L106</f>
        <v>0</v>
      </c>
      <c r="L65" s="79">
        <f>'Input|Rate of change'!M106</f>
        <v>0</v>
      </c>
      <c r="M65" s="79">
        <f>'Input|Rate of change'!N106</f>
        <v>0</v>
      </c>
      <c r="N65" s="79">
        <f>'Input|Rate of change'!O106</f>
        <v>0</v>
      </c>
      <c r="O65" s="79">
        <f>'Input|Rate of change'!P106</f>
        <v>5.0000000000000001E-3</v>
      </c>
      <c r="P65" s="79">
        <f>'Input|Rate of change'!Q106</f>
        <v>5.0000000000000001E-3</v>
      </c>
      <c r="Q65" s="79">
        <f>'Input|Rate of change'!R106</f>
        <v>5.0000000000000001E-3</v>
      </c>
      <c r="R65" s="79">
        <f>'Input|Rate of change'!S106</f>
        <v>5.0000000000000001E-3</v>
      </c>
      <c r="S65" s="79">
        <f>'Input|Rate of change'!T106</f>
        <v>5.0000000000000001E-3</v>
      </c>
      <c r="T65" s="79"/>
    </row>
    <row r="66" spans="1:31" outlineLevel="1">
      <c r="C66" s="15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1:31" ht="10.5" outlineLevel="1">
      <c r="C67" s="80" t="s">
        <v>133</v>
      </c>
      <c r="D67" s="76" t="s">
        <v>50</v>
      </c>
      <c r="E67" s="76" t="s">
        <v>78</v>
      </c>
      <c r="F67" s="76" t="s">
        <v>90</v>
      </c>
      <c r="J67" s="100">
        <f ca="1">(1+J61)*(1+J63)*(1-J65)-1</f>
        <v>0</v>
      </c>
      <c r="K67" s="100">
        <f t="shared" ref="K67:S67" ca="1" si="6">(1+K61)*(1+K63)*(1-K65)-1</f>
        <v>0</v>
      </c>
      <c r="L67" s="100">
        <f t="shared" ca="1" si="6"/>
        <v>0</v>
      </c>
      <c r="M67" s="100">
        <f t="shared" ca="1" si="6"/>
        <v>0</v>
      </c>
      <c r="N67" s="100">
        <f t="shared" ca="1" si="6"/>
        <v>0</v>
      </c>
      <c r="O67" s="100">
        <f t="shared" ca="1" si="6"/>
        <v>9.347440364901427E-3</v>
      </c>
      <c r="P67" s="100">
        <f t="shared" ca="1" si="6"/>
        <v>1.1091284263635481E-2</v>
      </c>
      <c r="Q67" s="100">
        <f ca="1">(1+Q61)*(1+Q63)*(1-Q65)-1</f>
        <v>1.9039155128829366E-2</v>
      </c>
      <c r="R67" s="100">
        <f t="shared" ca="1" si="6"/>
        <v>2.0306110044890913E-2</v>
      </c>
      <c r="S67" s="100">
        <f t="shared" ca="1" si="6"/>
        <v>1.889173880735795E-2</v>
      </c>
      <c r="T67" s="100"/>
    </row>
    <row r="68" spans="1:31" ht="10.5" outlineLevel="1">
      <c r="C68" s="9" t="s">
        <v>134</v>
      </c>
      <c r="D68" s="16" t="s">
        <v>50</v>
      </c>
      <c r="E68" s="16" t="s">
        <v>78</v>
      </c>
      <c r="F68" s="16" t="s">
        <v>90</v>
      </c>
      <c r="J68" s="79" t="str">
        <f t="array" ref="J68">IF(J$58=J$4,PRODUCT(1+$J67:J67)-1,"")</f>
        <v/>
      </c>
      <c r="K68" s="79" t="str">
        <f t="array" ref="K68">IF(K$58=K$4,PRODUCT(1+$J67:K67)-1,"")</f>
        <v/>
      </c>
      <c r="L68" s="79" t="str">
        <f t="array" ref="L68">IF(L$58=L$4,PRODUCT(1+$J67:L67)-1,"")</f>
        <v/>
      </c>
      <c r="M68" s="79" t="str">
        <f t="array" ref="M68">IF(M$58=M$4,PRODUCT(1+$J67:M67)-1,"")</f>
        <v/>
      </c>
      <c r="N68" s="79" t="str">
        <f t="array" ref="N68">IF(N$58=N$4,PRODUCT(1+$J67:N67)-1,"")</f>
        <v/>
      </c>
      <c r="O68" s="79">
        <f t="array" aca="1" ref="O68" ca="1">IF(O$58=O$4,PRODUCT(1+$J67:O67)-1,"")</f>
        <v>9.347440364901427E-3</v>
      </c>
      <c r="P68" s="79">
        <f t="array" aca="1" ref="P68" ca="1">IF(P$58=P$4,PRODUCT(1+$J67:P67)-1,"")</f>
        <v>2.0542399746761308E-2</v>
      </c>
      <c r="Q68" s="79">
        <f t="array" aca="1" ref="Q68" ca="1">IF(Q$58=Q$4,PRODUCT(1+$J67:Q67)-1,"")</f>
        <v>3.9972664811087633E-2</v>
      </c>
      <c r="R68" s="79">
        <f t="array" aca="1" ref="R68" ca="1">IF(R$58=R$4,PRODUCT(1+$J67:R67)-1,"")</f>
        <v>6.1090464186420057E-2</v>
      </c>
      <c r="S68" s="79">
        <f t="array" aca="1" ref="S68" ca="1">IF(S$58=S$4,PRODUCT(1+$J67:S67)-1,"")</f>
        <v>8.1136308086808162E-2</v>
      </c>
      <c r="T68" s="79"/>
    </row>
    <row r="69" spans="1:31">
      <c r="J69" s="71"/>
      <c r="K69" s="71"/>
      <c r="L69" s="71"/>
      <c r="M69" s="71"/>
      <c r="N69" s="71"/>
      <c r="O69" s="81"/>
      <c r="P69" s="81"/>
      <c r="Q69" s="81"/>
      <c r="R69" s="81"/>
      <c r="S69" s="81"/>
      <c r="T69" s="81"/>
    </row>
    <row r="70" spans="1:31" customFormat="1" ht="13">
      <c r="A70" s="37"/>
      <c r="B70" s="43" t="s">
        <v>135</v>
      </c>
      <c r="C70" s="37"/>
      <c r="D70" s="37"/>
      <c r="E70" s="37"/>
      <c r="F70" s="38"/>
      <c r="G70" s="38"/>
      <c r="H70" s="38"/>
      <c r="I70" s="38"/>
      <c r="J70" s="39"/>
      <c r="K70" s="40"/>
      <c r="L70" s="39"/>
      <c r="M70" s="40"/>
      <c r="N70" s="39"/>
      <c r="O70" s="39"/>
      <c r="P70" s="39"/>
      <c r="Q70" s="39"/>
      <c r="R70" s="39"/>
      <c r="S70" s="39"/>
      <c r="T70" s="39"/>
      <c r="U70" s="39"/>
      <c r="V70" s="39"/>
      <c r="W70" s="40"/>
      <c r="X70" s="40"/>
      <c r="Y70" s="41"/>
      <c r="Z70" s="41"/>
      <c r="AA70" s="41"/>
      <c r="AB70" s="41"/>
      <c r="AC70" s="41"/>
      <c r="AD70" s="42"/>
      <c r="AE70" s="42"/>
    </row>
    <row r="71" spans="1:31" ht="10.5" outlineLevel="1">
      <c r="C71" s="9" t="s">
        <v>0</v>
      </c>
      <c r="D71" s="21" t="s">
        <v>34</v>
      </c>
      <c r="E71" s="21" t="s">
        <v>51</v>
      </c>
      <c r="F71" s="21" t="s">
        <v>54</v>
      </c>
      <c r="J71" s="118" t="str">
        <f>IF(YEAR(J$4)&gt;='Input|General'!$G$13,IF(YEAR(J$4)&lt;='Input|General'!$G$14,J$4,""),"")</f>
        <v/>
      </c>
      <c r="K71" s="118" t="str">
        <f>IF(YEAR(K$4)&gt;='Input|General'!$G$13,IF(YEAR(K$4)&lt;='Input|General'!$G$14,K$4,""),"")</f>
        <v/>
      </c>
      <c r="L71" s="118" t="str">
        <f>IF(YEAR(L$4)&gt;='Input|General'!$G$13,IF(YEAR(L$4)&lt;='Input|General'!$G$14,L$4,""),"")</f>
        <v/>
      </c>
      <c r="M71" s="118" t="str">
        <f>IF(YEAR(M$4)&gt;='Input|General'!$G$13,IF(YEAR(M$4)&lt;='Input|General'!$G$14,M$4,""),"")</f>
        <v/>
      </c>
      <c r="N71" s="118" t="str">
        <f>IF(YEAR(N$4)&gt;='Input|General'!$G$13,IF(YEAR(N$4)&lt;='Input|General'!$G$14,N$4,""),"")</f>
        <v/>
      </c>
      <c r="O71" s="118">
        <f>IF(YEAR(O$4)&gt;='Input|General'!$G$13,IF(YEAR(O$4)&lt;='Input|General'!$G$14,O$4,""),"")</f>
        <v>46539</v>
      </c>
      <c r="P71" s="118">
        <f>IF(YEAR(P$4)&gt;='Input|General'!$G$13,IF(YEAR(P$4)&lt;='Input|General'!$G$14,P$4,""),"")</f>
        <v>46905</v>
      </c>
      <c r="Q71" s="118">
        <f>IF(YEAR(Q$4)&gt;='Input|General'!$G$13,IF(YEAR(Q$4)&lt;='Input|General'!$G$14,Q$4,""),"")</f>
        <v>47270</v>
      </c>
      <c r="R71" s="118">
        <f>IF(YEAR(R$4)&gt;='Input|General'!$G$13,IF(YEAR(R$4)&lt;='Input|General'!$G$14,R$4,""),"")</f>
        <v>47635</v>
      </c>
      <c r="S71" s="118">
        <f>IF(YEAR(S$4)&gt;='Input|General'!$G$13,IF(YEAR(S$4)&lt;='Input|General'!$G$14,S$4,""),"")</f>
        <v>48000</v>
      </c>
    </row>
    <row r="72" spans="1:31" ht="10.5" outlineLevel="1">
      <c r="C72" s="82" t="str">
        <f>'Input|Step changes'!C10</f>
        <v>AEMO Fees</v>
      </c>
      <c r="D72" s="16" t="s">
        <v>50</v>
      </c>
      <c r="E72" s="16" t="str">
        <f t="shared" ref="E72:E95" si="7">$E$8</f>
        <v>$millions</v>
      </c>
      <c r="F72" s="116">
        <f t="shared" ref="F72:F85" si="8">$F$8</f>
        <v>46174</v>
      </c>
      <c r="J72" s="86"/>
      <c r="K72" s="86"/>
      <c r="L72" s="86"/>
      <c r="M72" s="86"/>
      <c r="N72" s="86"/>
      <c r="O72" s="86">
        <f>'Input|Step changes'!O10*INDEX('Input|Rate of change'!$C$14:$P$22,MATCH('Input|Step changes'!$F10,'Input|Rate of change'!$C$14:$C$22,0),MATCH('Calc|Opex forecast'!$F72,'Input|Rate of change'!$C$14:$P$14,0))*IF('Input|Step changes'!$E10="$millions",1000000,IF('Input|Step changes'!$E10="$000",1000,1))/IF($E72="$millions",1000000,IF($E72="$000",1000,1))</f>
        <v>0</v>
      </c>
      <c r="P72" s="86">
        <f>'Input|Step changes'!P10*INDEX('Input|Rate of change'!$C$14:$P$22,MATCH('Input|Step changes'!$F10,'Input|Rate of change'!$C$14:$C$22,0),MATCH('Calc|Opex forecast'!$F72,'Input|Rate of change'!$C$14:$P$14,0))*IF('Input|Step changes'!$E10="$millions",1000000,IF('Input|Step changes'!$E10="$000",1000,1))/IF($E72="$millions",1000000,IF($E72="$000",1000,1))</f>
        <v>0</v>
      </c>
      <c r="Q72" s="86">
        <f>'Input|Step changes'!Q10*INDEX('Input|Rate of change'!$C$14:$P$22,MATCH('Input|Step changes'!$F10,'Input|Rate of change'!$C$14:$C$22,0),MATCH('Calc|Opex forecast'!$F72,'Input|Rate of change'!$C$14:$P$14,0))*IF('Input|Step changes'!$E10="$millions",1000000,IF('Input|Step changes'!$E10="$000",1000,1))/IF($E72="$millions",1000000,IF($E72="$000",1000,1))</f>
        <v>0</v>
      </c>
      <c r="R72" s="86">
        <f>'Input|Step changes'!R10*INDEX('Input|Rate of change'!$C$14:$P$22,MATCH('Input|Step changes'!$F10,'Input|Rate of change'!$C$14:$C$22,0),MATCH('Calc|Opex forecast'!$F72,'Input|Rate of change'!$C$14:$P$14,0))*IF('Input|Step changes'!$E10="$millions",1000000,IF('Input|Step changes'!$E10="$000",1000,1))/IF($E72="$millions",1000000,IF($E72="$000",1000,1))</f>
        <v>0</v>
      </c>
      <c r="S72" s="86">
        <f>'Input|Step changes'!S10*INDEX('Input|Rate of change'!$C$14:$P$22,MATCH('Input|Step changes'!$F10,'Input|Rate of change'!$C$14:$C$22,0),MATCH('Calc|Opex forecast'!$F72,'Input|Rate of change'!$C$14:$P$14,0))*IF('Input|Step changes'!$E10="$millions",1000000,IF('Input|Step changes'!$E10="$000",1000,1))/IF($E72="$millions",1000000,IF($E72="$000",1000,1))</f>
        <v>0</v>
      </c>
      <c r="T72" s="118" t="str">
        <f>IF(YEAR(T$4)&gt;='Input|General'!$G$13,IF(YEAR(T$4)&lt;='Input|General'!$G$14,T$4,""),"")</f>
        <v/>
      </c>
    </row>
    <row r="73" spans="1:31" outlineLevel="1">
      <c r="C73" s="82">
        <f>'Input|Step changes'!C11</f>
        <v>0</v>
      </c>
      <c r="D73" s="16" t="s">
        <v>50</v>
      </c>
      <c r="E73" s="16" t="str">
        <f t="shared" si="7"/>
        <v>$millions</v>
      </c>
      <c r="F73" s="116">
        <f t="shared" si="8"/>
        <v>46174</v>
      </c>
      <c r="J73" s="86"/>
      <c r="K73" s="86"/>
      <c r="L73" s="86"/>
      <c r="M73" s="86"/>
      <c r="N73" s="86"/>
      <c r="O73" s="181">
        <f>'Input|Step changes'!O11*INDEX('Input|Rate of change'!$C$14:$P$22,MATCH('Input|Step changes'!$F11,'Input|Rate of change'!$C$14:$C$22,0),MATCH('Calc|Opex forecast'!$F73,'Input|Rate of change'!$C$14:$P$14,0))*IF('Input|Step changes'!$E11="$millions",1000000,IF('Input|Step changes'!$E11="$000",1000,1))/IF($E73="$millions",1000000,IF($E73="$000",1000,1))</f>
        <v>0</v>
      </c>
      <c r="P73" s="86">
        <f>'Input|Step changes'!P11*INDEX('Input|Rate of change'!$C$14:$P$22,MATCH('Input|Step changes'!$F11,'Input|Rate of change'!$C$14:$C$22,0),MATCH('Calc|Opex forecast'!$F73,'Input|Rate of change'!$C$14:$P$14,0))*IF('Input|Step changes'!$E11="$millions",1000000,IF('Input|Step changes'!$E11="$000",1000,1))/IF($E73="$millions",1000000,IF($E73="$000",1000,1))</f>
        <v>0</v>
      </c>
      <c r="Q73" s="86">
        <f>'Input|Step changes'!Q11*INDEX('Input|Rate of change'!$C$14:$P$22,MATCH('Input|Step changes'!$F11,'Input|Rate of change'!$C$14:$C$22,0),MATCH('Calc|Opex forecast'!$F73,'Input|Rate of change'!$C$14:$P$14,0))*IF('Input|Step changes'!$E11="$millions",1000000,IF('Input|Step changes'!$E11="$000",1000,1))/IF($E73="$millions",1000000,IF($E73="$000",1000,1))</f>
        <v>0</v>
      </c>
      <c r="R73" s="86">
        <f>'Input|Step changes'!R11*INDEX('Input|Rate of change'!$C$14:$P$22,MATCH('Input|Step changes'!$F11,'Input|Rate of change'!$C$14:$C$22,0),MATCH('Calc|Opex forecast'!$F73,'Input|Rate of change'!$C$14:$P$14,0))*IF('Input|Step changes'!$E11="$millions",1000000,IF('Input|Step changes'!$E11="$000",1000,1))/IF($E73="$millions",1000000,IF($E73="$000",1000,1))</f>
        <v>0</v>
      </c>
      <c r="S73" s="86">
        <f>'Input|Step changes'!S11*INDEX('Input|Rate of change'!$C$14:$P$22,MATCH('Input|Step changes'!$F11,'Input|Rate of change'!$C$14:$C$22,0),MATCH('Calc|Opex forecast'!$F73,'Input|Rate of change'!$C$14:$P$14,0))*IF('Input|Step changes'!$E11="$millions",1000000,IF('Input|Step changes'!$E11="$000",1000,1))/IF($E73="$millions",1000000,IF($E73="$000",1000,1))</f>
        <v>0</v>
      </c>
      <c r="T73" s="86"/>
    </row>
    <row r="74" spans="1:31" outlineLevel="1">
      <c r="C74" s="82" t="str">
        <f>'Input|Step changes'!C12</f>
        <v>Flexible services and non-network solutions</v>
      </c>
      <c r="D74" s="16" t="s">
        <v>50</v>
      </c>
      <c r="E74" s="16" t="str">
        <f t="shared" si="7"/>
        <v>$millions</v>
      </c>
      <c r="F74" s="116">
        <f t="shared" si="8"/>
        <v>46174</v>
      </c>
      <c r="J74" s="86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86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86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86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86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86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0.53684169999999987</v>
      </c>
      <c r="P74" s="86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1.0736833999999997</v>
      </c>
      <c r="Q74" s="86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1.6675909499999997</v>
      </c>
      <c r="R74" s="86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2.3185643499999995</v>
      </c>
      <c r="S74" s="86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2.85540605</v>
      </c>
      <c r="T74" s="86"/>
    </row>
    <row r="75" spans="1:31" outlineLevel="1">
      <c r="C75" s="82" t="str">
        <f>'Input|Step changes'!C13</f>
        <v xml:space="preserve">ESV more frequent pole inspections </v>
      </c>
      <c r="D75" s="16" t="s">
        <v>50</v>
      </c>
      <c r="E75" s="16" t="str">
        <f t="shared" si="7"/>
        <v>$millions</v>
      </c>
      <c r="F75" s="116">
        <f t="shared" si="8"/>
        <v>46174</v>
      </c>
      <c r="J75" s="86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86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86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86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86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86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1.6048121743500001</v>
      </c>
      <c r="P75" s="86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1.6048121743500001</v>
      </c>
      <c r="Q75" s="86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1.6048121743500001</v>
      </c>
      <c r="R75" s="86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1.6048121743500001</v>
      </c>
      <c r="S75" s="86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1.6048121743500001</v>
      </c>
      <c r="T75" s="86"/>
    </row>
    <row r="76" spans="1:31" ht="9.65" customHeight="1" outlineLevel="1">
      <c r="C76" s="82" t="str">
        <f>'Input|Step changes'!C14</f>
        <v>Fleet Electrification</v>
      </c>
      <c r="D76" s="16" t="s">
        <v>50</v>
      </c>
      <c r="E76" s="16" t="str">
        <f t="shared" si="7"/>
        <v>$millions</v>
      </c>
      <c r="F76" s="116">
        <f t="shared" si="8"/>
        <v>46174</v>
      </c>
      <c r="J76" s="86"/>
      <c r="K76" s="86"/>
      <c r="L76" s="86"/>
      <c r="M76" s="86"/>
      <c r="N76" s="86"/>
      <c r="O76" s="86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-4.63314804876893E-2</v>
      </c>
      <c r="P76" s="86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-9.26629609753786E-2</v>
      </c>
      <c r="Q76" s="86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-0.13899444146306789</v>
      </c>
      <c r="R76" s="86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-0.1853259219507572</v>
      </c>
      <c r="S76" s="86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-0.23165740243844646</v>
      </c>
      <c r="T76" s="86"/>
    </row>
    <row r="77" spans="1:31" outlineLevel="1">
      <c r="C77" s="82" t="str">
        <f>'Input|Step changes'!C15</f>
        <v>Digital (SaaS, Licenses, etc.)</v>
      </c>
      <c r="D77" s="16" t="s">
        <v>50</v>
      </c>
      <c r="E77" s="16" t="str">
        <f t="shared" si="7"/>
        <v>$millions</v>
      </c>
      <c r="F77" s="116">
        <f t="shared" si="8"/>
        <v>46174</v>
      </c>
      <c r="J77" s="86">
        <f>'Input|Step changes'!J15*INDEX('Input|Rate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K77" s="86">
        <f>'Input|Step changes'!K15*INDEX('Input|Rate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L77" s="86">
        <f>'Input|Step changes'!L15*INDEX('Input|Rate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M77" s="86">
        <f>'Input|Step changes'!M15*INDEX('Input|Rate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N77" s="86">
        <f>'Input|Step changes'!N15*INDEX('Input|Rate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O77" s="86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3.6081003843999992</v>
      </c>
      <c r="P77" s="86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7.3547904693999984</v>
      </c>
      <c r="Q77" s="86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8.6852701943999975</v>
      </c>
      <c r="R77" s="86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10.024204119399998</v>
      </c>
      <c r="S77" s="86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10.239786219399997</v>
      </c>
      <c r="T77" s="86"/>
    </row>
    <row r="78" spans="1:31" outlineLevel="1">
      <c r="C78" s="82" t="str">
        <f>'Input|Step changes'!C16</f>
        <v xml:space="preserve">EFD Rollout </v>
      </c>
      <c r="D78" s="16" t="s">
        <v>50</v>
      </c>
      <c r="E78" s="16" t="str">
        <f t="shared" si="7"/>
        <v>$millions</v>
      </c>
      <c r="F78" s="116">
        <f t="shared" si="8"/>
        <v>46174</v>
      </c>
      <c r="J78" s="86"/>
      <c r="K78" s="86"/>
      <c r="L78" s="86"/>
      <c r="M78" s="86"/>
      <c r="N78" s="86"/>
      <c r="O78" s="86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1.5707620503253217</v>
      </c>
      <c r="P78" s="86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1.5698472309887788</v>
      </c>
      <c r="Q78" s="86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1.5682594465593149</v>
      </c>
      <c r="R78" s="86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1.5665337617618253</v>
      </c>
      <c r="S78" s="86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1.564895674030385</v>
      </c>
      <c r="T78" s="86"/>
    </row>
    <row r="79" spans="1:31" outlineLevel="1">
      <c r="C79" s="82" t="str">
        <f>'Input|Step changes'!C17</f>
        <v>Digital Efficiencies</v>
      </c>
      <c r="D79" s="16" t="s">
        <v>50</v>
      </c>
      <c r="E79" s="16" t="str">
        <f t="shared" si="7"/>
        <v>$millions</v>
      </c>
      <c r="F79" s="116">
        <f t="shared" si="8"/>
        <v>46174</v>
      </c>
      <c r="J79" s="86">
        <f>'Input|Step changes'!J17*INDEX('Input|Rate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K79" s="86">
        <f>'Input|Step changes'!K17*INDEX('Input|Rate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L79" s="86">
        <f>'Input|Step changes'!L17*INDEX('Input|Rate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M79" s="86">
        <f>'Input|Step changes'!M17*INDEX('Input|Rate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N79" s="86">
        <f>'Input|Step changes'!N17*INDEX('Input|Rate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O79" s="86">
        <f>'Input|Step changes'!O17*INDEX('Input|Rate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-0.77054480114239976</v>
      </c>
      <c r="P79" s="86">
        <f>'Input|Step changes'!P17*INDEX('Input|Rate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-0.77054480114239976</v>
      </c>
      <c r="Q79" s="86">
        <f>'Input|Step changes'!Q17*INDEX('Input|Rate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-0.77054480114239976</v>
      </c>
      <c r="R79" s="86">
        <f>'Input|Step changes'!R17*INDEX('Input|Rate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-0.77054480114239976</v>
      </c>
      <c r="S79" s="86">
        <f>'Input|Step changes'!S17*INDEX('Input|Rate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-0.77054480114239976</v>
      </c>
      <c r="T79" s="86"/>
    </row>
    <row r="80" spans="1:31" outlineLevel="1">
      <c r="C80" s="82" t="str">
        <f>'Input|Step changes'!C18</f>
        <v xml:space="preserve">Preparedness and Response </v>
      </c>
      <c r="D80" s="16" t="s">
        <v>50</v>
      </c>
      <c r="E80" s="16" t="str">
        <f t="shared" si="7"/>
        <v>$millions</v>
      </c>
      <c r="F80" s="116">
        <f t="shared" si="8"/>
        <v>46174</v>
      </c>
      <c r="J80" s="86">
        <f>'Input|Step changes'!J18*INDEX('Input|Rate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K80" s="86">
        <f>'Input|Step changes'!K18*INDEX('Input|Rate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L80" s="86">
        <f>'Input|Step changes'!L18*INDEX('Input|Rate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M80" s="86">
        <f>'Input|Step changes'!M18*INDEX('Input|Rate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N80" s="86">
        <f>'Input|Step changes'!N18*INDEX('Input|Rate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O80" s="180">
        <f>'Input|Step changes'!O18*INDEX('Input|Rate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1.8137686833443194</v>
      </c>
      <c r="P80" s="86">
        <f>'Input|Step changes'!P18*INDEX('Input|Rate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1.8777256549461565</v>
      </c>
      <c r="Q80" s="86">
        <f>'Input|Step changes'!Q18*INDEX('Input|Rate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1.8455818311865408</v>
      </c>
      <c r="R80" s="86">
        <f>'Input|Step changes'!R18*INDEX('Input|Rate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1.81298402426157</v>
      </c>
      <c r="S80" s="86">
        <f>'Input|Step changes'!S18*INDEX('Input|Rate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1.8075912594408798</v>
      </c>
      <c r="T80" s="86"/>
    </row>
    <row r="81" spans="1:39" outlineLevel="1">
      <c r="C81" s="82" t="str">
        <f>'Input|Step changes'!C19</f>
        <v>Resilience (Hazard tree program)</v>
      </c>
      <c r="D81" s="16" t="s">
        <v>50</v>
      </c>
      <c r="E81" s="16" t="str">
        <f t="shared" si="7"/>
        <v>$millions</v>
      </c>
      <c r="F81" s="116">
        <f t="shared" si="8"/>
        <v>46174</v>
      </c>
      <c r="J81" s="86">
        <f>'Input|Step changes'!J19*INDEX('Input|Rate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K81" s="86">
        <f>'Input|Step changes'!K19*INDEX('Input|Rate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L81" s="86">
        <f>'Input|Step changes'!L19*INDEX('Input|Rate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M81" s="86">
        <f>'Input|Step changes'!M19*INDEX('Input|Rate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N81" s="86">
        <f>'Input|Step changes'!N19*INDEX('Input|Rate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O81" s="86">
        <f>'Input|Step changes'!O19*INDEX('Input|Rate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3</v>
      </c>
      <c r="P81" s="86">
        <f>'Input|Step changes'!P19*INDEX('Input|Rate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3</v>
      </c>
      <c r="Q81" s="86">
        <f>'Input|Step changes'!Q19*INDEX('Input|Rate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3</v>
      </c>
      <c r="R81" s="86">
        <f>'Input|Step changes'!R19*INDEX('Input|Rate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3</v>
      </c>
      <c r="S81" s="86">
        <f>'Input|Step changes'!S19*INDEX('Input|Rate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3</v>
      </c>
      <c r="T81" s="86"/>
    </row>
    <row r="82" spans="1:39" outlineLevel="1">
      <c r="C82" s="82" t="str">
        <f>'Input|Step changes'!C20</f>
        <v>Customer relationship management and broad communications</v>
      </c>
      <c r="D82" s="16" t="s">
        <v>50</v>
      </c>
      <c r="E82" s="16" t="str">
        <f t="shared" si="7"/>
        <v>$millions</v>
      </c>
      <c r="F82" s="116">
        <f t="shared" si="8"/>
        <v>46174</v>
      </c>
      <c r="J82" s="86">
        <f>'Input|Step changes'!J19*INDEX('Input|Rate of change'!$C$14:$P$22,MATCH('Input|Step changes'!$F19,'Input|Rate of change'!$C$14:$C$22,0),MATCH('Calc|Opex forecast'!$F82,'Input|Rate of change'!$C$14:$P$14,0))*IF('Input|Step changes'!$E19="$millions",1000000,IF('Input|Step changes'!$E19="$000",1000,1))/IF($E82="$millions",1000000,IF($E82="$000",1000,1))</f>
        <v>0</v>
      </c>
      <c r="K82" s="86">
        <f>'Input|Step changes'!K19*INDEX('Input|Rate of change'!$C$14:$P$22,MATCH('Input|Step changes'!$F19,'Input|Rate of change'!$C$14:$C$22,0),MATCH('Calc|Opex forecast'!$F82,'Input|Rate of change'!$C$14:$P$14,0))*IF('Input|Step changes'!$E19="$millions",1000000,IF('Input|Step changes'!$E19="$000",1000,1))/IF($E82="$millions",1000000,IF($E82="$000",1000,1))</f>
        <v>0</v>
      </c>
      <c r="L82" s="86">
        <f>'Input|Step changes'!L19*INDEX('Input|Rate of change'!$C$14:$P$22,MATCH('Input|Step changes'!$F19,'Input|Rate of change'!$C$14:$C$22,0),MATCH('Calc|Opex forecast'!$F82,'Input|Rate of change'!$C$14:$P$14,0))*IF('Input|Step changes'!$E19="$millions",1000000,IF('Input|Step changes'!$E19="$000",1000,1))/IF($E82="$millions",1000000,IF($E82="$000",1000,1))</f>
        <v>0</v>
      </c>
      <c r="M82" s="86">
        <f>'Input|Step changes'!M19*INDEX('Input|Rate of change'!$C$14:$P$22,MATCH('Input|Step changes'!$F19,'Input|Rate of change'!$C$14:$C$22,0),MATCH('Calc|Opex forecast'!$F82,'Input|Rate of change'!$C$14:$P$14,0))*IF('Input|Step changes'!$E19="$millions",1000000,IF('Input|Step changes'!$E19="$000",1000,1))/IF($E82="$millions",1000000,IF($E82="$000",1000,1))</f>
        <v>0</v>
      </c>
      <c r="N82" s="86">
        <f>'Input|Step changes'!N19*INDEX('Input|Rate of change'!$C$14:$P$22,MATCH('Input|Step changes'!$F19,'Input|Rate of change'!$C$14:$C$22,0),MATCH('Calc|Opex forecast'!$F82,'Input|Rate of change'!$C$14:$P$14,0))*IF('Input|Step changes'!$E19="$millions",1000000,IF('Input|Step changes'!$E19="$000",1000,1))/IF($E82="$millions",1000000,IF($E82="$000",1000,1))</f>
        <v>0</v>
      </c>
      <c r="O82" s="86">
        <f>'Input|Step changes'!O20*INDEX('Input|Rate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3.2868505186560282</v>
      </c>
      <c r="P82" s="86">
        <f>'Input|Step changes'!P20*INDEX('Input|Rate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3.1202491163489929</v>
      </c>
      <c r="Q82" s="86">
        <f>'Input|Step changes'!Q20*INDEX('Input|Rate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3.1113949498912601</v>
      </c>
      <c r="R82" s="86">
        <f>'Input|Step changes'!R20*INDEX('Input|Rate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3.1017717918812595</v>
      </c>
      <c r="S82" s="86">
        <f>'Input|Step changes'!S20*INDEX('Input|Rate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3.0926371126531493</v>
      </c>
      <c r="T82" s="86"/>
    </row>
    <row r="83" spans="1:39" outlineLevel="1">
      <c r="C83" s="82" t="str">
        <f>'Input|Step changes'!C21</f>
        <v>Emergency Backstop Mechanism</v>
      </c>
      <c r="D83" s="16" t="s">
        <v>50</v>
      </c>
      <c r="E83" s="16" t="str">
        <f t="shared" si="7"/>
        <v>$millions</v>
      </c>
      <c r="F83" s="116">
        <f t="shared" si="8"/>
        <v>46174</v>
      </c>
      <c r="J83" s="86">
        <f>'Input|Step changes'!J20*INDEX('Input|Rate of change'!$C$14:$P$22,MATCH('Input|Step changes'!$F20,'Input|Rate of change'!$C$14:$C$22,0),MATCH('Calc|Opex forecast'!$F83,'Input|Rate of change'!$C$14:$P$14,0))*IF('Input|Step changes'!$E20="$millions",1000000,IF('Input|Step changes'!$E20="$000",1000,1))/IF($E83="$millions",1000000,IF($E83="$000",1000,1))</f>
        <v>0</v>
      </c>
      <c r="K83" s="86">
        <f>'Input|Step changes'!K20*INDEX('Input|Rate of change'!$C$14:$P$22,MATCH('Input|Step changes'!$F20,'Input|Rate of change'!$C$14:$C$22,0),MATCH('Calc|Opex forecast'!$F83,'Input|Rate of change'!$C$14:$P$14,0))*IF('Input|Step changes'!$E20="$millions",1000000,IF('Input|Step changes'!$E20="$000",1000,1))/IF($E83="$millions",1000000,IF($E83="$000",1000,1))</f>
        <v>0</v>
      </c>
      <c r="L83" s="86">
        <f>'Input|Step changes'!L20*INDEX('Input|Rate of change'!$C$14:$P$22,MATCH('Input|Step changes'!$F20,'Input|Rate of change'!$C$14:$C$22,0),MATCH('Calc|Opex forecast'!$F83,'Input|Rate of change'!$C$14:$P$14,0))*IF('Input|Step changes'!$E20="$millions",1000000,IF('Input|Step changes'!$E20="$000",1000,1))/IF($E83="$millions",1000000,IF($E83="$000",1000,1))</f>
        <v>0</v>
      </c>
      <c r="M83" s="86">
        <f>'Input|Step changes'!M20*INDEX('Input|Rate of change'!$C$14:$P$22,MATCH('Input|Step changes'!$F20,'Input|Rate of change'!$C$14:$C$22,0),MATCH('Calc|Opex forecast'!$F83,'Input|Rate of change'!$C$14:$P$14,0))*IF('Input|Step changes'!$E20="$millions",1000000,IF('Input|Step changes'!$E20="$000",1000,1))/IF($E83="$millions",1000000,IF($E83="$000",1000,1))</f>
        <v>0</v>
      </c>
      <c r="N83" s="86">
        <f>'Input|Step changes'!N20*INDEX('Input|Rate of change'!$C$14:$P$22,MATCH('Input|Step changes'!$F20,'Input|Rate of change'!$C$14:$C$22,0),MATCH('Calc|Opex forecast'!$F83,'Input|Rate of change'!$C$14:$P$14,0))*IF('Input|Step changes'!$E20="$millions",1000000,IF('Input|Step changes'!$E20="$000",1000,1))/IF($E83="$millions",1000000,IF($E83="$000",1000,1))</f>
        <v>0</v>
      </c>
      <c r="O83" s="86">
        <f>'Input|Step changes'!O21*INDEX('Input|Rate of change'!$C$14:$P$22,MATCH('Input|Step changes'!$F21,'Input|Rate of change'!$C$14:$C$22,0),MATCH('Calc|Opex forecast'!$F83,'Input|Rate of change'!$C$14:$P$14,0))*IF('Input|Step changes'!$E21="$millions",1000000,IF('Input|Step changes'!$E21="$000",1000,1))/IF($E83="$millions",1000000,IF($E83="$000",1000,1))</f>
        <v>3.2501394702565256</v>
      </c>
      <c r="P83" s="86">
        <f>'Input|Step changes'!P21*INDEX('Input|Rate of change'!$C$14:$P$22,MATCH('Input|Step changes'!$F21,'Input|Rate of change'!$C$14:$C$22,0),MATCH('Calc|Opex forecast'!$F83,'Input|Rate of change'!$C$14:$P$14,0))*IF('Input|Step changes'!$E21="$millions",1000000,IF('Input|Step changes'!$E21="$000",1000,1))/IF($E83="$millions",1000000,IF($E83="$000",1000,1))</f>
        <v>3.2501394702565256</v>
      </c>
      <c r="Q83" s="86">
        <f>'Input|Step changes'!Q21*INDEX('Input|Rate of change'!$C$14:$P$22,MATCH('Input|Step changes'!$F21,'Input|Rate of change'!$C$14:$C$22,0),MATCH('Calc|Opex forecast'!$F83,'Input|Rate of change'!$C$14:$P$14,0))*IF('Input|Step changes'!$E21="$millions",1000000,IF('Input|Step changes'!$E21="$000",1000,1))/IF($E83="$millions",1000000,IF($E83="$000",1000,1))</f>
        <v>4.3218593823065241</v>
      </c>
      <c r="R83" s="86">
        <f>'Input|Step changes'!R21*INDEX('Input|Rate of change'!$C$14:$P$22,MATCH('Input|Step changes'!$F21,'Input|Rate of change'!$C$14:$C$22,0),MATCH('Calc|Opex forecast'!$F83,'Input|Rate of change'!$C$14:$P$14,0))*IF('Input|Step changes'!$E21="$millions",1000000,IF('Input|Step changes'!$E21="$000",1000,1))/IF($E83="$millions",1000000,IF($E83="$000",1000,1))</f>
        <v>5.3516369513815247</v>
      </c>
      <c r="S83" s="86">
        <f>'Input|Step changes'!S21*INDEX('Input|Rate of change'!$C$14:$P$22,MATCH('Input|Step changes'!$F21,'Input|Rate of change'!$C$14:$C$22,0),MATCH('Calc|Opex forecast'!$F83,'Input|Rate of change'!$C$14:$P$14,0))*IF('Input|Step changes'!$E21="$millions",1000000,IF('Input|Step changes'!$E21="$000",1000,1))/IF($E83="$millions",1000000,IF($E83="$000",1000,1))</f>
        <v>5.4566624212065253</v>
      </c>
      <c r="T83" s="86"/>
    </row>
    <row r="84" spans="1:39" outlineLevel="1">
      <c r="C84" s="82" t="str">
        <f>'Input|Step changes'!C22</f>
        <v>Insurance</v>
      </c>
      <c r="D84" s="16" t="s">
        <v>50</v>
      </c>
      <c r="E84" s="16" t="str">
        <f t="shared" si="7"/>
        <v>$millions</v>
      </c>
      <c r="F84" s="128">
        <f t="shared" si="8"/>
        <v>46174</v>
      </c>
      <c r="J84" s="86"/>
      <c r="K84" s="86"/>
      <c r="L84" s="86"/>
      <c r="M84" s="86"/>
      <c r="N84" s="86"/>
      <c r="O84" s="86">
        <f>'Input|Step changes'!O22*INDEX('Input|Rate of change'!$C$14:$P$22,MATCH('Input|Step changes'!$F22,'Input|Rate of change'!$C$14:$C$22,0),MATCH('Calc|Opex forecast'!$F84,'Input|Rate of change'!$C$14:$P$14,0))*IF('Input|Step changes'!$E22="$millions",1000000,IF('Input|Step changes'!$E22="$000",1000,1))/IF($E84="$millions",1000000,IF($E84="$000",1000,1))</f>
        <v>1.7583568811672983</v>
      </c>
      <c r="P84" s="86">
        <f>'Input|Step changes'!P22*INDEX('Input|Rate of change'!$C$14:$P$22,MATCH('Input|Step changes'!$F22,'Input|Rate of change'!$C$14:$C$22,0),MATCH('Calc|Opex forecast'!$F84,'Input|Rate of change'!$C$14:$P$14,0))*IF('Input|Step changes'!$E22="$millions",1000000,IF('Input|Step changes'!$E22="$000",1000,1))/IF($E84="$millions",1000000,IF($E84="$000",1000,1))</f>
        <v>1.9977480700983368</v>
      </c>
      <c r="Q84" s="86">
        <f>'Input|Step changes'!Q22*INDEX('Input|Rate of change'!$C$14:$P$22,MATCH('Input|Step changes'!$F22,'Input|Rate of change'!$C$14:$C$22,0),MATCH('Calc|Opex forecast'!$F84,'Input|Rate of change'!$C$14:$P$14,0))*IF('Input|Step changes'!$E22="$millions",1000000,IF('Input|Step changes'!$E22="$000",1000,1))/IF($E84="$millions",1000000,IF($E84="$000",1000,1))</f>
        <v>2.1264178791702593</v>
      </c>
      <c r="R84" s="86">
        <f>'Input|Step changes'!R22*INDEX('Input|Rate of change'!$C$14:$P$22,MATCH('Input|Step changes'!$F22,'Input|Rate of change'!$C$14:$C$22,0),MATCH('Calc|Opex forecast'!$F84,'Input|Rate of change'!$C$14:$P$14,0))*IF('Input|Step changes'!$E22="$millions",1000000,IF('Input|Step changes'!$E22="$000",1000,1))/IF($E84="$millions",1000000,IF($E84="$000",1000,1))</f>
        <v>2.2404596078410743</v>
      </c>
      <c r="S84" s="86">
        <f>'Input|Step changes'!S22*INDEX('Input|Rate of change'!$C$14:$P$22,MATCH('Input|Step changes'!$F22,'Input|Rate of change'!$C$14:$C$22,0),MATCH('Calc|Opex forecast'!$F84,'Input|Rate of change'!$C$14:$P$14,0))*IF('Input|Step changes'!$E22="$millions",1000000,IF('Input|Step changes'!$E22="$000",1000,1))/IF($E84="$millions",1000000,IF($E84="$000",1000,1))</f>
        <v>2.3805154215368947</v>
      </c>
      <c r="T84" s="86"/>
    </row>
    <row r="85" spans="1:39" ht="10.5" outlineLevel="1">
      <c r="C85" s="75" t="s">
        <v>136</v>
      </c>
      <c r="D85" s="83" t="s">
        <v>50</v>
      </c>
      <c r="E85" s="83" t="str">
        <f>$E$8</f>
        <v>$millions</v>
      </c>
      <c r="F85" s="126">
        <f t="shared" si="8"/>
        <v>46174</v>
      </c>
      <c r="G85" s="21"/>
      <c r="H85" s="21"/>
      <c r="I85" s="21"/>
      <c r="J85" s="87">
        <f t="shared" ref="J85:N85" si="9">SUM(J73:J84)</f>
        <v>0</v>
      </c>
      <c r="K85" s="87">
        <f t="shared" si="9"/>
        <v>0</v>
      </c>
      <c r="L85" s="87">
        <f t="shared" si="9"/>
        <v>0</v>
      </c>
      <c r="M85" s="87">
        <f t="shared" si="9"/>
        <v>0</v>
      </c>
      <c r="N85" s="87">
        <f t="shared" si="9"/>
        <v>0</v>
      </c>
      <c r="O85" s="87">
        <f>SUM(O72:O84)</f>
        <v>19.612755580869404</v>
      </c>
      <c r="P85" s="87">
        <f>SUM(P72:P84)</f>
        <v>23.985787824271007</v>
      </c>
      <c r="Q85" s="87">
        <f>SUM(Q72:Q84)</f>
        <v>27.02164756525843</v>
      </c>
      <c r="R85" s="87">
        <f>SUM(R72:R84)</f>
        <v>30.065096057784096</v>
      </c>
      <c r="S85" s="87">
        <f>SUM(S72:S84)</f>
        <v>31.000104129036988</v>
      </c>
      <c r="T85" s="87"/>
    </row>
    <row r="86" spans="1:39" ht="10.5">
      <c r="C86" s="84"/>
      <c r="J86" s="71"/>
      <c r="K86" s="71"/>
      <c r="L86" s="71"/>
      <c r="M86" s="71"/>
      <c r="N86" s="23"/>
      <c r="O86" s="23"/>
      <c r="P86" s="23"/>
      <c r="Q86" s="23"/>
      <c r="R86" s="23"/>
      <c r="S86" s="23"/>
      <c r="T86" s="23"/>
    </row>
    <row r="87" spans="1:39" customFormat="1" ht="13">
      <c r="A87" s="37"/>
      <c r="B87" s="43" t="s">
        <v>137</v>
      </c>
      <c r="C87" s="37"/>
      <c r="D87" s="37"/>
      <c r="E87" s="37"/>
      <c r="F87" s="38"/>
      <c r="G87" s="38"/>
      <c r="H87" s="38"/>
      <c r="I87" s="38"/>
      <c r="J87" s="39"/>
      <c r="K87" s="40"/>
      <c r="L87" s="39"/>
      <c r="M87" s="40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0"/>
      <c r="Y87" s="41"/>
      <c r="Z87" s="41"/>
      <c r="AA87" s="41"/>
      <c r="AB87" s="41"/>
      <c r="AC87" s="41"/>
      <c r="AD87" s="42"/>
      <c r="AE87" s="42"/>
    </row>
    <row r="88" spans="1:39" outlineLevel="1">
      <c r="C88" s="15"/>
      <c r="J88" s="71"/>
      <c r="K88" s="71"/>
      <c r="L88" s="71"/>
    </row>
    <row r="89" spans="1:39" ht="10.5" outlineLevel="1">
      <c r="C89" s="9" t="s">
        <v>110</v>
      </c>
      <c r="D89" s="21" t="s">
        <v>34</v>
      </c>
      <c r="E89" s="21" t="s">
        <v>51</v>
      </c>
      <c r="F89" s="21" t="s">
        <v>54</v>
      </c>
      <c r="J89" s="118" t="str">
        <f>IF(YEAR(J$4)&gt;='Input|General'!$G$13,IF(YEAR(J$4)&lt;='Input|General'!$G$14,J$4,""),"")</f>
        <v/>
      </c>
      <c r="K89" s="118" t="str">
        <f>IF(YEAR(K$4)&gt;='Input|General'!$G$13,IF(YEAR(K$4)&lt;='Input|General'!$G$14,K$4,""),"")</f>
        <v/>
      </c>
      <c r="L89" s="118" t="str">
        <f>IF(YEAR(L$4)&gt;='Input|General'!$G$13,IF(YEAR(L$4)&lt;='Input|General'!$G$14,L$4,""),"")</f>
        <v/>
      </c>
      <c r="M89" s="118" t="str">
        <f>IF(YEAR(M$4)&gt;='Input|General'!$G$13,IF(YEAR(M$4)&lt;='Input|General'!$G$14,M$4,""),"")</f>
        <v/>
      </c>
      <c r="N89" s="118" t="str">
        <f>IF(YEAR(N$4)&gt;='Input|General'!$G$13,IF(YEAR(N$4)&lt;='Input|General'!$G$14,N$4,""),"")</f>
        <v/>
      </c>
      <c r="O89" s="118">
        <f>IF(YEAR(O$4)&gt;='Input|General'!$G$13,IF(YEAR(O$4)&lt;='Input|General'!$G$14,O$4,""),"")</f>
        <v>46539</v>
      </c>
      <c r="P89" s="118">
        <f>IF(YEAR(P$4)&gt;='Input|General'!$G$13,IF(YEAR(P$4)&lt;='Input|General'!$G$14,P$4,""),"")</f>
        <v>46905</v>
      </c>
      <c r="Q89" s="118">
        <f>IF(YEAR(Q$4)&gt;='Input|General'!$G$13,IF(YEAR(Q$4)&lt;='Input|General'!$G$14,Q$4,""),"")</f>
        <v>47270</v>
      </c>
      <c r="R89" s="118">
        <f>IF(YEAR(R$4)&gt;='Input|General'!$G$13,IF(YEAR(R$4)&lt;='Input|General'!$G$14,R$4,""),"")</f>
        <v>47635</v>
      </c>
      <c r="S89" s="118">
        <f>IF(YEAR(S$4)&gt;='Input|General'!$G$13,IF(YEAR(S$4)&lt;='Input|General'!$G$14,S$4,""),"")</f>
        <v>48000</v>
      </c>
      <c r="T89" s="118" t="str">
        <f>IF(YEAR(T$4)&gt;='Input|General'!$G$13,IF(YEAR(T$4)&lt;='Input|General'!$G$14,T$4,""),"")</f>
        <v/>
      </c>
    </row>
    <row r="90" spans="1:39" ht="10.5" outlineLevel="1">
      <c r="C90" s="9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39" outlineLevel="1">
      <c r="C91" s="82" t="str">
        <f>'Input|Step changes'!C30</f>
        <v>GSL payments</v>
      </c>
      <c r="D91" s="16" t="s">
        <v>50</v>
      </c>
      <c r="E91" s="16" t="str">
        <f t="shared" si="7"/>
        <v>$millions</v>
      </c>
      <c r="F91" s="116">
        <f t="shared" ref="F91:F95" si="10">$F$8</f>
        <v>46174</v>
      </c>
      <c r="J91" s="86">
        <f>'Input|Step changes'!J30*INDEX('Input|Rate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0</v>
      </c>
      <c r="K91" s="86">
        <f>'Input|Step changes'!K30*INDEX('Input|Rate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0</v>
      </c>
      <c r="L91" s="86">
        <f>'Input|Step changes'!L30*INDEX('Input|Rate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0</v>
      </c>
      <c r="M91" s="86">
        <f>'Input|Step changes'!M30*INDEX('Input|Rate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0</v>
      </c>
      <c r="N91" s="86">
        <f>'Input|Step changes'!N30*INDEX('Input|Rate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0</v>
      </c>
      <c r="O91" s="86">
        <f>'Input|Step changes'!O30*INDEX('Input|Rate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11.118533963725287</v>
      </c>
      <c r="P91" s="86">
        <f>'Input|Step changes'!P30*INDEX('Input|Rate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10.793915778707442</v>
      </c>
      <c r="Q91" s="86">
        <f>'Input|Step changes'!Q30*INDEX('Input|Rate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10.682662750790376</v>
      </c>
      <c r="R91" s="86">
        <f>'Input|Step changes'!R30*INDEX('Input|Rate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10.682662750790376</v>
      </c>
      <c r="S91" s="86">
        <f>'Input|Step changes'!S30*INDEX('Input|Rate of change'!$C$14:$P$22,MATCH('Input|Step changes'!$F30,'Input|Rate of change'!$C$14:$C$22,0),MATCH('Calc|Opex forecast'!$F91,'Input|Rate of change'!$C$14:$P$14,0))*IF('Input|Step changes'!$E30="$millions",1000000,IF('Input|Step changes'!$E30="$000",1000,1))/IF($E91="$millions",1000000,IF($E91="$000",1000,1))</f>
        <v>10.682662750790376</v>
      </c>
      <c r="T91" s="178"/>
    </row>
    <row r="92" spans="1:39" outlineLevel="1">
      <c r="C92" s="82" t="str">
        <f>'Input|Step changes'!C31</f>
        <v>Innovation fund</v>
      </c>
      <c r="D92" s="16" t="s">
        <v>50</v>
      </c>
      <c r="E92" s="16" t="str">
        <f t="shared" si="7"/>
        <v>$millions</v>
      </c>
      <c r="F92" s="116">
        <f t="shared" si="10"/>
        <v>46174</v>
      </c>
      <c r="J92" s="86">
        <f>'Input|Step changes'!J31*INDEX('Input|Rate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0</v>
      </c>
      <c r="K92" s="86">
        <f>'Input|Step changes'!K31*INDEX('Input|Rate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0</v>
      </c>
      <c r="L92" s="86">
        <f>'Input|Step changes'!L31*INDEX('Input|Rate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0</v>
      </c>
      <c r="M92" s="86">
        <f>'Input|Step changes'!M31*INDEX('Input|Rate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0</v>
      </c>
      <c r="N92" s="86">
        <f>'Input|Step changes'!N31*INDEX('Input|Rate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0</v>
      </c>
      <c r="O92" s="86">
        <f>'Input|Step changes'!O31*INDEX('Input|Rate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0.32760024999999993</v>
      </c>
      <c r="P92" s="86">
        <f>'Input|Step changes'!P31*INDEX('Input|Rate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1.2998332499999998</v>
      </c>
      <c r="Q92" s="86">
        <f>'Input|Step changes'!Q31*INDEX('Input|Rate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1.7542464999999996</v>
      </c>
      <c r="R92" s="86">
        <f>'Input|Step changes'!R31*INDEX('Input|Rate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2.2297952499999996</v>
      </c>
      <c r="S92" s="86">
        <f>'Input|Step changes'!S31*INDEX('Input|Rate of change'!$C$14:$P$22,MATCH('Input|Step changes'!$F31,'Input|Rate of change'!$C$14:$C$22,0),MATCH('Calc|Opex forecast'!$F92,'Input|Rate of change'!$C$14:$P$14,0))*IF('Input|Step changes'!$E31="$millions",1000000,IF('Input|Step changes'!$E31="$000",1000,1))/IF($E92="$millions",1000000,IF($E92="$000",1000,1))</f>
        <v>2.0501434999999995</v>
      </c>
      <c r="T92" s="86"/>
    </row>
    <row r="93" spans="1:39" outlineLevel="1">
      <c r="C93" s="82">
        <f>'Input|Step changes'!C32</f>
        <v>0</v>
      </c>
      <c r="D93" s="16" t="s">
        <v>50</v>
      </c>
      <c r="E93" s="16" t="str">
        <f t="shared" si="7"/>
        <v>$millions</v>
      </c>
      <c r="F93" s="116">
        <f t="shared" si="10"/>
        <v>46174</v>
      </c>
      <c r="J93" s="86">
        <f>'Input|Step changes'!J32*INDEX('Input|Rate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K93" s="86">
        <f>'Input|Step changes'!K32*INDEX('Input|Rate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L93" s="86">
        <f>'Input|Step changes'!L32*INDEX('Input|Rate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M93" s="86">
        <f>'Input|Step changes'!M32*INDEX('Input|Rate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N93" s="86">
        <f>'Input|Step changes'!N32*INDEX('Input|Rate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O93" s="86">
        <f>'Input|Step changes'!O32*INDEX('Input|Rate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P93" s="86">
        <f>'Input|Step changes'!P32*INDEX('Input|Rate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Q93" s="86">
        <f>'Input|Step changes'!Q32*INDEX('Input|Rate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R93" s="86">
        <f>'Input|Step changes'!R32*INDEX('Input|Rate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S93" s="86">
        <f>'Input|Step changes'!S32*INDEX('Input|Rate of change'!$C$14:$P$22,MATCH('Input|Step changes'!$F32,'Input|Rate of change'!$C$14:$C$22,0),MATCH('Calc|Opex forecast'!$F93,'Input|Rate of change'!$C$14:$P$14,0))*IF('Input|Step changes'!$E32="$millions",1000000,IF('Input|Step changes'!$E32="$000",1000,1))/IF($E93="$millions",1000000,IF($E93="$000",1000,1))</f>
        <v>0</v>
      </c>
      <c r="T93" s="86"/>
    </row>
    <row r="94" spans="1:39" outlineLevel="1">
      <c r="C94" s="82">
        <f>'Input|Step changes'!C33</f>
        <v>0</v>
      </c>
      <c r="D94" s="16" t="s">
        <v>50</v>
      </c>
      <c r="E94" s="16" t="str">
        <f t="shared" si="7"/>
        <v>$millions</v>
      </c>
      <c r="F94" s="116">
        <f t="shared" si="10"/>
        <v>46174</v>
      </c>
      <c r="J94" s="86">
        <f>'Input|Step changes'!J33*INDEX('Input|Rate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K94" s="86">
        <f>'Input|Step changes'!K33*INDEX('Input|Rate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L94" s="86">
        <f>'Input|Step changes'!L33*INDEX('Input|Rate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M94" s="86">
        <f>'Input|Step changes'!M33*INDEX('Input|Rate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N94" s="86">
        <f>'Input|Step changes'!N33*INDEX('Input|Rate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O94" s="86">
        <f>'Input|Step changes'!O33*INDEX('Input|Rate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P94" s="86">
        <f>'Input|Step changes'!P33*INDEX('Input|Rate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Q94" s="86">
        <f>'Input|Step changes'!Q33*INDEX('Input|Rate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R94" s="86">
        <f>'Input|Step changes'!R33*INDEX('Input|Rate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S94" s="86">
        <f>'Input|Step changes'!S33*INDEX('Input|Rate of change'!$C$14:$P$22,MATCH('Input|Step changes'!$F33,'Input|Rate of change'!$C$14:$C$22,0),MATCH('Calc|Opex forecast'!$F94,'Input|Rate of change'!$C$14:$P$14,0))*IF('Input|Step changes'!$E33="$millions",1000000,IF('Input|Step changes'!$E33="$000",1000,1))/IF($E94="$millions",1000000,IF($E94="$000",1000,1))</f>
        <v>0</v>
      </c>
      <c r="T94" s="86"/>
    </row>
    <row r="95" spans="1:39" outlineLevel="1">
      <c r="C95" s="82">
        <f>'Input|Step changes'!C34</f>
        <v>0</v>
      </c>
      <c r="D95" s="16" t="s">
        <v>50</v>
      </c>
      <c r="E95" s="16" t="str">
        <f t="shared" si="7"/>
        <v>$millions</v>
      </c>
      <c r="F95" s="116">
        <f t="shared" si="10"/>
        <v>46174</v>
      </c>
      <c r="J95" s="86">
        <f>'Input|Step changes'!J34*INDEX('Input|Rate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K95" s="86">
        <f>'Input|Step changes'!K34*INDEX('Input|Rate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L95" s="86">
        <f>'Input|Step changes'!L34*INDEX('Input|Rate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M95" s="86">
        <f>'Input|Step changes'!M34*INDEX('Input|Rate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N95" s="86">
        <f>'Input|Step changes'!N34*INDEX('Input|Rate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O95" s="86">
        <f>'Input|Step changes'!O34*INDEX('Input|Rate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P95" s="86">
        <f>'Input|Step changes'!P34*INDEX('Input|Rate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Q95" s="86">
        <f>'Input|Step changes'!Q34*INDEX('Input|Rate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R95" s="86">
        <f>'Input|Step changes'!R34*INDEX('Input|Rate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S95" s="86">
        <f>'Input|Step changes'!S34*INDEX('Input|Rate of change'!$C$14:$P$22,MATCH('Input|Step changes'!$F34,'Input|Rate of change'!$C$14:$C$22,0),MATCH('Calc|Opex forecast'!$F95,'Input|Rate of change'!$C$14:$P$14,0))*IF('Input|Step changes'!$E34="$millions",1000000,IF('Input|Step changes'!$E34="$000",1000,1))/IF($E95="$millions",1000000,IF($E95="$000",1000,1))</f>
        <v>0</v>
      </c>
      <c r="T95" s="86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</row>
    <row r="96" spans="1:39" outlineLevel="1">
      <c r="C96" s="82"/>
      <c r="F96" s="74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</row>
    <row r="97" spans="1:31" ht="10.5" outlineLevel="1">
      <c r="C97" s="75" t="s">
        <v>138</v>
      </c>
      <c r="D97" s="83" t="s">
        <v>50</v>
      </c>
      <c r="E97" s="83" t="str">
        <f>$E$8</f>
        <v>$millions</v>
      </c>
      <c r="F97" s="126">
        <f t="shared" ref="F97" si="11">$F$8</f>
        <v>46174</v>
      </c>
      <c r="G97" s="21"/>
      <c r="H97" s="21"/>
      <c r="I97" s="21"/>
      <c r="J97" s="87">
        <f t="shared" ref="J97:S97" si="12">SUM(J90:J95)</f>
        <v>0</v>
      </c>
      <c r="K97" s="87">
        <f t="shared" si="12"/>
        <v>0</v>
      </c>
      <c r="L97" s="87">
        <f t="shared" si="12"/>
        <v>0</v>
      </c>
      <c r="M97" s="87">
        <f t="shared" si="12"/>
        <v>0</v>
      </c>
      <c r="N97" s="87">
        <f t="shared" si="12"/>
        <v>0</v>
      </c>
      <c r="O97" s="87">
        <f t="shared" si="12"/>
        <v>11.446134213725287</v>
      </c>
      <c r="P97" s="87">
        <f t="shared" si="12"/>
        <v>12.093749028707443</v>
      </c>
      <c r="Q97" s="87">
        <f t="shared" si="12"/>
        <v>12.436909250790375</v>
      </c>
      <c r="R97" s="87">
        <f t="shared" si="12"/>
        <v>12.912458000790377</v>
      </c>
      <c r="S97" s="87">
        <f t="shared" si="12"/>
        <v>12.732806250790375</v>
      </c>
      <c r="T97" s="87"/>
    </row>
    <row r="98" spans="1:31" ht="10.5">
      <c r="C98" s="84"/>
      <c r="J98" s="71"/>
      <c r="K98" s="71"/>
      <c r="L98" s="71"/>
      <c r="M98" s="71"/>
      <c r="N98" s="23"/>
      <c r="O98" s="23"/>
      <c r="P98" s="23"/>
      <c r="Q98" s="23"/>
      <c r="R98" s="23"/>
      <c r="S98" s="23"/>
      <c r="T98" s="23"/>
    </row>
    <row r="99" spans="1:31" customFormat="1" ht="13">
      <c r="A99" s="37"/>
      <c r="B99" s="43" t="s">
        <v>139</v>
      </c>
      <c r="C99" s="37"/>
      <c r="D99" s="37"/>
      <c r="E99" s="37"/>
      <c r="F99" s="38"/>
      <c r="G99" s="38"/>
      <c r="H99" s="38"/>
      <c r="I99" s="38"/>
      <c r="J99" s="39"/>
      <c r="K99" s="40"/>
      <c r="L99" s="39"/>
      <c r="M99" s="40"/>
      <c r="N99" s="39"/>
      <c r="O99" s="39"/>
      <c r="P99" s="39"/>
      <c r="Q99" s="39"/>
      <c r="R99" s="39"/>
      <c r="S99" s="39"/>
      <c r="T99" s="39"/>
      <c r="U99" s="39"/>
      <c r="V99" s="39"/>
      <c r="W99" s="40"/>
      <c r="X99" s="40"/>
      <c r="Y99" s="41"/>
      <c r="Z99" s="41"/>
      <c r="AA99" s="41"/>
      <c r="AB99" s="41"/>
      <c r="AC99" s="41"/>
      <c r="AD99" s="42"/>
      <c r="AE99" s="42"/>
    </row>
    <row r="100" spans="1:31" outlineLevel="1">
      <c r="C100" s="15"/>
      <c r="J100" s="71"/>
      <c r="K100" s="71"/>
      <c r="L100" s="71"/>
    </row>
    <row r="101" spans="1:31" ht="10.5" outlineLevel="1">
      <c r="C101" s="9"/>
      <c r="J101" s="118" t="str">
        <f>IF(YEAR(J$4)&gt;='Input|General'!$G$13,IF(YEAR(J$4)&lt;='Input|General'!$G$14,J$4,""),"")</f>
        <v/>
      </c>
      <c r="K101" s="118" t="str">
        <f>IF(YEAR(K$4)&gt;='Input|General'!$G$13,IF(YEAR(K$4)&lt;='Input|General'!$G$14,K$4,""),"")</f>
        <v/>
      </c>
      <c r="L101" s="118" t="str">
        <f>IF(YEAR(L$4)&gt;='Input|General'!$G$13,IF(YEAR(L$4)&lt;='Input|General'!$G$14,L$4,""),"")</f>
        <v/>
      </c>
      <c r="M101" s="118" t="str">
        <f>IF(YEAR(M$4)&gt;='Input|General'!$G$13,IF(YEAR(M$4)&lt;='Input|General'!$G$14,M$4,""),"")</f>
        <v/>
      </c>
      <c r="N101" s="118" t="str">
        <f>IF(YEAR(N$4)&gt;='Input|General'!$G$13,IF(YEAR(N$4)&lt;='Input|General'!$G$14,N$4,""),"")</f>
        <v/>
      </c>
      <c r="O101" s="118">
        <f>IF(YEAR(O$4)&gt;='Input|General'!$G$13,IF(YEAR(O$4)&lt;='Input|General'!$G$14,O$4,""),"")</f>
        <v>46539</v>
      </c>
      <c r="P101" s="118">
        <f>IF(YEAR(P$4)&gt;='Input|General'!$G$13,IF(YEAR(P$4)&lt;='Input|General'!$G$14,P$4,""),"")</f>
        <v>46905</v>
      </c>
      <c r="Q101" s="118">
        <f>IF(YEAR(Q$4)&gt;='Input|General'!$G$13,IF(YEAR(Q$4)&lt;='Input|General'!$G$14,Q$4,""),"")</f>
        <v>47270</v>
      </c>
      <c r="R101" s="118">
        <f>IF(YEAR(R$4)&gt;='Input|General'!$G$13,IF(YEAR(R$4)&lt;='Input|General'!$G$14,R$4,""),"")</f>
        <v>47635</v>
      </c>
      <c r="S101" s="118">
        <f>IF(YEAR(S$4)&gt;='Input|General'!$G$13,IF(YEAR(S$4)&lt;='Input|General'!$G$14,S$4,""),"")</f>
        <v>48000</v>
      </c>
      <c r="T101" s="118" t="str">
        <f>IF(YEAR(T$4)&gt;='Input|General'!$G$13,IF(YEAR(T$4)&lt;='Input|General'!$G$14,T$4,""),"")</f>
        <v/>
      </c>
    </row>
    <row r="102" spans="1:31" ht="10.5" outlineLevel="1">
      <c r="C102" s="9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</row>
    <row r="103" spans="1:31" ht="10.5" outlineLevel="1">
      <c r="C103" s="84" t="s">
        <v>140</v>
      </c>
      <c r="D103" s="21" t="s">
        <v>50</v>
      </c>
      <c r="E103" s="21" t="str">
        <f>$E$8</f>
        <v>$millions</v>
      </c>
      <c r="F103" s="126">
        <f t="shared" ref="F103:F105" si="13">$F$8</f>
        <v>46174</v>
      </c>
      <c r="J103" s="107" t="str">
        <f t="shared" ref="J103:S103" si="14">IF(YEAR(J$4)&gt;=FPFirstYear,IF(YEAR(J$4)&lt;=FPLastYear,IF(ISBLANK(J101),"",(1+J68)*SUM($J54:$S54)+J85),""),"")</f>
        <v/>
      </c>
      <c r="K103" s="107" t="str">
        <f t="shared" si="14"/>
        <v/>
      </c>
      <c r="L103" s="107" t="str">
        <f t="shared" si="14"/>
        <v/>
      </c>
      <c r="M103" s="107" t="str">
        <f t="shared" si="14"/>
        <v/>
      </c>
      <c r="N103" s="107" t="str">
        <f t="shared" si="14"/>
        <v/>
      </c>
      <c r="O103" s="107">
        <f ca="1">IF(YEAR(O$4)&gt;=FPFirstYear,IF(YEAR(O$4)&lt;=FPLastYear,IF(ISBLANK(O101),"",(1+O68)*SUM($J54:$S54)+O85),""),"")</f>
        <v>308.23166317829447</v>
      </c>
      <c r="P103" s="107">
        <f t="shared" ca="1" si="14"/>
        <v>315.80584976971903</v>
      </c>
      <c r="Q103" s="107">
        <f t="shared" ca="1" si="14"/>
        <v>324.39771693979037</v>
      </c>
      <c r="R103" s="107">
        <f t="shared" ca="1" si="14"/>
        <v>333.4797166217524</v>
      </c>
      <c r="S103" s="107">
        <f t="shared" ca="1" si="14"/>
        <v>340.14675445503337</v>
      </c>
      <c r="T103" s="107"/>
    </row>
    <row r="104" spans="1:31" ht="10.5" outlineLevel="1">
      <c r="C104" s="84" t="s">
        <v>141</v>
      </c>
      <c r="D104" s="21" t="s">
        <v>50</v>
      </c>
      <c r="E104" s="21" t="str">
        <f>$E$8</f>
        <v>$millions</v>
      </c>
      <c r="F104" s="126">
        <f t="shared" si="13"/>
        <v>46174</v>
      </c>
      <c r="J104" s="107" t="str">
        <f t="shared" ref="J104:S104" si="15">IF(YEAR(J$4)&gt;=FPFirstYear,IF(YEAR(J$4)&lt;=FPLastYear,IF(ISBLANK(J101),"",(1+J68)*SUM($J54:$S54)+J85+J97),""),"")</f>
        <v/>
      </c>
      <c r="K104" s="107" t="str">
        <f t="shared" si="15"/>
        <v/>
      </c>
      <c r="L104" s="107" t="str">
        <f t="shared" si="15"/>
        <v/>
      </c>
      <c r="M104" s="107" t="str">
        <f t="shared" si="15"/>
        <v/>
      </c>
      <c r="N104" s="107" t="str">
        <f t="shared" si="15"/>
        <v/>
      </c>
      <c r="O104" s="107">
        <f t="shared" ca="1" si="15"/>
        <v>319.67779739201978</v>
      </c>
      <c r="P104" s="107">
        <f ca="1">IF(YEAR(P$4)&gt;=FPFirstYear,IF(YEAR(P$4)&lt;=FPLastYear,IF(ISBLANK(P101),"",(1+P68)*SUM($J54:$S54)+P85+P97),""),"")</f>
        <v>327.8995987984265</v>
      </c>
      <c r="Q104" s="107">
        <f t="shared" ca="1" si="15"/>
        <v>336.83462619058076</v>
      </c>
      <c r="R104" s="107">
        <f t="shared" ca="1" si="15"/>
        <v>346.39217462254277</v>
      </c>
      <c r="S104" s="107">
        <f t="shared" ca="1" si="15"/>
        <v>352.87956070582374</v>
      </c>
      <c r="T104" s="107"/>
    </row>
    <row r="105" spans="1:31" ht="10.5" outlineLevel="1">
      <c r="C105" s="84" t="s">
        <v>142</v>
      </c>
      <c r="D105" s="21" t="s">
        <v>50</v>
      </c>
      <c r="E105" s="21" t="str">
        <f>$E$8</f>
        <v>$millions</v>
      </c>
      <c r="F105" s="126">
        <f t="shared" si="13"/>
        <v>46174</v>
      </c>
      <c r="J105" s="107" t="str">
        <f>IF(YEAR(J$4)&gt;=FPFirstYear,IF(YEAR(J$4)&lt;=FPLastYear,J104+'Input|Step changes'!J42,""),"")</f>
        <v/>
      </c>
      <c r="K105" s="107" t="str">
        <f>IF(YEAR(K$4)&gt;=FPFirstYear,IF(YEAR(K$4)&lt;=FPLastYear,K104+'Input|Step changes'!K42,""),"")</f>
        <v/>
      </c>
      <c r="L105" s="107" t="str">
        <f>IF(YEAR(L$4)&gt;=FPFirstYear,IF(YEAR(L$4)&lt;=FPLastYear,L104+'Input|Step changes'!L42,""),"")</f>
        <v/>
      </c>
      <c r="M105" s="107" t="str">
        <f>IF(YEAR(M$4)&gt;=FPFirstYear,IF(YEAR(M$4)&lt;=FPLastYear,M104+'Input|Step changes'!M42,""),"")</f>
        <v/>
      </c>
      <c r="N105" s="107" t="str">
        <f>IF(YEAR(N$4)&gt;=FPFirstYear,IF(YEAR(N$4)&lt;=FPLastYear,N104+'Input|Step changes'!N42,""),"")</f>
        <v/>
      </c>
      <c r="O105" s="107">
        <f ca="1">IF(YEAR(O$4)&gt;=FPFirstYear,IF(YEAR(O$4)&lt;=FPLastYear,O104+'Input|Step changes'!O42,""),"")</f>
        <v>322.66423082234894</v>
      </c>
      <c r="P105" s="107">
        <f ca="1">IF(YEAR(P$4)&gt;=FPFirstYear,IF(YEAR(P$4)&lt;=FPLastYear,P104+'Input|Step changes'!P42,""),"")</f>
        <v>331.03229511271456</v>
      </c>
      <c r="Q105" s="107">
        <f ca="1">IF(YEAR(Q$4)&gt;=FPFirstYear,IF(YEAR(Q$4)&lt;=FPLastYear,Q104+'Input|Step changes'!Q42,""),"")</f>
        <v>340.14775480414824</v>
      </c>
      <c r="R105" s="107">
        <f ca="1">IF(YEAR(R$4)&gt;=FPFirstYear,IF(YEAR(R$4)&lt;=FPLastYear,R104+'Input|Step changes'!R42,""),"")</f>
        <v>349.89613730873833</v>
      </c>
      <c r="S105" s="107">
        <f ca="1">IF(YEAR(S$4)&gt;=FPFirstYear,IF(YEAR(S$4)&lt;=FPLastYear,S104+'Input|Step changes'!S42,""),"")</f>
        <v>356.56965537119135</v>
      </c>
      <c r="T105" s="107"/>
    </row>
    <row r="106" spans="1:31" ht="10.5">
      <c r="C106" s="84"/>
      <c r="J106" s="71"/>
      <c r="K106" s="71"/>
      <c r="L106" s="71"/>
      <c r="M106" s="71"/>
      <c r="N106" s="23"/>
      <c r="O106" s="23"/>
      <c r="P106" s="166"/>
      <c r="Q106" s="166"/>
      <c r="R106" s="166"/>
      <c r="S106" s="166"/>
      <c r="T106" s="23"/>
    </row>
    <row r="107" spans="1:31" customFormat="1" ht="13">
      <c r="A107" s="37"/>
      <c r="B107" s="43" t="s">
        <v>22</v>
      </c>
      <c r="C107" s="37"/>
      <c r="D107" s="37"/>
      <c r="E107" s="37"/>
      <c r="F107" s="38"/>
      <c r="G107" s="38"/>
      <c r="H107" s="38"/>
      <c r="I107" s="38"/>
      <c r="J107" s="39"/>
      <c r="K107" s="40"/>
      <c r="L107" s="39"/>
      <c r="M107" s="40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0"/>
      <c r="Y107" s="41"/>
      <c r="Z107" s="41"/>
      <c r="AA107" s="41"/>
      <c r="AB107" s="41"/>
      <c r="AC107" s="41"/>
      <c r="AD107" s="42"/>
      <c r="AE107" s="42"/>
    </row>
    <row r="113" spans="4:9"/>
    <row r="114" spans="4:9"/>
    <row r="116" spans="4:9" hidden="1">
      <c r="D116" s="8"/>
      <c r="E116" s="8"/>
      <c r="F116" s="8"/>
      <c r="G116" s="8"/>
      <c r="H116" s="8"/>
      <c r="I116" s="8"/>
    </row>
    <row r="117" spans="4:9" hidden="1">
      <c r="D117" s="8"/>
      <c r="E117" s="8"/>
      <c r="F117" s="8"/>
      <c r="G117" s="8"/>
      <c r="H117" s="8"/>
      <c r="I117" s="8"/>
    </row>
    <row r="118" spans="4:9" hidden="1">
      <c r="D118" s="8"/>
      <c r="E118" s="8"/>
      <c r="F118" s="8"/>
      <c r="G118" s="8"/>
      <c r="H118" s="8"/>
      <c r="I118" s="8"/>
    </row>
    <row r="119" spans="4:9" hidden="1">
      <c r="D119" s="8"/>
      <c r="E119" s="8"/>
      <c r="F119" s="8"/>
      <c r="G119" s="8"/>
      <c r="H119" s="8"/>
      <c r="I119" s="8"/>
    </row>
    <row r="120" spans="4:9" hidden="1">
      <c r="D120" s="8"/>
      <c r="E120" s="8"/>
      <c r="F120" s="8"/>
      <c r="G120" s="8"/>
      <c r="H120" s="8"/>
      <c r="I120" s="8"/>
    </row>
    <row r="121" spans="4:9" hidden="1">
      <c r="D121" s="8"/>
      <c r="E121" s="8"/>
      <c r="F121" s="8"/>
      <c r="G121" s="8"/>
      <c r="H121" s="8"/>
      <c r="I121" s="8"/>
    </row>
    <row r="122" spans="4:9" hidden="1">
      <c r="D122" s="8"/>
      <c r="E122" s="8"/>
      <c r="F122" s="8"/>
      <c r="G122" s="8"/>
      <c r="H122" s="8"/>
      <c r="I122" s="8"/>
    </row>
    <row r="123" spans="4:9" hidden="1">
      <c r="D123" s="8"/>
      <c r="E123" s="8"/>
      <c r="F123" s="8"/>
      <c r="G123" s="8"/>
      <c r="H123" s="8"/>
      <c r="I123" s="8"/>
    </row>
    <row r="124" spans="4:9" hidden="1">
      <c r="D124" s="8"/>
      <c r="E124" s="8"/>
      <c r="F124" s="8"/>
      <c r="G124" s="8"/>
      <c r="H124" s="8"/>
      <c r="I124" s="8"/>
    </row>
    <row r="125" spans="4:9" hidden="1">
      <c r="D125" s="8"/>
      <c r="E125" s="8"/>
      <c r="F125" s="8"/>
      <c r="G125" s="8"/>
      <c r="H125" s="8"/>
      <c r="I125" s="8"/>
    </row>
    <row r="126" spans="4:9" hidden="1">
      <c r="D126" s="8"/>
      <c r="E126" s="8"/>
      <c r="F126" s="8"/>
      <c r="G126" s="8"/>
      <c r="H126" s="8"/>
      <c r="I126" s="8"/>
    </row>
    <row r="127" spans="4:9" hidden="1">
      <c r="D127" s="8"/>
      <c r="E127" s="8"/>
      <c r="F127" s="8"/>
      <c r="G127" s="8"/>
      <c r="H127" s="8"/>
      <c r="I127" s="8"/>
    </row>
    <row r="128" spans="4:9" hidden="1">
      <c r="D128" s="8"/>
      <c r="E128" s="8"/>
      <c r="F128" s="8"/>
      <c r="G128" s="8"/>
      <c r="H128" s="8"/>
      <c r="I128" s="8"/>
    </row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/>
    <row r="194"/>
  </sheetData>
  <mergeCells count="1">
    <mergeCell ref="N3:S3"/>
  </mergeCells>
  <conditionalFormatting sqref="J85:S85">
    <cfRule type="expression" dxfId="33" priority="202">
      <formula>J$71=J$4</formula>
    </cfRule>
  </conditionalFormatting>
  <conditionalFormatting sqref="J10:T10">
    <cfRule type="expression" dxfId="32" priority="29">
      <formula>J$10=J$4</formula>
    </cfRule>
  </conditionalFormatting>
  <conditionalFormatting sqref="J12:T24 J72:S72 J73:T83 O84:S84">
    <cfRule type="cellIs" dxfId="31" priority="10" operator="equal">
      <formula>0</formula>
    </cfRule>
  </conditionalFormatting>
  <conditionalFormatting sqref="J25:T25">
    <cfRule type="expression" dxfId="30" priority="28">
      <formula>J$10=J$4</formula>
    </cfRule>
  </conditionalFormatting>
  <conditionalFormatting sqref="J26:T54">
    <cfRule type="cellIs" dxfId="29" priority="2" operator="equal">
      <formula>0</formula>
    </cfRule>
  </conditionalFormatting>
  <conditionalFormatting sqref="J54:T54">
    <cfRule type="expression" dxfId="28" priority="27">
      <formula>J$10=J$4</formula>
    </cfRule>
  </conditionalFormatting>
  <conditionalFormatting sqref="J58:T58 J71:S71 T72 J89:T89">
    <cfRule type="expression" dxfId="27" priority="119">
      <formula>J$58=J$4</formula>
    </cfRule>
  </conditionalFormatting>
  <conditionalFormatting sqref="J61:T65">
    <cfRule type="cellIs" dxfId="26" priority="1" operator="equal">
      <formula>0</formula>
    </cfRule>
  </conditionalFormatting>
  <conditionalFormatting sqref="J67:T67">
    <cfRule type="expression" dxfId="25" priority="113">
      <formula>J$58=J$4</formula>
    </cfRule>
  </conditionalFormatting>
  <conditionalFormatting sqref="J67:T68">
    <cfRule type="cellIs" dxfId="24" priority="20" operator="equal">
      <formula>0</formula>
    </cfRule>
  </conditionalFormatting>
  <conditionalFormatting sqref="J85:T85">
    <cfRule type="cellIs" dxfId="23" priority="118" operator="equal">
      <formula>0</formula>
    </cfRule>
  </conditionalFormatting>
  <conditionalFormatting sqref="J91:T97">
    <cfRule type="cellIs" dxfId="22" priority="99" operator="equal">
      <formula>0</formula>
    </cfRule>
  </conditionalFormatting>
  <conditionalFormatting sqref="J97:T97">
    <cfRule type="expression" dxfId="21" priority="191">
      <formula>J$89=J$4</formula>
    </cfRule>
  </conditionalFormatting>
  <conditionalFormatting sqref="J101:T101">
    <cfRule type="expression" dxfId="20" priority="192">
      <formula>J$101=J$4</formula>
    </cfRule>
  </conditionalFormatting>
  <conditionalFormatting sqref="J103:T105">
    <cfRule type="cellIs" dxfId="19" priority="30" operator="equal">
      <formula>0</formula>
    </cfRule>
  </conditionalFormatting>
  <conditionalFormatting sqref="S1:T1">
    <cfRule type="cellIs" dxfId="18" priority="108" operator="equal">
      <formula>"Check"</formula>
    </cfRule>
    <cfRule type="cellIs" dxfId="17" priority="109" operator="equal">
      <formula>"Ok"</formula>
    </cfRule>
  </conditionalFormatting>
  <conditionalFormatting sqref="T85">
    <cfRule type="expression" dxfId="16" priority="117">
      <formula>T$72=T$4</formula>
    </cfRule>
  </conditionalFormatting>
  <conditionalFormatting sqref="W1">
    <cfRule type="cellIs" dxfId="15" priority="110" operator="equal">
      <formula>"Check"</formula>
    </cfRule>
    <cfRule type="cellIs" dxfId="14" priority="111" operator="equal">
      <formula>"Ok"</formula>
    </cfRule>
  </conditionalFormatting>
  <dataValidations count="1">
    <dataValidation type="list" allowBlank="1" showInputMessage="1" showErrorMessage="1" sqref="F98 F86 F106" xr:uid="{00000000-0002-0000-0800-000000000000}">
      <formula1>"Real 2010,Real 2011,Real 2012,Real 2013,Real 2014,Real 2015,Nominal"</formula1>
    </dataValidation>
  </dataValidations>
  <hyperlinks>
    <hyperlink ref="J1" location="Index!A1" display="Back to Index" xr:uid="{00000000-0004-0000-0800-000000000000}"/>
    <hyperlink ref="V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theme="1"/>
  </sheetPr>
  <dimension ref="A1:XER78"/>
  <sheetViews>
    <sheetView showGridLines="0" topLeftCell="A34" workbookViewId="0">
      <selection activeCell="J75" sqref="J75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32" customFormat="1" ht="15.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25</v>
      </c>
      <c r="L1" s="33" t="s">
        <v>26</v>
      </c>
      <c r="M1" s="50" t="s">
        <v>27</v>
      </c>
      <c r="N1" s="11" t="s">
        <v>28</v>
      </c>
      <c r="O1" s="12" t="s">
        <v>29</v>
      </c>
      <c r="R1" s="33"/>
      <c r="S1" s="34"/>
      <c r="U1" s="129" t="s">
        <v>31</v>
      </c>
      <c r="V1" s="34" t="str">
        <f>'Check|List'!$S$1</f>
        <v>Ok</v>
      </c>
    </row>
    <row r="2" spans="1:30" s="32" customFormat="1" ht="13">
      <c r="B2" s="45" t="str">
        <f>Index!$C$13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3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s="6" customFormat="1" ht="9.25" customHeight="1">
      <c r="D5" s="20"/>
      <c r="E5" s="20"/>
    </row>
    <row r="6" spans="1:30" s="6" customFormat="1" ht="3" customHeight="1">
      <c r="D6" s="20"/>
      <c r="E6" s="20"/>
    </row>
    <row r="7" spans="1:30" customFormat="1" ht="13">
      <c r="A7" s="37"/>
      <c r="B7" s="43" t="s">
        <v>143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 ht="10.5">
      <c r="C9" s="13" t="str">
        <f>B7</f>
        <v>Unit Denominations</v>
      </c>
      <c r="D9" s="21" t="s">
        <v>34</v>
      </c>
      <c r="E9" s="21"/>
      <c r="F9" s="14"/>
      <c r="G9" s="14" t="s">
        <v>144</v>
      </c>
      <c r="H9" s="14"/>
    </row>
    <row r="10" spans="1:30">
      <c r="C10" s="15" t="s">
        <v>145</v>
      </c>
      <c r="D10" s="16" t="s">
        <v>39</v>
      </c>
      <c r="E10" s="16"/>
      <c r="F10" s="16"/>
      <c r="G10" s="44" t="s">
        <v>146</v>
      </c>
    </row>
    <row r="11" spans="1:30">
      <c r="C11" s="15" t="s">
        <v>147</v>
      </c>
      <c r="D11" s="16" t="s">
        <v>39</v>
      </c>
      <c r="E11" s="16"/>
      <c r="F11" s="16"/>
      <c r="G11" s="44" t="s">
        <v>148</v>
      </c>
    </row>
    <row r="12" spans="1:30">
      <c r="C12" s="15" t="s">
        <v>149</v>
      </c>
      <c r="D12" s="16" t="s">
        <v>39</v>
      </c>
      <c r="E12" s="16"/>
      <c r="F12" s="16"/>
      <c r="G12" s="44" t="s">
        <v>59</v>
      </c>
      <c r="T12" s="17"/>
    </row>
    <row r="13" spans="1:30">
      <c r="F13" s="8"/>
      <c r="G13" s="8"/>
    </row>
    <row r="14" spans="1:30">
      <c r="C14" s="15" t="s">
        <v>53</v>
      </c>
      <c r="D14" s="16" t="s">
        <v>39</v>
      </c>
      <c r="E14" s="16"/>
      <c r="F14" s="16"/>
      <c r="G14" s="44" t="s">
        <v>78</v>
      </c>
    </row>
    <row r="15" spans="1:30">
      <c r="C15" s="15" t="s">
        <v>51</v>
      </c>
      <c r="D15" s="16" t="s">
        <v>39</v>
      </c>
      <c r="E15" s="16"/>
      <c r="F15" s="16"/>
      <c r="G15" s="44" t="s">
        <v>150</v>
      </c>
    </row>
    <row r="16" spans="1:30">
      <c r="C16" s="15" t="s">
        <v>151</v>
      </c>
      <c r="D16" s="16" t="s">
        <v>39</v>
      </c>
      <c r="E16" s="16"/>
      <c r="F16" s="16"/>
      <c r="G16" s="44" t="s">
        <v>95</v>
      </c>
    </row>
    <row r="17" spans="1:30">
      <c r="C17" s="15" t="s">
        <v>152</v>
      </c>
      <c r="D17" s="16" t="s">
        <v>39</v>
      </c>
      <c r="E17" s="16"/>
      <c r="F17" s="16"/>
      <c r="G17" s="44" t="s">
        <v>153</v>
      </c>
    </row>
    <row r="18" spans="1:30">
      <c r="C18" s="15"/>
      <c r="D18" s="16"/>
      <c r="E18" s="16"/>
      <c r="F18" s="16"/>
      <c r="G18" s="8"/>
    </row>
    <row r="19" spans="1:30">
      <c r="C19" s="15" t="s">
        <v>23</v>
      </c>
      <c r="D19" s="16" t="s">
        <v>39</v>
      </c>
      <c r="E19" s="16"/>
      <c r="F19" s="16"/>
      <c r="G19" s="44" t="s">
        <v>23</v>
      </c>
    </row>
    <row r="20" spans="1:30">
      <c r="C20" s="15" t="s">
        <v>65</v>
      </c>
      <c r="D20" s="16" t="s">
        <v>39</v>
      </c>
      <c r="E20" s="16"/>
      <c r="F20" s="16"/>
      <c r="G20" s="44" t="s">
        <v>65</v>
      </c>
    </row>
    <row r="21" spans="1:30">
      <c r="C21" s="15"/>
      <c r="D21" s="16"/>
      <c r="E21" s="16"/>
      <c r="F21" s="16"/>
      <c r="G21" s="8"/>
    </row>
    <row r="22" spans="1:30" customFormat="1" ht="13">
      <c r="A22" s="37"/>
      <c r="B22" s="43" t="s">
        <v>154</v>
      </c>
      <c r="C22" s="37"/>
      <c r="D22" s="37"/>
      <c r="E22" s="37"/>
      <c r="F22" s="38"/>
      <c r="G22" s="38"/>
      <c r="H22" s="38"/>
      <c r="I22" s="38"/>
      <c r="J22" s="39"/>
      <c r="K22" s="40"/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40"/>
      <c r="W22" s="40"/>
      <c r="X22" s="41"/>
      <c r="Y22" s="41"/>
      <c r="Z22" s="41"/>
      <c r="AA22" s="41"/>
      <c r="AB22" s="41"/>
      <c r="AC22" s="42"/>
      <c r="AD22" s="42"/>
    </row>
    <row r="23" spans="1:30"/>
    <row r="24" spans="1:30" ht="10.5">
      <c r="C24" s="13" t="str">
        <f>B22</f>
        <v>Months</v>
      </c>
      <c r="D24" s="21" t="s">
        <v>34</v>
      </c>
      <c r="E24" s="21"/>
      <c r="F24" s="14"/>
      <c r="G24" s="14" t="s">
        <v>144</v>
      </c>
      <c r="H24" s="14"/>
    </row>
    <row r="25" spans="1:30" ht="10.5">
      <c r="C25" s="15" t="s">
        <v>155</v>
      </c>
      <c r="D25" s="16" t="s">
        <v>39</v>
      </c>
      <c r="E25" s="16"/>
      <c r="F25" s="16"/>
      <c r="G25" s="109">
        <v>36526</v>
      </c>
      <c r="H25" s="14"/>
    </row>
    <row r="26" spans="1:30" ht="10.5">
      <c r="C26" s="15" t="s">
        <v>156</v>
      </c>
      <c r="D26" s="16" t="s">
        <v>39</v>
      </c>
      <c r="E26" s="16"/>
      <c r="F26" s="16"/>
      <c r="G26" s="109">
        <v>36557</v>
      </c>
      <c r="H26" s="14"/>
    </row>
    <row r="27" spans="1:30" ht="10.5">
      <c r="C27" s="15" t="s">
        <v>157</v>
      </c>
      <c r="D27" s="16" t="s">
        <v>39</v>
      </c>
      <c r="E27" s="16"/>
      <c r="F27" s="16"/>
      <c r="G27" s="109">
        <v>36586</v>
      </c>
      <c r="H27" s="14"/>
    </row>
    <row r="28" spans="1:30">
      <c r="C28" s="15" t="s">
        <v>158</v>
      </c>
      <c r="D28" s="16" t="s">
        <v>39</v>
      </c>
      <c r="E28" s="16"/>
      <c r="F28" s="16"/>
      <c r="G28" s="109">
        <v>36617</v>
      </c>
    </row>
    <row r="29" spans="1:30">
      <c r="C29" s="15" t="s">
        <v>159</v>
      </c>
      <c r="D29" s="16" t="s">
        <v>39</v>
      </c>
      <c r="E29" s="16"/>
      <c r="F29" s="16"/>
      <c r="G29" s="109">
        <v>36647</v>
      </c>
    </row>
    <row r="30" spans="1:30">
      <c r="C30" s="15" t="s">
        <v>160</v>
      </c>
      <c r="D30" s="16" t="s">
        <v>39</v>
      </c>
      <c r="E30" s="16"/>
      <c r="F30" s="16"/>
      <c r="G30" s="109">
        <v>36678</v>
      </c>
      <c r="T30" s="17"/>
    </row>
    <row r="31" spans="1:30">
      <c r="C31" s="15" t="s">
        <v>161</v>
      </c>
      <c r="D31" s="16" t="s">
        <v>39</v>
      </c>
      <c r="E31" s="16"/>
      <c r="F31" s="16"/>
      <c r="G31" s="109">
        <v>36708</v>
      </c>
      <c r="T31" s="17"/>
    </row>
    <row r="32" spans="1:30">
      <c r="C32" s="15" t="s">
        <v>162</v>
      </c>
      <c r="D32" s="16" t="s">
        <v>39</v>
      </c>
      <c r="E32" s="16"/>
      <c r="F32" s="16"/>
      <c r="G32" s="109">
        <v>36739</v>
      </c>
      <c r="T32" s="17"/>
    </row>
    <row r="33" spans="1:30">
      <c r="C33" s="15" t="s">
        <v>163</v>
      </c>
      <c r="D33" s="16" t="s">
        <v>39</v>
      </c>
      <c r="E33" s="16"/>
      <c r="F33" s="16"/>
      <c r="G33" s="109">
        <v>36770</v>
      </c>
      <c r="T33" s="17"/>
    </row>
    <row r="34" spans="1:30">
      <c r="C34" s="15" t="s">
        <v>164</v>
      </c>
      <c r="D34" s="16" t="s">
        <v>39</v>
      </c>
      <c r="E34" s="16"/>
      <c r="F34" s="16"/>
      <c r="G34" s="109">
        <v>36800</v>
      </c>
      <c r="T34" s="17"/>
    </row>
    <row r="35" spans="1:30">
      <c r="C35" s="15" t="s">
        <v>165</v>
      </c>
      <c r="D35" s="16" t="s">
        <v>39</v>
      </c>
      <c r="E35" s="16"/>
      <c r="F35" s="16"/>
      <c r="G35" s="109">
        <v>36831</v>
      </c>
      <c r="T35" s="17"/>
    </row>
    <row r="36" spans="1:30">
      <c r="C36" s="15" t="s">
        <v>166</v>
      </c>
      <c r="D36" s="16" t="s">
        <v>39</v>
      </c>
      <c r="E36" s="16"/>
      <c r="F36" s="16"/>
      <c r="G36" s="109">
        <v>36861</v>
      </c>
      <c r="T36" s="17"/>
    </row>
    <row r="37" spans="1:30">
      <c r="C37" s="15"/>
      <c r="D37" s="16"/>
      <c r="E37" s="16"/>
      <c r="F37" s="16"/>
      <c r="T37" s="17"/>
    </row>
    <row r="38" spans="1:30" customFormat="1" ht="13">
      <c r="A38" s="37"/>
      <c r="B38" s="43" t="s">
        <v>167</v>
      </c>
      <c r="C38" s="37"/>
      <c r="D38" s="37"/>
      <c r="E38" s="37"/>
      <c r="F38" s="38"/>
      <c r="G38" s="38"/>
      <c r="H38" s="38"/>
      <c r="I38" s="38"/>
      <c r="J38" s="39"/>
      <c r="K38" s="40"/>
      <c r="L38" s="39"/>
      <c r="M38" s="40"/>
      <c r="N38" s="39"/>
      <c r="O38" s="39"/>
      <c r="P38" s="39"/>
      <c r="Q38" s="39"/>
      <c r="R38" s="39"/>
      <c r="S38" s="39"/>
      <c r="T38" s="39"/>
      <c r="U38" s="39"/>
      <c r="V38" s="40"/>
      <c r="W38" s="40"/>
      <c r="X38" s="41"/>
      <c r="Y38" s="41"/>
      <c r="Z38" s="41"/>
      <c r="AA38" s="41"/>
      <c r="AB38" s="41"/>
      <c r="AC38" s="42"/>
      <c r="AD38" s="42"/>
    </row>
    <row r="39" spans="1:30"/>
    <row r="40" spans="1:30" ht="10.5">
      <c r="C40" s="13" t="str">
        <f>B38</f>
        <v>Years</v>
      </c>
      <c r="D40" s="21" t="s">
        <v>34</v>
      </c>
      <c r="E40" s="21"/>
      <c r="F40" s="14"/>
      <c r="G40" s="14" t="s">
        <v>168</v>
      </c>
      <c r="H40" s="14" t="s">
        <v>169</v>
      </c>
      <c r="I40" s="14" t="s">
        <v>170</v>
      </c>
    </row>
    <row r="41" spans="1:30">
      <c r="C41" s="115">
        <v>40695</v>
      </c>
      <c r="D41" s="16" t="s">
        <v>39</v>
      </c>
      <c r="E41" s="16"/>
      <c r="F41" s="16"/>
      <c r="G41" s="110">
        <v>2011</v>
      </c>
      <c r="H41" s="132">
        <f>DATE(G41,MONTH('Input|General'!$G$9),1)</f>
        <v>40695</v>
      </c>
      <c r="I41" s="131" t="str">
        <f>G41-1&amp;"–"&amp;RIGHT(G41,2)</f>
        <v>2010–11</v>
      </c>
    </row>
    <row r="42" spans="1:30">
      <c r="C42" s="115">
        <v>41061</v>
      </c>
      <c r="D42" s="16" t="s">
        <v>39</v>
      </c>
      <c r="E42" s="16"/>
      <c r="F42" s="16"/>
      <c r="G42" s="110">
        <v>2012</v>
      </c>
      <c r="H42" s="132">
        <f>DATE(G42,MONTH('Input|General'!$G$9),1)</f>
        <v>41061</v>
      </c>
      <c r="I42" s="131" t="str">
        <f t="shared" ref="I42:I60" si="0">G42-1&amp;"–"&amp;RIGHT(G42,2)</f>
        <v>2011–12</v>
      </c>
    </row>
    <row r="43" spans="1:30">
      <c r="C43" s="115">
        <v>41426</v>
      </c>
      <c r="D43" s="16" t="s">
        <v>39</v>
      </c>
      <c r="E43" s="16"/>
      <c r="F43" s="16"/>
      <c r="G43" s="110">
        <v>2013</v>
      </c>
      <c r="H43" s="132">
        <f>DATE(G43,MONTH('Input|General'!$G$9),1)</f>
        <v>41426</v>
      </c>
      <c r="I43" s="131" t="str">
        <f t="shared" si="0"/>
        <v>2012–13</v>
      </c>
    </row>
    <row r="44" spans="1:30">
      <c r="C44" s="115">
        <v>41791</v>
      </c>
      <c r="D44" s="16" t="s">
        <v>39</v>
      </c>
      <c r="E44" s="16"/>
      <c r="F44" s="16"/>
      <c r="G44" s="110">
        <v>2014</v>
      </c>
      <c r="H44" s="132">
        <f>DATE(G44,MONTH('Input|General'!$G$9),1)</f>
        <v>41791</v>
      </c>
      <c r="I44" s="131" t="str">
        <f t="shared" si="0"/>
        <v>2013–14</v>
      </c>
    </row>
    <row r="45" spans="1:30">
      <c r="C45" s="115">
        <v>42156</v>
      </c>
      <c r="D45" s="16" t="s">
        <v>39</v>
      </c>
      <c r="E45" s="16"/>
      <c r="F45" s="16"/>
      <c r="G45" s="110">
        <v>2015</v>
      </c>
      <c r="H45" s="132">
        <f>DATE(G45,MONTH('Input|General'!$G$9),1)</f>
        <v>42156</v>
      </c>
      <c r="I45" s="131" t="str">
        <f t="shared" si="0"/>
        <v>2014–15</v>
      </c>
      <c r="T45" s="17"/>
    </row>
    <row r="46" spans="1:30">
      <c r="C46" s="115">
        <v>42522</v>
      </c>
      <c r="D46" s="16" t="s">
        <v>39</v>
      </c>
      <c r="E46" s="16"/>
      <c r="F46" s="16"/>
      <c r="G46" s="110">
        <v>2016</v>
      </c>
      <c r="H46" s="132">
        <f>DATE(G46,MONTH('Input|General'!$G$9),1)</f>
        <v>42522</v>
      </c>
      <c r="I46" s="131" t="str">
        <f t="shared" si="0"/>
        <v>2015–16</v>
      </c>
      <c r="T46" s="17"/>
    </row>
    <row r="47" spans="1:30">
      <c r="C47" s="115">
        <v>42887</v>
      </c>
      <c r="D47" s="16" t="s">
        <v>39</v>
      </c>
      <c r="E47" s="16"/>
      <c r="F47" s="16"/>
      <c r="G47" s="110">
        <v>2017</v>
      </c>
      <c r="H47" s="132">
        <f>DATE(G47,MONTH('Input|General'!$G$9),1)</f>
        <v>42887</v>
      </c>
      <c r="I47" s="131" t="str">
        <f t="shared" si="0"/>
        <v>2016–17</v>
      </c>
      <c r="T47" s="17"/>
    </row>
    <row r="48" spans="1:30">
      <c r="C48" s="115">
        <v>43252</v>
      </c>
      <c r="D48" s="16" t="s">
        <v>39</v>
      </c>
      <c r="E48" s="16"/>
      <c r="F48" s="16"/>
      <c r="G48" s="110">
        <v>2018</v>
      </c>
      <c r="H48" s="132">
        <f>DATE(G48,MONTH('Input|General'!$G$9),1)</f>
        <v>43252</v>
      </c>
      <c r="I48" s="131" t="str">
        <f t="shared" si="0"/>
        <v>2017–18</v>
      </c>
      <c r="T48" s="17"/>
    </row>
    <row r="49" spans="1:30">
      <c r="C49" s="115">
        <v>43617</v>
      </c>
      <c r="D49" s="16" t="s">
        <v>39</v>
      </c>
      <c r="E49" s="16"/>
      <c r="F49" s="16"/>
      <c r="G49" s="110">
        <v>2019</v>
      </c>
      <c r="H49" s="132">
        <f>DATE(G49,MONTH('Input|General'!$G$9),1)</f>
        <v>43617</v>
      </c>
      <c r="I49" s="131" t="str">
        <f t="shared" si="0"/>
        <v>2018–19</v>
      </c>
      <c r="T49" s="17"/>
    </row>
    <row r="50" spans="1:30">
      <c r="C50" s="115">
        <v>43983</v>
      </c>
      <c r="D50" s="16" t="s">
        <v>39</v>
      </c>
      <c r="E50" s="16"/>
      <c r="F50" s="16"/>
      <c r="G50" s="110">
        <v>2020</v>
      </c>
      <c r="H50" s="132">
        <f>DATE(G50,MONTH('Input|General'!$G$9),1)</f>
        <v>43983</v>
      </c>
      <c r="I50" s="131" t="str">
        <f t="shared" si="0"/>
        <v>2019–20</v>
      </c>
      <c r="T50" s="17"/>
    </row>
    <row r="51" spans="1:30">
      <c r="C51" s="115">
        <v>44348</v>
      </c>
      <c r="D51" s="16" t="s">
        <v>39</v>
      </c>
      <c r="E51" s="16"/>
      <c r="F51" s="16"/>
      <c r="G51" s="110">
        <v>2021</v>
      </c>
      <c r="H51" s="132">
        <f>DATE(G51,MONTH('Input|General'!$G$9),1)</f>
        <v>44348</v>
      </c>
      <c r="I51" s="131" t="str">
        <f t="shared" si="0"/>
        <v>2020–21</v>
      </c>
      <c r="T51" s="17"/>
    </row>
    <row r="52" spans="1:30">
      <c r="C52" s="115">
        <v>44713</v>
      </c>
      <c r="D52" s="16" t="s">
        <v>39</v>
      </c>
      <c r="E52" s="16"/>
      <c r="F52" s="16"/>
      <c r="G52" s="110">
        <v>2022</v>
      </c>
      <c r="H52" s="132">
        <f>DATE(G52,MONTH('Input|General'!$G$9),1)</f>
        <v>44713</v>
      </c>
      <c r="I52" s="131" t="str">
        <f t="shared" si="0"/>
        <v>2021–22</v>
      </c>
      <c r="T52" s="17"/>
    </row>
    <row r="53" spans="1:30">
      <c r="C53" s="115">
        <v>45078</v>
      </c>
      <c r="D53" s="16" t="s">
        <v>39</v>
      </c>
      <c r="E53" s="16"/>
      <c r="F53" s="16"/>
      <c r="G53" s="110">
        <v>2023</v>
      </c>
      <c r="H53" s="132">
        <f>DATE(G53,MONTH('Input|General'!$G$9),1)</f>
        <v>45078</v>
      </c>
      <c r="I53" s="131" t="str">
        <f t="shared" si="0"/>
        <v>2022–23</v>
      </c>
      <c r="T53" s="17"/>
    </row>
    <row r="54" spans="1:30">
      <c r="C54" s="115">
        <v>45444</v>
      </c>
      <c r="D54" s="16" t="s">
        <v>39</v>
      </c>
      <c r="E54" s="16"/>
      <c r="F54" s="16"/>
      <c r="G54" s="110">
        <v>2024</v>
      </c>
      <c r="H54" s="132">
        <f>DATE(G54,MONTH('Input|General'!$G$9),1)</f>
        <v>45444</v>
      </c>
      <c r="I54" s="131" t="str">
        <f t="shared" si="0"/>
        <v>2023–24</v>
      </c>
      <c r="T54" s="17"/>
    </row>
    <row r="55" spans="1:30">
      <c r="C55" s="115">
        <v>45809</v>
      </c>
      <c r="D55" s="16" t="s">
        <v>39</v>
      </c>
      <c r="E55" s="16"/>
      <c r="F55" s="16"/>
      <c r="G55" s="110">
        <v>2025</v>
      </c>
      <c r="H55" s="132">
        <f>DATE(G55,MONTH('Input|General'!$G$9),1)</f>
        <v>45809</v>
      </c>
      <c r="I55" s="131" t="str">
        <f t="shared" si="0"/>
        <v>2024–25</v>
      </c>
      <c r="T55" s="17"/>
    </row>
    <row r="56" spans="1:30">
      <c r="C56" s="115">
        <v>46174</v>
      </c>
      <c r="D56" s="16" t="s">
        <v>39</v>
      </c>
      <c r="E56" s="16"/>
      <c r="F56" s="16"/>
      <c r="G56" s="110">
        <v>2026</v>
      </c>
      <c r="H56" s="132">
        <f>DATE(G56,MONTH('Input|General'!$G$9),1)</f>
        <v>46174</v>
      </c>
      <c r="I56" s="131" t="str">
        <f t="shared" si="0"/>
        <v>2025–26</v>
      </c>
      <c r="T56" s="17"/>
    </row>
    <row r="57" spans="1:30">
      <c r="C57" s="115">
        <v>46539</v>
      </c>
      <c r="D57" s="16" t="s">
        <v>39</v>
      </c>
      <c r="E57" s="16"/>
      <c r="F57" s="16"/>
      <c r="G57" s="110">
        <v>2027</v>
      </c>
      <c r="H57" s="132">
        <f>DATE(G57,MONTH('Input|General'!$G$9),1)</f>
        <v>46539</v>
      </c>
      <c r="I57" s="131" t="str">
        <f t="shared" si="0"/>
        <v>2026–27</v>
      </c>
      <c r="T57" s="17"/>
    </row>
    <row r="58" spans="1:30">
      <c r="C58" s="115">
        <v>46905</v>
      </c>
      <c r="D58" s="16" t="s">
        <v>39</v>
      </c>
      <c r="E58" s="16"/>
      <c r="F58" s="16"/>
      <c r="G58" s="110">
        <v>2028</v>
      </c>
      <c r="H58" s="132">
        <f>DATE(G58,MONTH('Input|General'!$G$9),1)</f>
        <v>46905</v>
      </c>
      <c r="I58" s="131" t="str">
        <f t="shared" si="0"/>
        <v>2027–28</v>
      </c>
      <c r="T58" s="17"/>
    </row>
    <row r="59" spans="1:30">
      <c r="C59" s="115">
        <v>47270</v>
      </c>
      <c r="D59" s="16" t="s">
        <v>39</v>
      </c>
      <c r="E59" s="16"/>
      <c r="F59" s="16"/>
      <c r="G59" s="110">
        <v>2029</v>
      </c>
      <c r="H59" s="132">
        <f>DATE(G59,MONTH('Input|General'!$G$9),1)</f>
        <v>47270</v>
      </c>
      <c r="I59" s="131" t="str">
        <f t="shared" si="0"/>
        <v>2028–29</v>
      </c>
      <c r="T59" s="17"/>
    </row>
    <row r="60" spans="1:30">
      <c r="C60" s="115">
        <v>47635</v>
      </c>
      <c r="D60" s="16" t="s">
        <v>39</v>
      </c>
      <c r="E60" s="16"/>
      <c r="F60" s="16"/>
      <c r="G60" s="110">
        <v>2030</v>
      </c>
      <c r="H60" s="132">
        <f>DATE(G60,MONTH('Input|General'!$G$9),1)</f>
        <v>47635</v>
      </c>
      <c r="I60" s="131" t="str">
        <f t="shared" si="0"/>
        <v>2029–30</v>
      </c>
      <c r="T60" s="17"/>
    </row>
    <row r="61" spans="1:30">
      <c r="C61" s="115">
        <v>48000</v>
      </c>
      <c r="D61" s="16" t="s">
        <v>39</v>
      </c>
      <c r="G61" s="110">
        <v>2031</v>
      </c>
      <c r="H61" s="132">
        <f>DATE(G61,MONTH('Input|General'!$G$9),1)</f>
        <v>48000</v>
      </c>
      <c r="I61" s="131" t="str">
        <f>G61-1&amp;"–"&amp;RIGHT(G61,2)</f>
        <v>2030–31</v>
      </c>
      <c r="J61" s="8" t="s">
        <v>171</v>
      </c>
    </row>
    <row r="62" spans="1:30" customFormat="1" ht="13">
      <c r="A62" s="37"/>
      <c r="B62" s="43" t="s">
        <v>172</v>
      </c>
      <c r="C62" s="37"/>
      <c r="D62" s="37"/>
      <c r="E62" s="37"/>
      <c r="F62" s="38"/>
      <c r="G62" s="38"/>
      <c r="H62" s="38"/>
      <c r="I62" s="38"/>
      <c r="J62" s="39"/>
      <c r="K62" s="40"/>
      <c r="L62" s="39"/>
      <c r="M62" s="40"/>
      <c r="N62" s="39"/>
      <c r="O62" s="39"/>
      <c r="P62" s="39"/>
      <c r="Q62" s="39"/>
      <c r="R62" s="39"/>
      <c r="S62" s="39"/>
      <c r="T62" s="39"/>
      <c r="U62" s="39"/>
      <c r="V62" s="40"/>
      <c r="W62" s="40"/>
      <c r="X62" s="41"/>
      <c r="Y62" s="41"/>
      <c r="Z62" s="41"/>
      <c r="AA62" s="41"/>
      <c r="AB62" s="41"/>
      <c r="AC62" s="42"/>
      <c r="AD62" s="42"/>
    </row>
    <row r="63" spans="1:30"/>
    <row r="64" spans="1:30" ht="10.5">
      <c r="C64" s="13" t="str">
        <f>B62</f>
        <v>Regulatory years</v>
      </c>
      <c r="D64" s="21" t="s">
        <v>34</v>
      </c>
      <c r="E64" s="21"/>
      <c r="F64" s="14"/>
      <c r="G64" s="14" t="s">
        <v>173</v>
      </c>
      <c r="H64" s="14" t="s">
        <v>41</v>
      </c>
    </row>
    <row r="65" spans="1:30" ht="10.5">
      <c r="C65" s="15" t="s">
        <v>174</v>
      </c>
      <c r="D65" s="16" t="s">
        <v>80</v>
      </c>
      <c r="E65" s="21"/>
      <c r="F65" s="14"/>
      <c r="G65" s="131" t="str">
        <f>IF(H65="","",IF(MONTH(H65)=12,YEAR(H65),YEAR(H65)-1&amp;"–"&amp;RIGHT(YEAR(H65),2)))</f>
        <v>2020–21</v>
      </c>
      <c r="H65" s="132">
        <f>DATE(PPFirstYear-1,MONTH('Input|General'!$G$9),1)</f>
        <v>44348</v>
      </c>
    </row>
    <row r="66" spans="1:30">
      <c r="C66" s="15" t="s">
        <v>175</v>
      </c>
      <c r="D66" s="16" t="s">
        <v>80</v>
      </c>
      <c r="E66" s="16"/>
      <c r="F66" s="16"/>
      <c r="G66" s="131" t="str">
        <f t="shared" ref="G66:G75" si="1">IF(H66="","",IF(MONTH(H66)=12,YEAR(H66),YEAR(H66)-1&amp;"–"&amp;RIGHT(YEAR(H66),2)))</f>
        <v>2021–22</v>
      </c>
      <c r="H66" s="132">
        <f>DATE(PPFirstYear,MONTH('Input|General'!$G$9),1)</f>
        <v>44713</v>
      </c>
    </row>
    <row r="67" spans="1:30">
      <c r="C67" s="15" t="s">
        <v>176</v>
      </c>
      <c r="D67" s="16" t="s">
        <v>80</v>
      </c>
      <c r="E67" s="16"/>
      <c r="F67" s="16"/>
      <c r="G67" s="131" t="str">
        <f t="shared" si="1"/>
        <v>2022–23</v>
      </c>
      <c r="H67" s="132">
        <f>IF(PPLastYear-PPFirstYear&lt;1,"",DATE(PPFirstYear+1,MONTH('Input|General'!$G$9),1))</f>
        <v>45078</v>
      </c>
    </row>
    <row r="68" spans="1:30">
      <c r="C68" s="15" t="s">
        <v>177</v>
      </c>
      <c r="D68" s="16" t="s">
        <v>80</v>
      </c>
      <c r="E68" s="16"/>
      <c r="F68" s="16"/>
      <c r="G68" s="131" t="str">
        <f t="shared" si="1"/>
        <v>2023–24</v>
      </c>
      <c r="H68" s="132">
        <f>IF(PPLastYear-PPFirstYear&lt;2,"",DATE(PPFirstYear+2,MONTH('Input|General'!$G$9),1))</f>
        <v>45444</v>
      </c>
    </row>
    <row r="69" spans="1:30">
      <c r="C69" s="15" t="s">
        <v>178</v>
      </c>
      <c r="D69" s="16" t="s">
        <v>80</v>
      </c>
      <c r="E69" s="16"/>
      <c r="F69" s="16"/>
      <c r="G69" s="131" t="str">
        <f t="shared" si="1"/>
        <v>2024–25</v>
      </c>
      <c r="H69" s="132">
        <f>IF(PPLastYear-PPFirstYear&lt;3,"",DATE(PPFirstYear+3,MONTH('Input|General'!$G$9),1))</f>
        <v>45809</v>
      </c>
    </row>
    <row r="70" spans="1:30">
      <c r="C70" s="15" t="s">
        <v>179</v>
      </c>
      <c r="D70" s="16" t="s">
        <v>80</v>
      </c>
      <c r="E70" s="16"/>
      <c r="F70" s="16"/>
      <c r="G70" s="131" t="str">
        <f t="shared" si="1"/>
        <v>2025–26</v>
      </c>
      <c r="H70" s="132">
        <f>IF(PPLastYear-PPFirstYear&lt;4,"",DATE(PPFirstYear+4,MONTH('Input|General'!$G$9),1))</f>
        <v>46174</v>
      </c>
    </row>
    <row r="71" spans="1:30">
      <c r="C71" s="15" t="s">
        <v>180</v>
      </c>
      <c r="D71" s="16" t="s">
        <v>80</v>
      </c>
      <c r="E71" s="16"/>
      <c r="F71" s="16"/>
      <c r="G71" s="131" t="str">
        <f t="shared" si="1"/>
        <v/>
      </c>
      <c r="H71" s="132" t="str">
        <f>IF(PPLastYear-PPFirstYear&lt;5,"",DATE(PPFirstYear+5,MONTH('Input|General'!$G$9),1))</f>
        <v/>
      </c>
    </row>
    <row r="72" spans="1:30">
      <c r="C72" s="15" t="s">
        <v>181</v>
      </c>
      <c r="D72" s="16" t="s">
        <v>80</v>
      </c>
      <c r="E72" s="16"/>
      <c r="F72" s="16"/>
      <c r="G72" s="131" t="str">
        <f t="shared" si="1"/>
        <v>2026–27</v>
      </c>
      <c r="H72" s="132">
        <f>DATE(FPFirstYear,MONTH('Input|General'!$G$9),1)</f>
        <v>46539</v>
      </c>
      <c r="T72" s="17"/>
    </row>
    <row r="73" spans="1:30">
      <c r="C73" s="15" t="s">
        <v>182</v>
      </c>
      <c r="D73" s="16" t="s">
        <v>80</v>
      </c>
      <c r="E73" s="16"/>
      <c r="F73" s="16"/>
      <c r="G73" s="131" t="str">
        <f t="shared" si="1"/>
        <v>2027–28</v>
      </c>
      <c r="H73" s="132">
        <f>IF(FPLastYear-FPFirstYear&lt;1,"",DATE(FPFirstYear+1,MONTH('Input|General'!$G$9),1))</f>
        <v>46905</v>
      </c>
      <c r="T73" s="17"/>
    </row>
    <row r="74" spans="1:30">
      <c r="C74" s="15" t="s">
        <v>183</v>
      </c>
      <c r="D74" s="16" t="s">
        <v>80</v>
      </c>
      <c r="E74" s="16"/>
      <c r="F74" s="16"/>
      <c r="G74" s="131" t="str">
        <f t="shared" si="1"/>
        <v>2028–29</v>
      </c>
      <c r="H74" s="132">
        <f>IF(FPLastYear-FPFirstYear&lt;2,"",DATE(FPFirstYear+2,MONTH('Input|General'!$G$9),1))</f>
        <v>47270</v>
      </c>
      <c r="T74" s="17"/>
    </row>
    <row r="75" spans="1:30">
      <c r="C75" s="15" t="s">
        <v>184</v>
      </c>
      <c r="D75" s="16" t="s">
        <v>80</v>
      </c>
      <c r="E75" s="16"/>
      <c r="F75" s="16"/>
      <c r="G75" s="131" t="str">
        <f t="shared" si="1"/>
        <v>2029–30</v>
      </c>
      <c r="H75" s="132">
        <f>IF(FPLastYear-FPFirstYear&lt;3,"",DATE(FPFirstYear+3,MONTH('Input|General'!$G$9),1))</f>
        <v>47635</v>
      </c>
      <c r="T75" s="17"/>
    </row>
    <row r="76" spans="1:30">
      <c r="C76" s="15" t="s">
        <v>185</v>
      </c>
      <c r="D76" s="16" t="s">
        <v>80</v>
      </c>
      <c r="E76" s="16"/>
      <c r="F76" s="16"/>
      <c r="G76" s="131" t="str">
        <f>IF(H76="","",IF(MONTH(H76)=12,YEAR(H76),YEAR(H76)-1&amp;"–"&amp;RIGHT(YEAR(H76),2)))</f>
        <v>2030–31</v>
      </c>
      <c r="H76" s="132">
        <f>IF(FPLastYear-FPFirstYear&lt;4,"",DATE(FPFirstYear+4,MONTH('Input|General'!$G$9),1))</f>
        <v>48000</v>
      </c>
      <c r="T76" s="17"/>
    </row>
    <row r="77" spans="1:30">
      <c r="C77" s="15"/>
      <c r="D77" s="16"/>
      <c r="E77" s="16"/>
      <c r="F77" s="16"/>
      <c r="G77" s="153"/>
      <c r="H77" s="154"/>
      <c r="T77" s="17"/>
    </row>
    <row r="78" spans="1:30" customFormat="1" ht="13">
      <c r="A78" s="37"/>
      <c r="B78" s="43" t="s">
        <v>22</v>
      </c>
      <c r="C78" s="37"/>
      <c r="D78" s="37"/>
      <c r="E78" s="37"/>
      <c r="F78" s="38"/>
      <c r="G78" s="38"/>
      <c r="H78" s="38"/>
      <c r="I78" s="38"/>
      <c r="J78" s="39"/>
      <c r="K78" s="40"/>
      <c r="L78" s="39"/>
      <c r="M78" s="40"/>
      <c r="N78" s="39"/>
      <c r="O78" s="39"/>
      <c r="P78" s="39"/>
      <c r="Q78" s="39"/>
      <c r="R78" s="39"/>
      <c r="S78" s="39"/>
      <c r="T78" s="39"/>
      <c r="U78" s="39"/>
      <c r="V78" s="40"/>
      <c r="W78" s="40"/>
      <c r="X78" s="41"/>
      <c r="Y78" s="41"/>
      <c r="Z78" s="41"/>
      <c r="AA78" s="41"/>
      <c r="AB78" s="41"/>
      <c r="AC78" s="42"/>
      <c r="AD78" s="42"/>
    </row>
  </sheetData>
  <conditionalFormatting sqref="P14:P21">
    <cfRule type="expression" dxfId="13" priority="55" stopIfTrue="1">
      <formula>#REF!="Actual"</formula>
    </cfRule>
  </conditionalFormatting>
  <conditionalFormatting sqref="P61">
    <cfRule type="expression" dxfId="12" priority="2" stopIfTrue="1">
      <formula>#REF!="Actual"</formula>
    </cfRule>
  </conditionalFormatting>
  <conditionalFormatting sqref="P14:Q21">
    <cfRule type="expression" dxfId="11" priority="56" stopIfTrue="1">
      <formula>#REF!="Actual"</formula>
    </cfRule>
  </conditionalFormatting>
  <conditionalFormatting sqref="Q61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1100-000000000000}"/>
    <hyperlink ref="U1" location="'Check|List'!A1" display="Overall Check:" xr:uid="{00000000-0004-0000-1100-000001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ignoredErrors>
    <ignoredError sqref="G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theme="1"/>
  </sheetPr>
  <dimension ref="A1:AD21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44140625" style="8" hidden="1" customWidth="1"/>
    <col min="39" max="16384" width="10.44140625" style="8" hidden="1"/>
  </cols>
  <sheetData>
    <row r="1" spans="1:30" s="32" customFormat="1" ht="15.5">
      <c r="B1" s="29" t="str">
        <f>Index!$B$1</f>
        <v>AER opex model v1.8</v>
      </c>
      <c r="C1" s="29"/>
      <c r="D1" s="29"/>
      <c r="E1" s="29"/>
      <c r="F1" s="30"/>
      <c r="G1" s="30"/>
      <c r="H1" s="30"/>
      <c r="I1" s="30"/>
      <c r="J1" s="31" t="s">
        <v>25</v>
      </c>
      <c r="L1" s="33" t="s">
        <v>26</v>
      </c>
      <c r="M1" s="50" t="s">
        <v>27</v>
      </c>
      <c r="N1" s="11" t="s">
        <v>28</v>
      </c>
      <c r="O1" s="12" t="s">
        <v>29</v>
      </c>
      <c r="R1" s="129" t="s">
        <v>31</v>
      </c>
      <c r="S1" s="34" t="str">
        <f>IF(COUNTIF(G10:G15,"Check")=0,"Ok","Check")</f>
        <v>Ok</v>
      </c>
      <c r="U1" s="33"/>
      <c r="V1" s="34"/>
    </row>
    <row r="2" spans="1:30" s="32" customFormat="1" ht="13">
      <c r="B2" s="45" t="str">
        <f>Index!$C$14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3">
      <c r="A3" s="37"/>
      <c r="B3" s="43"/>
      <c r="C3" s="37"/>
      <c r="D3" s="37"/>
      <c r="E3" s="37"/>
      <c r="F3" s="38"/>
      <c r="G3" s="38"/>
      <c r="H3" s="38"/>
      <c r="I3" s="38"/>
      <c r="J3" s="39"/>
      <c r="K3" s="40"/>
      <c r="L3" s="39"/>
      <c r="M3" s="40"/>
      <c r="N3" s="39"/>
      <c r="O3" s="39"/>
      <c r="P3" s="39"/>
      <c r="Q3" s="39"/>
      <c r="R3" s="39"/>
      <c r="S3" s="39"/>
      <c r="T3" s="39"/>
      <c r="U3" s="39"/>
      <c r="V3" s="40"/>
      <c r="W3" s="40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.25" customHeight="1"/>
    <row r="6" spans="1:30" s="6" customFormat="1" ht="3" customHeight="1"/>
    <row r="7" spans="1:30" customFormat="1" ht="13">
      <c r="A7" s="37"/>
      <c r="B7" s="43" t="s">
        <v>186</v>
      </c>
      <c r="C7" s="37"/>
      <c r="D7" s="37"/>
      <c r="E7" s="37"/>
      <c r="F7" s="38"/>
      <c r="G7" s="38"/>
      <c r="H7" s="38"/>
      <c r="I7" s="38"/>
      <c r="J7" s="39"/>
      <c r="K7" s="40"/>
      <c r="L7" s="39"/>
      <c r="M7" s="40"/>
      <c r="N7" s="39"/>
      <c r="O7" s="39"/>
      <c r="P7" s="39"/>
      <c r="Q7" s="39"/>
      <c r="R7" s="39"/>
      <c r="S7" s="39"/>
      <c r="T7" s="39"/>
      <c r="U7" s="39"/>
      <c r="V7" s="40"/>
      <c r="W7" s="40"/>
      <c r="X7" s="41"/>
      <c r="Y7" s="41"/>
      <c r="Z7" s="41"/>
      <c r="AA7" s="41"/>
      <c r="AB7" s="41"/>
      <c r="AC7" s="42"/>
      <c r="AD7" s="42"/>
    </row>
    <row r="8" spans="1:30"/>
    <row r="9" spans="1:30" ht="10.5">
      <c r="C9" s="13" t="s">
        <v>187</v>
      </c>
      <c r="D9" s="14" t="s">
        <v>34</v>
      </c>
      <c r="E9" s="14" t="s">
        <v>51</v>
      </c>
      <c r="F9" s="14"/>
      <c r="G9" s="14" t="s">
        <v>188</v>
      </c>
    </row>
    <row r="10" spans="1:30" ht="10.5">
      <c r="C10" s="15" t="str">
        <f>Index!C7</f>
        <v>Input | General</v>
      </c>
      <c r="D10" s="28" t="str">
        <f>C10</f>
        <v>Input | General</v>
      </c>
      <c r="E10" s="16" t="s">
        <v>89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20" t="str">
        <f>C11</f>
        <v>Input | Inflation</v>
      </c>
      <c r="E11" s="16" t="s">
        <v>89</v>
      </c>
      <c r="F11" s="16"/>
      <c r="G11" s="18" t="str">
        <f>'Input|Inflation'!T1</f>
        <v>OK</v>
      </c>
      <c r="T11" s="17"/>
    </row>
    <row r="12" spans="1:30" ht="10.5">
      <c r="C12" s="15" t="str">
        <f>Index!C9</f>
        <v>Input | Reported opex</v>
      </c>
      <c r="D12" s="28" t="str">
        <f t="shared" ref="D12:D15" si="0">C12</f>
        <v>Input | Reported opex</v>
      </c>
      <c r="E12" s="16" t="s">
        <v>89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8" t="str">
        <f t="shared" si="0"/>
        <v>Input | Rate of change</v>
      </c>
      <c r="E13" s="16" t="s">
        <v>89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8" t="str">
        <f t="shared" si="0"/>
        <v>Input | Step changes</v>
      </c>
      <c r="E14" s="16" t="s">
        <v>89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8" t="str">
        <f t="shared" si="0"/>
        <v>Calc | Opex Forecast</v>
      </c>
      <c r="E15" s="16" t="s">
        <v>89</v>
      </c>
      <c r="F15" s="16"/>
      <c r="G15" s="18" t="str">
        <f>'Calc|Opex forecast'!S1</f>
        <v>n/a</v>
      </c>
      <c r="H15" s="16"/>
      <c r="T15" s="17"/>
    </row>
    <row r="16" spans="1:30">
      <c r="C16" s="15"/>
    </row>
    <row r="17" spans="1:30" customFormat="1" ht="13">
      <c r="A17" s="37"/>
      <c r="B17" s="43" t="s">
        <v>22</v>
      </c>
      <c r="C17" s="37"/>
      <c r="D17" s="37"/>
      <c r="E17" s="37"/>
      <c r="F17" s="38"/>
      <c r="G17" s="38"/>
      <c r="H17" s="38"/>
      <c r="I17" s="38"/>
      <c r="J17" s="39"/>
      <c r="K17" s="40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40"/>
      <c r="W17" s="40"/>
      <c r="X17" s="41"/>
      <c r="Y17" s="41"/>
      <c r="Z17" s="41"/>
      <c r="AA17" s="41"/>
      <c r="AB17" s="41"/>
      <c r="AC17" s="42"/>
      <c r="AD17" s="42"/>
    </row>
    <row r="18" spans="1:30" hidden="1">
      <c r="C18" s="15"/>
    </row>
    <row r="19" spans="1:30" hidden="1">
      <c r="C19" s="15"/>
    </row>
    <row r="20" spans="1:30" hidden="1">
      <c r="C20" s="15"/>
    </row>
    <row r="21" spans="1:30" hidden="1">
      <c r="C21" s="15"/>
    </row>
  </sheetData>
  <conditionalFormatting sqref="G10:G15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1200-000000000000}"/>
    <hyperlink ref="D10" location="'Input|General'!A1" display="'Input|General'!A1" xr:uid="{00000000-0004-0000-1200-000001000000}"/>
    <hyperlink ref="D12" location="'Input|Reported opex'!A1" display="'Input|Reported opex'!A1" xr:uid="{00000000-0004-0000-1200-000002000000}"/>
    <hyperlink ref="D13" location="'Input|Rate of change_final'!A1" display="'Input|Rate of change_final'!A1" xr:uid="{00000000-0004-0000-1200-000003000000}"/>
    <hyperlink ref="D14" location="'Input|Step changes'!A1" display="'Input|Step changes'!A1" xr:uid="{00000000-0004-0000-1200-000004000000}"/>
    <hyperlink ref="D15" location="'Calc|Opex forecast_final'!A1" display="'Calc|Opex forecast_final'!A1" xr:uid="{00000000-0004-0000-1200-000005000000}"/>
    <hyperlink ref="D11" location="'Input|Inflation'!A1" display="'Input|Inflation'!A1" xr:uid="{00000000-0004-0000-1200-000008000000}"/>
    <hyperlink ref="R1" location="'Check|List'!A1" display="Overall Check:" xr:uid="{00000000-0004-0000-1200-000009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DE61563F-44C6-4201-AC14-F9BA2062738C}"/>
</file>

<file path=customXml/itemProps2.xml><?xml version="1.0" encoding="utf-8"?>
<ds:datastoreItem xmlns:ds="http://schemas.openxmlformats.org/officeDocument/2006/customXml" ds:itemID="{5F0F075C-8E99-4103-B23E-0E48AD3B0B9B}"/>
</file>

<file path=customXml/itemProps3.xml><?xml version="1.0" encoding="utf-8"?>
<ds:datastoreItem xmlns:ds="http://schemas.openxmlformats.org/officeDocument/2006/customXml" ds:itemID="{20A09E80-1535-4523-B949-2A1DD6F84351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2022-01-20T04:17:51Z</dcterms:created>
  <dcterms:modified xsi:type="dcterms:W3CDTF">2025-01-29T12:00:30Z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</Properties>
</file>