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B:\Price Review\2026-31 EDPR\11.0 2026 EDPR - Proposal submission models\Public\SCS\"/>
    </mc:Choice>
  </mc:AlternateContent>
  <xr:revisionPtr revIDLastSave="0" documentId="13_ncr:1_{F3A8B6B8-545F-4CE1-B532-887EBBD70C2C}" xr6:coauthVersionLast="47" xr6:coauthVersionMax="47" xr10:uidLastSave="{00000000-0000-0000-0000-000000000000}"/>
  <bookViews>
    <workbookView xWindow="-115" yWindow="-115" windowWidth="24697" windowHeight="13381" tabRatio="719" xr2:uid="{00000000-000D-0000-FFFF-FFFF00000000}"/>
  </bookViews>
  <sheets>
    <sheet name="Contr_Fcast" sheetId="5" r:id="rId1"/>
    <sheet name="WACC" sheetId="6" r:id="rId2"/>
    <sheet name="1014 projects" sheetId="1" r:id="rId3"/>
    <sheet name="FD PTRM Rev Summary" sheetId="13" r:id="rId4"/>
    <sheet name="Duos revenue" sheetId="7" r:id="rId5"/>
    <sheet name="MCR" sheetId="9" r:id="rId6"/>
    <sheet name="MCR Rates" sheetId="10" r:id="rId7"/>
    <sheet name="Lookups" sheetId="11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2" hidden="1">'1014 projects'!$A$5:$AT$55</definedName>
    <definedName name="_xlnm._FilterDatabase" localSheetId="4" hidden="1">'Duos revenue'!$A$3:$AI$53</definedName>
    <definedName name="P_0_RevCap">#REF!</definedName>
    <definedName name="P_0_RevYld">#REF!</definedName>
    <definedName name="P_0_WAPC">#REF!</definedName>
    <definedName name="X_02_RevCap">#REF!</definedName>
    <definedName name="X_02_RevYld">#REF!</definedName>
    <definedName name="X_02_WAPC">#REF!</definedName>
    <definedName name="X_03_RevCap">#REF!</definedName>
    <definedName name="X_03_RevYld">#REF!</definedName>
    <definedName name="X_03_WAPC">#REF!</definedName>
    <definedName name="X_04_RevCap">#REF!</definedName>
    <definedName name="X_04_RevYld">#REF!</definedName>
    <definedName name="X_04_WAPC">#REF!</definedName>
    <definedName name="X_05_RevCap">#REF!</definedName>
    <definedName name="X_05_RevYld">#REF!</definedName>
    <definedName name="X_05_WAPC">#REF!</definedName>
    <definedName name="X_06_RevCap">#REF!</definedName>
    <definedName name="X_06_RevYld">#REF!</definedName>
    <definedName name="X_06_WAPC">#REF!</definedName>
    <definedName name="X_07_RevCap">#REF!</definedName>
    <definedName name="X_07_RevYld">#REF!</definedName>
    <definedName name="X_07_WAPC">#REF!</definedName>
    <definedName name="X_08_RevCap">#REF!</definedName>
    <definedName name="X_08_RevYld">#REF!</definedName>
    <definedName name="X_08_WAPC">#REF!</definedName>
    <definedName name="X_09_RevCap">#REF!</definedName>
    <definedName name="X_09_RevYld">#REF!</definedName>
    <definedName name="X_09_WAPC">#REF!</definedName>
    <definedName name="X_10_RevCap">#REF!</definedName>
    <definedName name="X_10_RevYld">#REF!</definedName>
    <definedName name="X_10_WAP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5" l="1"/>
  <c r="M7" i="5"/>
  <c r="L7" i="5"/>
  <c r="K7" i="5"/>
  <c r="J7" i="5"/>
  <c r="I11" i="5"/>
  <c r="H11" i="5"/>
  <c r="G11" i="5"/>
  <c r="F11" i="5"/>
  <c r="E11" i="5"/>
  <c r="D11" i="5"/>
  <c r="C11" i="5"/>
  <c r="I10" i="5"/>
  <c r="H10" i="5"/>
  <c r="G10" i="5"/>
  <c r="F10" i="5"/>
  <c r="E10" i="5"/>
  <c r="D10" i="5"/>
  <c r="C10" i="5"/>
  <c r="I9" i="5"/>
  <c r="H9" i="5"/>
  <c r="G9" i="5"/>
  <c r="F9" i="5"/>
  <c r="E9" i="5"/>
  <c r="D9" i="5"/>
  <c r="C9" i="5"/>
  <c r="I8" i="5"/>
  <c r="H8" i="5"/>
  <c r="G8" i="5"/>
  <c r="F8" i="5"/>
  <c r="E8" i="5"/>
  <c r="D8" i="5"/>
  <c r="C8" i="5"/>
  <c r="I7" i="5"/>
  <c r="H7" i="5"/>
  <c r="G7" i="5"/>
  <c r="F7" i="5"/>
  <c r="E7" i="5"/>
  <c r="D7" i="5"/>
  <c r="C7" i="5"/>
  <c r="I6" i="5"/>
  <c r="H6" i="5"/>
  <c r="G6" i="5"/>
  <c r="F6" i="5"/>
  <c r="E6" i="5"/>
  <c r="D6" i="5"/>
  <c r="C6" i="5"/>
  <c r="I5" i="5"/>
  <c r="H5" i="5"/>
  <c r="G5" i="5"/>
  <c r="F5" i="5"/>
  <c r="E5" i="5"/>
  <c r="D5" i="5"/>
  <c r="C5" i="5"/>
  <c r="P2" i="9"/>
  <c r="AA3" i="1" l="1"/>
  <c r="J18" i="6" a="1"/>
  <c r="J18" i="6" s="1"/>
  <c r="G18" i="6" a="1"/>
  <c r="G18" i="6"/>
  <c r="K18" i="6" a="1"/>
  <c r="K18" i="6" s="1"/>
  <c r="I18" i="6" a="1"/>
  <c r="I18" i="6" s="1"/>
  <c r="H18" i="6" a="1"/>
  <c r="H18" i="6" s="1"/>
  <c r="K4" i="6"/>
  <c r="J4" i="6"/>
  <c r="I4" i="6"/>
  <c r="H4" i="6"/>
  <c r="G4" i="6"/>
  <c r="E18" i="6" a="1"/>
  <c r="E18" i="6" s="1"/>
  <c r="D18" i="6" a="1"/>
  <c r="D18" i="6" s="1"/>
  <c r="C18" i="6" a="1"/>
  <c r="C18" i="6" s="1"/>
  <c r="F10" i="6"/>
  <c r="E10" i="6"/>
  <c r="D10" i="6"/>
  <c r="C10" i="6"/>
  <c r="AL51" i="1" l="1"/>
  <c r="AP51" i="1"/>
  <c r="AQ51" i="1"/>
  <c r="AR51" i="1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B49" i="7"/>
  <c r="B102" i="7" s="1"/>
  <c r="C49" i="7"/>
  <c r="C102" i="7"/>
  <c r="S49" i="7"/>
  <c r="T49" i="7"/>
  <c r="B49" i="9"/>
  <c r="C49" i="9"/>
  <c r="D49" i="9"/>
  <c r="F49" i="9" s="1"/>
  <c r="E49" i="9"/>
  <c r="J49" i="9"/>
  <c r="K49" i="9" s="1"/>
  <c r="L49" i="9"/>
  <c r="M49" i="9"/>
  <c r="F51" i="1"/>
  <c r="AT51" i="1" s="1"/>
  <c r="Z51" i="1"/>
  <c r="G51" i="1" l="1"/>
  <c r="G49" i="9"/>
  <c r="N49" i="9" s="1" a="1"/>
  <c r="N49" i="9" s="1"/>
  <c r="O49" i="9" s="1"/>
  <c r="I49" i="9"/>
  <c r="P49" i="9" l="1"/>
  <c r="Q49" i="9" s="1"/>
  <c r="S49" i="9" l="1"/>
  <c r="T49" i="9"/>
  <c r="AC51" i="1"/>
  <c r="AD51" i="1" s="1"/>
  <c r="W7" i="1" l="1"/>
  <c r="W13" i="1"/>
  <c r="AC13" i="1" s="1"/>
  <c r="F40" i="1" l="1"/>
  <c r="T53" i="7"/>
  <c r="T47" i="7"/>
  <c r="T37" i="7"/>
  <c r="T12" i="7"/>
  <c r="S53" i="7"/>
  <c r="S52" i="7"/>
  <c r="S51" i="7"/>
  <c r="S50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B15" i="7" l="1"/>
  <c r="F18" i="6" l="1"/>
  <c r="W55" i="1"/>
  <c r="W54" i="1"/>
  <c r="W53" i="1"/>
  <c r="W52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2" i="1"/>
  <c r="W11" i="1"/>
  <c r="W10" i="1"/>
  <c r="W9" i="1"/>
  <c r="W8" i="1"/>
  <c r="W6" i="1"/>
  <c r="F9" i="1" l="1"/>
  <c r="V16" i="1"/>
  <c r="T52" i="7" l="1"/>
  <c r="T51" i="7"/>
  <c r="T50" i="7"/>
  <c r="T48" i="7"/>
  <c r="T46" i="7"/>
  <c r="T45" i="7"/>
  <c r="T44" i="7"/>
  <c r="T43" i="7"/>
  <c r="T42" i="7"/>
  <c r="T41" i="7"/>
  <c r="T40" i="7"/>
  <c r="T39" i="7"/>
  <c r="T38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1" i="7"/>
  <c r="T10" i="7"/>
  <c r="T9" i="7"/>
  <c r="T8" i="7"/>
  <c r="T7" i="7"/>
  <c r="T6" i="7"/>
  <c r="T5" i="7"/>
  <c r="T4" i="7"/>
  <c r="Z6" i="1" l="1"/>
  <c r="Z55" i="1"/>
  <c r="Z54" i="1"/>
  <c r="Z53" i="1"/>
  <c r="Z52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0" i="1"/>
  <c r="Z9" i="1"/>
  <c r="G9" i="1" s="1"/>
  <c r="Z8" i="1"/>
  <c r="Z7" i="1"/>
  <c r="R159" i="7" l="1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F202" i="7" s="1"/>
  <c r="E149" i="7"/>
  <c r="D149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F201" i="7" s="1"/>
  <c r="E148" i="7"/>
  <c r="D148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D196" i="7" s="1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V8" i="1"/>
  <c r="G112" i="7" s="1"/>
  <c r="H112" i="7" l="1"/>
  <c r="I112" i="7"/>
  <c r="L112" i="7"/>
  <c r="M112" i="7"/>
  <c r="P112" i="7"/>
  <c r="E112" i="7"/>
  <c r="Q112" i="7"/>
  <c r="J112" i="7"/>
  <c r="N112" i="7"/>
  <c r="O112" i="7"/>
  <c r="F112" i="7"/>
  <c r="R112" i="7"/>
  <c r="K112" i="7"/>
  <c r="D112" i="7"/>
  <c r="AL6" i="1" l="1"/>
  <c r="R212" i="7" l="1"/>
  <c r="Q212" i="7"/>
  <c r="P212" i="7"/>
  <c r="O212" i="7"/>
  <c r="N212" i="7"/>
  <c r="M212" i="7"/>
  <c r="L212" i="7"/>
  <c r="K212" i="7"/>
  <c r="J212" i="7"/>
  <c r="I212" i="7"/>
  <c r="H212" i="7"/>
  <c r="G212" i="7"/>
  <c r="F212" i="7"/>
  <c r="E212" i="7"/>
  <c r="D212" i="7"/>
  <c r="R211" i="7"/>
  <c r="Q211" i="7"/>
  <c r="P211" i="7"/>
  <c r="O211" i="7"/>
  <c r="N211" i="7"/>
  <c r="M211" i="7"/>
  <c r="L211" i="7"/>
  <c r="K211" i="7"/>
  <c r="J211" i="7"/>
  <c r="I211" i="7"/>
  <c r="H211" i="7"/>
  <c r="G211" i="7"/>
  <c r="F211" i="7"/>
  <c r="E211" i="7"/>
  <c r="D211" i="7"/>
  <c r="R210" i="7"/>
  <c r="Q210" i="7"/>
  <c r="P210" i="7"/>
  <c r="O210" i="7"/>
  <c r="N210" i="7"/>
  <c r="M210" i="7"/>
  <c r="L210" i="7"/>
  <c r="K210" i="7"/>
  <c r="J210" i="7"/>
  <c r="I210" i="7"/>
  <c r="H210" i="7"/>
  <c r="G210" i="7"/>
  <c r="F210" i="7"/>
  <c r="E210" i="7"/>
  <c r="D210" i="7"/>
  <c r="R209" i="7"/>
  <c r="Q209" i="7"/>
  <c r="P209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R208" i="7"/>
  <c r="Q208" i="7"/>
  <c r="P208" i="7"/>
  <c r="O208" i="7"/>
  <c r="N208" i="7"/>
  <c r="M208" i="7"/>
  <c r="L208" i="7"/>
  <c r="K208" i="7"/>
  <c r="J208" i="7"/>
  <c r="I208" i="7"/>
  <c r="H208" i="7"/>
  <c r="G208" i="7"/>
  <c r="F208" i="7"/>
  <c r="E208" i="7"/>
  <c r="D208" i="7"/>
  <c r="R207" i="7"/>
  <c r="Q207" i="7"/>
  <c r="P207" i="7"/>
  <c r="O207" i="7"/>
  <c r="N207" i="7"/>
  <c r="M207" i="7"/>
  <c r="L207" i="7"/>
  <c r="K207" i="7"/>
  <c r="J207" i="7"/>
  <c r="I207" i="7"/>
  <c r="H207" i="7"/>
  <c r="G207" i="7"/>
  <c r="F207" i="7"/>
  <c r="E207" i="7"/>
  <c r="D207" i="7"/>
  <c r="R206" i="7"/>
  <c r="Q206" i="7"/>
  <c r="P206" i="7"/>
  <c r="O206" i="7"/>
  <c r="N206" i="7"/>
  <c r="M206" i="7"/>
  <c r="L206" i="7"/>
  <c r="K206" i="7"/>
  <c r="J206" i="7"/>
  <c r="I206" i="7"/>
  <c r="H206" i="7"/>
  <c r="G206" i="7"/>
  <c r="F206" i="7"/>
  <c r="E206" i="7"/>
  <c r="D206" i="7"/>
  <c r="R205" i="7"/>
  <c r="Q205" i="7"/>
  <c r="P205" i="7"/>
  <c r="O205" i="7"/>
  <c r="N205" i="7"/>
  <c r="M205" i="7"/>
  <c r="L205" i="7"/>
  <c r="K205" i="7"/>
  <c r="J205" i="7"/>
  <c r="I205" i="7"/>
  <c r="H205" i="7"/>
  <c r="G205" i="7"/>
  <c r="F205" i="7"/>
  <c r="E205" i="7"/>
  <c r="D205" i="7"/>
  <c r="R204" i="7"/>
  <c r="Q204" i="7"/>
  <c r="P204" i="7"/>
  <c r="O204" i="7"/>
  <c r="N204" i="7"/>
  <c r="M204" i="7"/>
  <c r="L204" i="7"/>
  <c r="K204" i="7"/>
  <c r="J204" i="7"/>
  <c r="I204" i="7"/>
  <c r="H204" i="7"/>
  <c r="G204" i="7"/>
  <c r="F204" i="7"/>
  <c r="E204" i="7"/>
  <c r="D204" i="7"/>
  <c r="R203" i="7"/>
  <c r="Q203" i="7"/>
  <c r="P203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R202" i="7"/>
  <c r="Q202" i="7"/>
  <c r="P202" i="7"/>
  <c r="O202" i="7"/>
  <c r="N202" i="7"/>
  <c r="M202" i="7"/>
  <c r="L202" i="7"/>
  <c r="K202" i="7"/>
  <c r="J202" i="7"/>
  <c r="I202" i="7"/>
  <c r="H202" i="7"/>
  <c r="G202" i="7"/>
  <c r="E202" i="7"/>
  <c r="D202" i="7"/>
  <c r="R201" i="7"/>
  <c r="Q201" i="7"/>
  <c r="P201" i="7"/>
  <c r="O201" i="7"/>
  <c r="N201" i="7"/>
  <c r="M201" i="7"/>
  <c r="L201" i="7"/>
  <c r="K201" i="7"/>
  <c r="J201" i="7"/>
  <c r="I201" i="7"/>
  <c r="H201" i="7"/>
  <c r="G201" i="7"/>
  <c r="E201" i="7"/>
  <c r="D201" i="7"/>
  <c r="R200" i="7"/>
  <c r="Q200" i="7"/>
  <c r="P200" i="7"/>
  <c r="O200" i="7"/>
  <c r="N200" i="7"/>
  <c r="M200" i="7"/>
  <c r="L200" i="7"/>
  <c r="K200" i="7"/>
  <c r="J200" i="7"/>
  <c r="I200" i="7"/>
  <c r="H200" i="7"/>
  <c r="G200" i="7"/>
  <c r="F200" i="7"/>
  <c r="E200" i="7"/>
  <c r="D200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D199" i="7"/>
  <c r="R198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E198" i="7"/>
  <c r="D198" i="7"/>
  <c r="R197" i="7"/>
  <c r="Q197" i="7"/>
  <c r="P197" i="7"/>
  <c r="O197" i="7"/>
  <c r="N197" i="7"/>
  <c r="M197" i="7"/>
  <c r="L197" i="7"/>
  <c r="K197" i="7"/>
  <c r="J197" i="7"/>
  <c r="I197" i="7"/>
  <c r="H197" i="7"/>
  <c r="G197" i="7"/>
  <c r="F197" i="7"/>
  <c r="E197" i="7"/>
  <c r="D197" i="7"/>
  <c r="R196" i="7"/>
  <c r="Q196" i="7"/>
  <c r="P196" i="7"/>
  <c r="O196" i="7"/>
  <c r="N196" i="7"/>
  <c r="M196" i="7"/>
  <c r="L196" i="7"/>
  <c r="K196" i="7"/>
  <c r="J196" i="7"/>
  <c r="I196" i="7"/>
  <c r="H196" i="7"/>
  <c r="G196" i="7"/>
  <c r="F196" i="7"/>
  <c r="E196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D195" i="7"/>
  <c r="R194" i="7"/>
  <c r="Q194" i="7"/>
  <c r="P194" i="7"/>
  <c r="O194" i="7"/>
  <c r="N194" i="7"/>
  <c r="M194" i="7"/>
  <c r="L194" i="7"/>
  <c r="K194" i="7"/>
  <c r="J194" i="7"/>
  <c r="I194" i="7"/>
  <c r="H194" i="7"/>
  <c r="G194" i="7"/>
  <c r="F194" i="7"/>
  <c r="E194" i="7"/>
  <c r="D194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D193" i="7"/>
  <c r="R192" i="7"/>
  <c r="Q192" i="7"/>
  <c r="P192" i="7"/>
  <c r="O192" i="7"/>
  <c r="N192" i="7"/>
  <c r="M192" i="7"/>
  <c r="L192" i="7"/>
  <c r="K192" i="7"/>
  <c r="J192" i="7"/>
  <c r="I192" i="7"/>
  <c r="H192" i="7"/>
  <c r="G192" i="7"/>
  <c r="F192" i="7"/>
  <c r="E192" i="7"/>
  <c r="D192" i="7"/>
  <c r="R191" i="7"/>
  <c r="Q191" i="7"/>
  <c r="P191" i="7"/>
  <c r="O191" i="7"/>
  <c r="N191" i="7"/>
  <c r="M191" i="7"/>
  <c r="L191" i="7"/>
  <c r="K191" i="7"/>
  <c r="J191" i="7"/>
  <c r="I191" i="7"/>
  <c r="H191" i="7"/>
  <c r="G191" i="7"/>
  <c r="F191" i="7"/>
  <c r="E191" i="7"/>
  <c r="D191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R189" i="7"/>
  <c r="Q189" i="7"/>
  <c r="P189" i="7"/>
  <c r="O189" i="7"/>
  <c r="N189" i="7"/>
  <c r="M189" i="7"/>
  <c r="L189" i="7"/>
  <c r="K189" i="7"/>
  <c r="J189" i="7"/>
  <c r="I189" i="7"/>
  <c r="H189" i="7"/>
  <c r="G189" i="7"/>
  <c r="F189" i="7"/>
  <c r="E189" i="7"/>
  <c r="D189" i="7"/>
  <c r="R188" i="7"/>
  <c r="Q188" i="7"/>
  <c r="P188" i="7"/>
  <c r="O188" i="7"/>
  <c r="N188" i="7"/>
  <c r="M188" i="7"/>
  <c r="L188" i="7"/>
  <c r="K188" i="7"/>
  <c r="J188" i="7"/>
  <c r="I188" i="7"/>
  <c r="H188" i="7"/>
  <c r="G188" i="7"/>
  <c r="F188" i="7"/>
  <c r="E188" i="7"/>
  <c r="D188" i="7"/>
  <c r="R186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D186" i="7"/>
  <c r="R185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R184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E184" i="7"/>
  <c r="D184" i="7"/>
  <c r="R183" i="7"/>
  <c r="Q183" i="7"/>
  <c r="P183" i="7"/>
  <c r="O183" i="7"/>
  <c r="N183" i="7"/>
  <c r="M183" i="7"/>
  <c r="L183" i="7"/>
  <c r="K183" i="7"/>
  <c r="J183" i="7"/>
  <c r="I183" i="7"/>
  <c r="H183" i="7"/>
  <c r="G183" i="7"/>
  <c r="F183" i="7"/>
  <c r="E183" i="7"/>
  <c r="D183" i="7"/>
  <c r="R182" i="7"/>
  <c r="Q182" i="7"/>
  <c r="P182" i="7"/>
  <c r="O182" i="7"/>
  <c r="N182" i="7"/>
  <c r="M182" i="7"/>
  <c r="L182" i="7"/>
  <c r="K182" i="7"/>
  <c r="J182" i="7"/>
  <c r="I182" i="7"/>
  <c r="H182" i="7"/>
  <c r="G182" i="7"/>
  <c r="F182" i="7"/>
  <c r="E182" i="7"/>
  <c r="D182" i="7"/>
  <c r="R181" i="7"/>
  <c r="Q181" i="7"/>
  <c r="P181" i="7"/>
  <c r="O181" i="7"/>
  <c r="N181" i="7"/>
  <c r="M181" i="7"/>
  <c r="L181" i="7"/>
  <c r="K181" i="7"/>
  <c r="J181" i="7"/>
  <c r="I181" i="7"/>
  <c r="H181" i="7"/>
  <c r="G181" i="7"/>
  <c r="F181" i="7"/>
  <c r="E181" i="7"/>
  <c r="D181" i="7"/>
  <c r="R180" i="7"/>
  <c r="Q180" i="7"/>
  <c r="P180" i="7"/>
  <c r="O180" i="7"/>
  <c r="N180" i="7"/>
  <c r="M180" i="7"/>
  <c r="L180" i="7"/>
  <c r="K180" i="7"/>
  <c r="J180" i="7"/>
  <c r="I180" i="7"/>
  <c r="H180" i="7"/>
  <c r="G180" i="7"/>
  <c r="F180" i="7"/>
  <c r="E180" i="7"/>
  <c r="D180" i="7"/>
  <c r="R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E179" i="7"/>
  <c r="D179" i="7"/>
  <c r="R178" i="7"/>
  <c r="Q178" i="7"/>
  <c r="P178" i="7"/>
  <c r="O178" i="7"/>
  <c r="N178" i="7"/>
  <c r="M178" i="7"/>
  <c r="L178" i="7"/>
  <c r="K178" i="7"/>
  <c r="J178" i="7"/>
  <c r="I178" i="7"/>
  <c r="H178" i="7"/>
  <c r="G178" i="7"/>
  <c r="F178" i="7"/>
  <c r="E178" i="7"/>
  <c r="D178" i="7"/>
  <c r="R177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R176" i="7"/>
  <c r="Q176" i="7"/>
  <c r="P176" i="7"/>
  <c r="O176" i="7"/>
  <c r="N176" i="7"/>
  <c r="M176" i="7"/>
  <c r="L176" i="7"/>
  <c r="K176" i="7"/>
  <c r="J176" i="7"/>
  <c r="I176" i="7"/>
  <c r="H176" i="7"/>
  <c r="G176" i="7"/>
  <c r="F176" i="7"/>
  <c r="E176" i="7"/>
  <c r="D176" i="7"/>
  <c r="R175" i="7"/>
  <c r="Q175" i="7"/>
  <c r="P175" i="7"/>
  <c r="O175" i="7"/>
  <c r="N175" i="7"/>
  <c r="M175" i="7"/>
  <c r="L175" i="7"/>
  <c r="K175" i="7"/>
  <c r="J175" i="7"/>
  <c r="I175" i="7"/>
  <c r="H175" i="7"/>
  <c r="G175" i="7"/>
  <c r="F175" i="7"/>
  <c r="E175" i="7"/>
  <c r="D175" i="7"/>
  <c r="R174" i="7"/>
  <c r="Q174" i="7"/>
  <c r="P174" i="7"/>
  <c r="O174" i="7"/>
  <c r="N174" i="7"/>
  <c r="M174" i="7"/>
  <c r="L174" i="7"/>
  <c r="K174" i="7"/>
  <c r="J174" i="7"/>
  <c r="I174" i="7"/>
  <c r="H174" i="7"/>
  <c r="G174" i="7"/>
  <c r="F174" i="7"/>
  <c r="E174" i="7"/>
  <c r="D174" i="7"/>
  <c r="R173" i="7"/>
  <c r="Q173" i="7"/>
  <c r="P173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R172" i="7"/>
  <c r="Q172" i="7"/>
  <c r="P172" i="7"/>
  <c r="O172" i="7"/>
  <c r="N172" i="7"/>
  <c r="M172" i="7"/>
  <c r="L172" i="7"/>
  <c r="K172" i="7"/>
  <c r="J172" i="7"/>
  <c r="I172" i="7"/>
  <c r="H172" i="7"/>
  <c r="G172" i="7"/>
  <c r="F172" i="7"/>
  <c r="E172" i="7"/>
  <c r="D172" i="7"/>
  <c r="R171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E171" i="7"/>
  <c r="D171" i="7"/>
  <c r="R170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D168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D166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06" i="7"/>
  <c r="C159" i="7" s="1"/>
  <c r="C105" i="7"/>
  <c r="C158" i="7" s="1"/>
  <c r="C104" i="7"/>
  <c r="C157" i="7" s="1"/>
  <c r="C103" i="7"/>
  <c r="C156" i="7" s="1"/>
  <c r="C208" i="7"/>
  <c r="C101" i="7"/>
  <c r="C154" i="7" s="1"/>
  <c r="C100" i="7"/>
  <c r="C153" i="7" s="1"/>
  <c r="C99" i="7"/>
  <c r="C152" i="7" s="1"/>
  <c r="C98" i="7"/>
  <c r="C151" i="7" s="1"/>
  <c r="C97" i="7"/>
  <c r="C150" i="7" s="1"/>
  <c r="C96" i="7"/>
  <c r="C149" i="7" s="1"/>
  <c r="C95" i="7"/>
  <c r="C148" i="7" s="1"/>
  <c r="C94" i="7"/>
  <c r="C147" i="7" s="1"/>
  <c r="C93" i="7"/>
  <c r="C146" i="7" s="1"/>
  <c r="C92" i="7"/>
  <c r="C145" i="7" s="1"/>
  <c r="C91" i="7"/>
  <c r="C144" i="7" s="1"/>
  <c r="C90" i="7"/>
  <c r="C143" i="7" s="1"/>
  <c r="C89" i="7"/>
  <c r="C142" i="7" s="1"/>
  <c r="C88" i="7"/>
  <c r="C141" i="7" s="1"/>
  <c r="C87" i="7"/>
  <c r="C140" i="7" s="1"/>
  <c r="C86" i="7"/>
  <c r="C139" i="7" s="1"/>
  <c r="C85" i="7"/>
  <c r="C138" i="7" s="1"/>
  <c r="C84" i="7"/>
  <c r="C137" i="7" s="1"/>
  <c r="C83" i="7"/>
  <c r="C136" i="7" s="1"/>
  <c r="C82" i="7"/>
  <c r="C135" i="7" s="1"/>
  <c r="C81" i="7"/>
  <c r="C134" i="7" s="1"/>
  <c r="C80" i="7"/>
  <c r="C133" i="7" s="1"/>
  <c r="C79" i="7"/>
  <c r="C132" i="7" s="1"/>
  <c r="C78" i="7"/>
  <c r="C184" i="7" s="1"/>
  <c r="C77" i="7"/>
  <c r="C130" i="7" s="1"/>
  <c r="C76" i="7"/>
  <c r="C129" i="7" s="1"/>
  <c r="C75" i="7"/>
  <c r="C128" i="7" s="1"/>
  <c r="C74" i="7"/>
  <c r="C127" i="7" s="1"/>
  <c r="C73" i="7"/>
  <c r="C126" i="7" s="1"/>
  <c r="C72" i="7"/>
  <c r="C125" i="7" s="1"/>
  <c r="C71" i="7"/>
  <c r="C124" i="7" s="1"/>
  <c r="C70" i="7"/>
  <c r="C123" i="7" s="1"/>
  <c r="C69" i="7"/>
  <c r="C122" i="7" s="1"/>
  <c r="C68" i="7"/>
  <c r="C121" i="7" s="1"/>
  <c r="C67" i="7"/>
  <c r="C120" i="7" s="1"/>
  <c r="C66" i="7"/>
  <c r="C119" i="7" s="1"/>
  <c r="C65" i="7"/>
  <c r="C118" i="7" s="1"/>
  <c r="C64" i="7"/>
  <c r="C117" i="7" s="1"/>
  <c r="C63" i="7"/>
  <c r="C116" i="7" s="1"/>
  <c r="C62" i="7"/>
  <c r="C115" i="7" s="1"/>
  <c r="C61" i="7"/>
  <c r="C114" i="7" s="1"/>
  <c r="C60" i="7"/>
  <c r="C113" i="7" s="1"/>
  <c r="C59" i="7"/>
  <c r="C112" i="7" s="1"/>
  <c r="C58" i="7"/>
  <c r="C111" i="7" s="1"/>
  <c r="C57" i="7"/>
  <c r="C110" i="7" s="1"/>
  <c r="B53" i="7"/>
  <c r="B106" i="7" s="1"/>
  <c r="B52" i="7"/>
  <c r="B105" i="7" s="1"/>
  <c r="B51" i="7"/>
  <c r="B104" i="7" s="1"/>
  <c r="B50" i="7"/>
  <c r="B103" i="7" s="1"/>
  <c r="B48" i="7"/>
  <c r="B101" i="7" s="1"/>
  <c r="B47" i="7"/>
  <c r="B100" i="7" s="1"/>
  <c r="B46" i="7"/>
  <c r="B99" i="7" s="1"/>
  <c r="B45" i="7"/>
  <c r="B98" i="7" s="1"/>
  <c r="B44" i="7"/>
  <c r="B97" i="7" s="1"/>
  <c r="B43" i="7"/>
  <c r="B149" i="7" s="1"/>
  <c r="B42" i="7"/>
  <c r="B148" i="7" s="1"/>
  <c r="B41" i="7"/>
  <c r="B94" i="7" s="1"/>
  <c r="B40" i="7"/>
  <c r="B93" i="7" s="1"/>
  <c r="B39" i="7"/>
  <c r="B92" i="7" s="1"/>
  <c r="B38" i="7"/>
  <c r="B91" i="7" s="1"/>
  <c r="B37" i="7"/>
  <c r="B90" i="7" s="1"/>
  <c r="B36" i="7"/>
  <c r="B89" i="7" s="1"/>
  <c r="B35" i="7"/>
  <c r="B88" i="7" s="1"/>
  <c r="B34" i="7"/>
  <c r="B87" i="7" s="1"/>
  <c r="B33" i="7"/>
  <c r="B86" i="7" s="1"/>
  <c r="B32" i="7"/>
  <c r="B138" i="7" s="1"/>
  <c r="B31" i="7"/>
  <c r="B137" i="7" s="1"/>
  <c r="B30" i="7"/>
  <c r="B83" i="7" s="1"/>
  <c r="B29" i="7"/>
  <c r="B82" i="7" s="1"/>
  <c r="B28" i="7"/>
  <c r="B81" i="7" s="1"/>
  <c r="B27" i="7"/>
  <c r="B80" i="7" s="1"/>
  <c r="B26" i="7"/>
  <c r="B79" i="7" s="1"/>
  <c r="B25" i="7"/>
  <c r="B131" i="7" s="1"/>
  <c r="B24" i="7"/>
  <c r="B130" i="7" s="1"/>
  <c r="B23" i="7"/>
  <c r="B129" i="7" s="1"/>
  <c r="B22" i="7"/>
  <c r="B75" i="7" s="1"/>
  <c r="B21" i="7"/>
  <c r="B74" i="7" s="1"/>
  <c r="B20" i="7"/>
  <c r="B126" i="7" s="1"/>
  <c r="B19" i="7"/>
  <c r="B72" i="7" s="1"/>
  <c r="B18" i="7"/>
  <c r="B124" i="7" s="1"/>
  <c r="B17" i="7"/>
  <c r="B123" i="7" s="1"/>
  <c r="B16" i="7"/>
  <c r="B122" i="7" s="1"/>
  <c r="B68" i="7"/>
  <c r="B14" i="7"/>
  <c r="B67" i="7" s="1"/>
  <c r="B13" i="7"/>
  <c r="B119" i="7" s="1"/>
  <c r="B12" i="7"/>
  <c r="B118" i="7" s="1"/>
  <c r="B11" i="7"/>
  <c r="B64" i="7" s="1"/>
  <c r="B10" i="7"/>
  <c r="B63" i="7" s="1"/>
  <c r="B9" i="7"/>
  <c r="B62" i="7" s="1"/>
  <c r="B8" i="7"/>
  <c r="B114" i="7" s="1"/>
  <c r="B7" i="7"/>
  <c r="B113" i="7" s="1"/>
  <c r="B6" i="7"/>
  <c r="B112" i="7" s="1"/>
  <c r="B5" i="7"/>
  <c r="B111" i="7" s="1"/>
  <c r="B4" i="7"/>
  <c r="B110" i="7" s="1"/>
  <c r="C53" i="7"/>
  <c r="C52" i="7"/>
  <c r="C51" i="7"/>
  <c r="C50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164" i="7" l="1"/>
  <c r="C170" i="7"/>
  <c r="C171" i="7"/>
  <c r="B188" i="7"/>
  <c r="C188" i="7"/>
  <c r="B254" i="7"/>
  <c r="B199" i="7"/>
  <c r="C200" i="7"/>
  <c r="B157" i="7"/>
  <c r="B175" i="7"/>
  <c r="B200" i="7"/>
  <c r="C212" i="7"/>
  <c r="B242" i="7"/>
  <c r="C131" i="7"/>
  <c r="B176" i="7"/>
  <c r="B211" i="7"/>
  <c r="B230" i="7"/>
  <c r="B164" i="7"/>
  <c r="C176" i="7"/>
  <c r="B187" i="7"/>
  <c r="C182" i="7"/>
  <c r="C194" i="7"/>
  <c r="B260" i="7"/>
  <c r="B212" i="7"/>
  <c r="C195" i="7"/>
  <c r="B266" i="7"/>
  <c r="C206" i="7"/>
  <c r="B163" i="7"/>
  <c r="C207" i="7"/>
  <c r="B224" i="7"/>
  <c r="B236" i="7"/>
  <c r="C183" i="7"/>
  <c r="B248" i="7"/>
  <c r="B237" i="7"/>
  <c r="C155" i="7"/>
  <c r="B165" i="7"/>
  <c r="B177" i="7"/>
  <c r="B189" i="7"/>
  <c r="B201" i="7"/>
  <c r="C172" i="7"/>
  <c r="C196" i="7"/>
  <c r="B226" i="7"/>
  <c r="B238" i="7"/>
  <c r="B250" i="7"/>
  <c r="B262" i="7"/>
  <c r="B249" i="7"/>
  <c r="B166" i="7"/>
  <c r="B178" i="7"/>
  <c r="B190" i="7"/>
  <c r="B202" i="7"/>
  <c r="C173" i="7"/>
  <c r="C185" i="7"/>
  <c r="C197" i="7"/>
  <c r="C209" i="7"/>
  <c r="B227" i="7"/>
  <c r="B239" i="7"/>
  <c r="B251" i="7"/>
  <c r="B263" i="7"/>
  <c r="B261" i="7"/>
  <c r="B167" i="7"/>
  <c r="B179" i="7"/>
  <c r="B191" i="7"/>
  <c r="B203" i="7"/>
  <c r="C174" i="7"/>
  <c r="C186" i="7"/>
  <c r="C198" i="7"/>
  <c r="C210" i="7"/>
  <c r="B228" i="7"/>
  <c r="B240" i="7"/>
  <c r="B252" i="7"/>
  <c r="B264" i="7"/>
  <c r="B225" i="7"/>
  <c r="B168" i="7"/>
  <c r="B180" i="7"/>
  <c r="B192" i="7"/>
  <c r="B204" i="7"/>
  <c r="C163" i="7"/>
  <c r="C175" i="7"/>
  <c r="C187" i="7"/>
  <c r="C199" i="7"/>
  <c r="C211" i="7"/>
  <c r="B229" i="7"/>
  <c r="B241" i="7"/>
  <c r="B253" i="7"/>
  <c r="B265" i="7"/>
  <c r="B193" i="7"/>
  <c r="B205" i="7"/>
  <c r="B181" i="7"/>
  <c r="B170" i="7"/>
  <c r="B182" i="7"/>
  <c r="B194" i="7"/>
  <c r="B206" i="7"/>
  <c r="C165" i="7"/>
  <c r="C177" i="7"/>
  <c r="C189" i="7"/>
  <c r="C201" i="7"/>
  <c r="B219" i="7"/>
  <c r="B231" i="7"/>
  <c r="B243" i="7"/>
  <c r="B255" i="7"/>
  <c r="B267" i="7"/>
  <c r="B171" i="7"/>
  <c r="B183" i="7"/>
  <c r="B195" i="7"/>
  <c r="B207" i="7"/>
  <c r="C166" i="7"/>
  <c r="C178" i="7"/>
  <c r="C190" i="7"/>
  <c r="C202" i="7"/>
  <c r="B220" i="7"/>
  <c r="B232" i="7"/>
  <c r="B244" i="7"/>
  <c r="B256" i="7"/>
  <c r="B268" i="7"/>
  <c r="B169" i="7"/>
  <c r="B172" i="7"/>
  <c r="B184" i="7"/>
  <c r="B196" i="7"/>
  <c r="B208" i="7"/>
  <c r="C167" i="7"/>
  <c r="C179" i="7"/>
  <c r="C191" i="7"/>
  <c r="C203" i="7"/>
  <c r="B221" i="7"/>
  <c r="B233" i="7"/>
  <c r="B245" i="7"/>
  <c r="B257" i="7"/>
  <c r="B59" i="7"/>
  <c r="B173" i="7"/>
  <c r="B185" i="7"/>
  <c r="B197" i="7"/>
  <c r="B209" i="7"/>
  <c r="C168" i="7"/>
  <c r="C180" i="7"/>
  <c r="C192" i="7"/>
  <c r="C204" i="7"/>
  <c r="B222" i="7"/>
  <c r="B234" i="7"/>
  <c r="B246" i="7"/>
  <c r="B258" i="7"/>
  <c r="B125" i="7"/>
  <c r="B174" i="7"/>
  <c r="B186" i="7"/>
  <c r="B198" i="7"/>
  <c r="B210" i="7"/>
  <c r="C169" i="7"/>
  <c r="C181" i="7"/>
  <c r="C193" i="7"/>
  <c r="C205" i="7"/>
  <c r="B223" i="7"/>
  <c r="B235" i="7"/>
  <c r="B247" i="7"/>
  <c r="B259" i="7"/>
  <c r="B60" i="7"/>
  <c r="B132" i="7"/>
  <c r="B158" i="7"/>
  <c r="B69" i="7"/>
  <c r="B133" i="7"/>
  <c r="B159" i="7"/>
  <c r="B70" i="7"/>
  <c r="B136" i="7"/>
  <c r="B71" i="7"/>
  <c r="B143" i="7"/>
  <c r="B95" i="7"/>
  <c r="B144" i="7"/>
  <c r="B96" i="7"/>
  <c r="B145" i="7"/>
  <c r="B146" i="7"/>
  <c r="B147" i="7"/>
  <c r="B121" i="7"/>
  <c r="B155" i="7"/>
  <c r="B156" i="7"/>
  <c r="B84" i="7"/>
  <c r="B140" i="7"/>
  <c r="B152" i="7"/>
  <c r="B57" i="7"/>
  <c r="B141" i="7"/>
  <c r="B153" i="7"/>
  <c r="B58" i="7"/>
  <c r="B142" i="7"/>
  <c r="B154" i="7"/>
  <c r="B134" i="7"/>
  <c r="B135" i="7"/>
  <c r="B150" i="7"/>
  <c r="B120" i="7"/>
  <c r="B139" i="7"/>
  <c r="B151" i="7"/>
  <c r="B61" i="7"/>
  <c r="B76" i="7"/>
  <c r="B65" i="7"/>
  <c r="B77" i="7"/>
  <c r="B116" i="7"/>
  <c r="B128" i="7"/>
  <c r="B66" i="7"/>
  <c r="B78" i="7"/>
  <c r="B117" i="7"/>
  <c r="B115" i="7"/>
  <c r="B73" i="7"/>
  <c r="B127" i="7"/>
  <c r="B85" i="7"/>
  <c r="M53" i="9" l="1"/>
  <c r="L53" i="9"/>
  <c r="J53" i="9"/>
  <c r="K53" i="9" s="1"/>
  <c r="E53" i="9"/>
  <c r="D53" i="9"/>
  <c r="C53" i="9"/>
  <c r="B53" i="9"/>
  <c r="M52" i="9"/>
  <c r="L52" i="9"/>
  <c r="J52" i="9"/>
  <c r="K52" i="9" s="1"/>
  <c r="E52" i="9"/>
  <c r="D52" i="9"/>
  <c r="C52" i="9"/>
  <c r="B52" i="9"/>
  <c r="M51" i="9"/>
  <c r="L51" i="9"/>
  <c r="J51" i="9"/>
  <c r="K51" i="9" s="1"/>
  <c r="E51" i="9"/>
  <c r="D51" i="9"/>
  <c r="C51" i="9"/>
  <c r="B51" i="9"/>
  <c r="M50" i="9"/>
  <c r="L50" i="9"/>
  <c r="J50" i="9"/>
  <c r="K50" i="9" s="1"/>
  <c r="E50" i="9"/>
  <c r="D50" i="9"/>
  <c r="C50" i="9"/>
  <c r="B50" i="9"/>
  <c r="M48" i="9"/>
  <c r="L48" i="9"/>
  <c r="J48" i="9"/>
  <c r="K48" i="9" s="1"/>
  <c r="E48" i="9"/>
  <c r="D48" i="9"/>
  <c r="C48" i="9"/>
  <c r="B48" i="9"/>
  <c r="M47" i="9"/>
  <c r="L47" i="9"/>
  <c r="J47" i="9"/>
  <c r="K47" i="9" s="1"/>
  <c r="E47" i="9"/>
  <c r="D47" i="9"/>
  <c r="C47" i="9"/>
  <c r="B47" i="9"/>
  <c r="M46" i="9"/>
  <c r="L46" i="9"/>
  <c r="J46" i="9"/>
  <c r="K46" i="9" s="1"/>
  <c r="E46" i="9"/>
  <c r="D46" i="9"/>
  <c r="C46" i="9"/>
  <c r="B46" i="9"/>
  <c r="M45" i="9"/>
  <c r="L45" i="9"/>
  <c r="J45" i="9"/>
  <c r="K45" i="9" s="1"/>
  <c r="E45" i="9"/>
  <c r="D45" i="9"/>
  <c r="C45" i="9"/>
  <c r="B45" i="9"/>
  <c r="M44" i="9"/>
  <c r="L44" i="9"/>
  <c r="J44" i="9"/>
  <c r="K44" i="9" s="1"/>
  <c r="E44" i="9"/>
  <c r="D44" i="9"/>
  <c r="C44" i="9"/>
  <c r="B44" i="9"/>
  <c r="M43" i="9"/>
  <c r="L43" i="9"/>
  <c r="J43" i="9"/>
  <c r="K43" i="9" s="1"/>
  <c r="E43" i="9"/>
  <c r="D43" i="9"/>
  <c r="C43" i="9"/>
  <c r="B43" i="9"/>
  <c r="M42" i="9"/>
  <c r="L42" i="9"/>
  <c r="J42" i="9"/>
  <c r="K42" i="9" s="1"/>
  <c r="E42" i="9"/>
  <c r="D42" i="9"/>
  <c r="C42" i="9"/>
  <c r="B42" i="9"/>
  <c r="M41" i="9"/>
  <c r="L41" i="9"/>
  <c r="J41" i="9"/>
  <c r="K41" i="9" s="1"/>
  <c r="E41" i="9"/>
  <c r="D41" i="9"/>
  <c r="C41" i="9"/>
  <c r="B41" i="9"/>
  <c r="M40" i="9"/>
  <c r="L40" i="9"/>
  <c r="J40" i="9"/>
  <c r="K40" i="9" s="1"/>
  <c r="E40" i="9"/>
  <c r="D40" i="9"/>
  <c r="C40" i="9"/>
  <c r="B40" i="9"/>
  <c r="M39" i="9"/>
  <c r="L39" i="9"/>
  <c r="J39" i="9"/>
  <c r="K39" i="9" s="1"/>
  <c r="E39" i="9"/>
  <c r="D39" i="9"/>
  <c r="C39" i="9"/>
  <c r="B39" i="9"/>
  <c r="M38" i="9"/>
  <c r="L38" i="9"/>
  <c r="J38" i="9"/>
  <c r="K38" i="9" s="1"/>
  <c r="E38" i="9"/>
  <c r="D38" i="9"/>
  <c r="C38" i="9"/>
  <c r="B38" i="9"/>
  <c r="M37" i="9"/>
  <c r="L37" i="9"/>
  <c r="J37" i="9"/>
  <c r="K37" i="9" s="1"/>
  <c r="E37" i="9"/>
  <c r="D37" i="9"/>
  <c r="C37" i="9"/>
  <c r="B37" i="9"/>
  <c r="M36" i="9"/>
  <c r="L36" i="9"/>
  <c r="J36" i="9"/>
  <c r="K36" i="9" s="1"/>
  <c r="E36" i="9"/>
  <c r="D36" i="9"/>
  <c r="C36" i="9"/>
  <c r="B36" i="9"/>
  <c r="M35" i="9"/>
  <c r="L35" i="9"/>
  <c r="J35" i="9"/>
  <c r="K35" i="9" s="1"/>
  <c r="E35" i="9"/>
  <c r="D35" i="9"/>
  <c r="C35" i="9"/>
  <c r="B35" i="9"/>
  <c r="M34" i="9"/>
  <c r="L34" i="9"/>
  <c r="J34" i="9"/>
  <c r="K34" i="9" s="1"/>
  <c r="E34" i="9"/>
  <c r="D34" i="9"/>
  <c r="C34" i="9"/>
  <c r="B34" i="9"/>
  <c r="M33" i="9"/>
  <c r="L33" i="9"/>
  <c r="J33" i="9"/>
  <c r="K33" i="9" s="1"/>
  <c r="E33" i="9"/>
  <c r="D33" i="9"/>
  <c r="C33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F55" i="1"/>
  <c r="F54" i="1"/>
  <c r="G54" i="1" s="1"/>
  <c r="F53" i="1"/>
  <c r="G53" i="1" s="1"/>
  <c r="F52" i="1"/>
  <c r="F50" i="1"/>
  <c r="G50" i="1" s="1"/>
  <c r="F49" i="1"/>
  <c r="G49" i="1" s="1"/>
  <c r="F48" i="1"/>
  <c r="F47" i="1"/>
  <c r="G47" i="1" s="1"/>
  <c r="F46" i="1"/>
  <c r="G46" i="1" s="1"/>
  <c r="F45" i="1"/>
  <c r="G45" i="1" s="1"/>
  <c r="F44" i="1"/>
  <c r="G44" i="1" s="1"/>
  <c r="F43" i="1"/>
  <c r="G43" i="1" s="1"/>
  <c r="F42" i="1"/>
  <c r="F41" i="1"/>
  <c r="G41" i="1" s="1"/>
  <c r="F39" i="1"/>
  <c r="G39" i="1" s="1"/>
  <c r="F38" i="1"/>
  <c r="G38" i="1" s="1"/>
  <c r="F37" i="1"/>
  <c r="F36" i="1"/>
  <c r="F35" i="1"/>
  <c r="G35" i="1" s="1"/>
  <c r="AB55" i="1"/>
  <c r="AB54" i="1"/>
  <c r="AB53" i="1"/>
  <c r="AB52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R55" i="1"/>
  <c r="AR54" i="1"/>
  <c r="AR53" i="1"/>
  <c r="AR52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L55" i="1"/>
  <c r="AQ55" i="1" s="1"/>
  <c r="AL54" i="1"/>
  <c r="AQ54" i="1" s="1"/>
  <c r="AL53" i="1"/>
  <c r="AQ53" i="1" s="1"/>
  <c r="AL52" i="1"/>
  <c r="AQ52" i="1" s="1"/>
  <c r="AL50" i="1"/>
  <c r="AQ50" i="1" s="1"/>
  <c r="AL49" i="1"/>
  <c r="AQ49" i="1" s="1"/>
  <c r="AL48" i="1"/>
  <c r="AQ48" i="1" s="1"/>
  <c r="AL47" i="1"/>
  <c r="AQ47" i="1" s="1"/>
  <c r="AL46" i="1"/>
  <c r="AQ46" i="1" s="1"/>
  <c r="AL45" i="1"/>
  <c r="AQ45" i="1" s="1"/>
  <c r="AL44" i="1"/>
  <c r="AQ44" i="1" s="1"/>
  <c r="AL43" i="1"/>
  <c r="AQ43" i="1" s="1"/>
  <c r="AL42" i="1"/>
  <c r="AQ42" i="1" s="1"/>
  <c r="AL41" i="1"/>
  <c r="AQ41" i="1" s="1"/>
  <c r="AL40" i="1"/>
  <c r="AQ40" i="1" s="1"/>
  <c r="AL39" i="1"/>
  <c r="AQ39" i="1" s="1"/>
  <c r="AL38" i="1"/>
  <c r="AQ38" i="1" s="1"/>
  <c r="AL37" i="1"/>
  <c r="AQ37" i="1" s="1"/>
  <c r="AL36" i="1"/>
  <c r="AQ36" i="1" s="1"/>
  <c r="AL35" i="1"/>
  <c r="AQ35" i="1" s="1"/>
  <c r="I57" i="1"/>
  <c r="H57" i="1"/>
  <c r="AG57" i="1"/>
  <c r="M6" i="9"/>
  <c r="M4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5" i="9"/>
  <c r="D215" i="7"/>
  <c r="R3" i="7"/>
  <c r="R162" i="7" s="1"/>
  <c r="Q3" i="7"/>
  <c r="Q214" i="7" s="1"/>
  <c r="P3" i="7"/>
  <c r="P214" i="7" s="1"/>
  <c r="O3" i="7"/>
  <c r="O214" i="7" s="1"/>
  <c r="N3" i="7"/>
  <c r="N218" i="7" s="1"/>
  <c r="M3" i="7"/>
  <c r="M218" i="7" s="1"/>
  <c r="L3" i="7"/>
  <c r="L218" i="7" s="1"/>
  <c r="K3" i="7"/>
  <c r="J3" i="7"/>
  <c r="I3" i="7"/>
  <c r="I162" i="7" s="1"/>
  <c r="H3" i="7"/>
  <c r="H162" i="7" s="1"/>
  <c r="G3" i="7"/>
  <c r="G162" i="7" s="1"/>
  <c r="F3" i="7"/>
  <c r="F162" i="7" s="1"/>
  <c r="E3" i="7"/>
  <c r="E214" i="7" s="1"/>
  <c r="D3" i="7"/>
  <c r="D214" i="7" s="1"/>
  <c r="D11" i="6"/>
  <c r="E11" i="6" l="1"/>
  <c r="D249" i="7"/>
  <c r="D259" i="7"/>
  <c r="D261" i="7"/>
  <c r="D263" i="7"/>
  <c r="D253" i="7"/>
  <c r="D267" i="7"/>
  <c r="D255" i="7"/>
  <c r="D257" i="7"/>
  <c r="D248" i="7"/>
  <c r="D265" i="7"/>
  <c r="D252" i="7"/>
  <c r="D250" i="7"/>
  <c r="D256" i="7"/>
  <c r="D254" i="7"/>
  <c r="D260" i="7"/>
  <c r="D258" i="7"/>
  <c r="D264" i="7"/>
  <c r="D262" i="7"/>
  <c r="D268" i="7"/>
  <c r="D266" i="7"/>
  <c r="D251" i="7"/>
  <c r="G52" i="9"/>
  <c r="I52" i="9" s="1"/>
  <c r="F51" i="9"/>
  <c r="G55" i="1"/>
  <c r="F35" i="9"/>
  <c r="G43" i="9"/>
  <c r="G50" i="9"/>
  <c r="G37" i="9"/>
  <c r="N214" i="7"/>
  <c r="R214" i="7"/>
  <c r="K218" i="7"/>
  <c r="O218" i="7"/>
  <c r="F56" i="7"/>
  <c r="N56" i="7"/>
  <c r="R56" i="7"/>
  <c r="K109" i="7"/>
  <c r="O109" i="7"/>
  <c r="F214" i="7"/>
  <c r="G56" i="7"/>
  <c r="D109" i="7"/>
  <c r="P109" i="7"/>
  <c r="J162" i="7"/>
  <c r="G214" i="7"/>
  <c r="D218" i="7"/>
  <c r="P218" i="7"/>
  <c r="H56" i="7"/>
  <c r="E109" i="7"/>
  <c r="Q109" i="7"/>
  <c r="K162" i="7"/>
  <c r="H214" i="7"/>
  <c r="E218" i="7"/>
  <c r="Q218" i="7"/>
  <c r="I56" i="7"/>
  <c r="F109" i="7"/>
  <c r="R109" i="7"/>
  <c r="L162" i="7"/>
  <c r="I214" i="7"/>
  <c r="F218" i="7"/>
  <c r="R218" i="7"/>
  <c r="J56" i="7"/>
  <c r="G109" i="7"/>
  <c r="M162" i="7"/>
  <c r="J214" i="7"/>
  <c r="G218" i="7"/>
  <c r="K56" i="7"/>
  <c r="H109" i="7"/>
  <c r="N162" i="7"/>
  <c r="K214" i="7"/>
  <c r="H218" i="7"/>
  <c r="L56" i="7"/>
  <c r="I109" i="7"/>
  <c r="O162" i="7"/>
  <c r="L214" i="7"/>
  <c r="I218" i="7"/>
  <c r="M56" i="7"/>
  <c r="J109" i="7"/>
  <c r="D162" i="7"/>
  <c r="P162" i="7"/>
  <c r="M214" i="7"/>
  <c r="J218" i="7"/>
  <c r="E162" i="7"/>
  <c r="Q162" i="7"/>
  <c r="O56" i="7"/>
  <c r="L109" i="7"/>
  <c r="D56" i="7"/>
  <c r="P56" i="7"/>
  <c r="M109" i="7"/>
  <c r="E56" i="7"/>
  <c r="Q56" i="7"/>
  <c r="N109" i="7"/>
  <c r="G36" i="1"/>
  <c r="G48" i="1"/>
  <c r="G37" i="1"/>
  <c r="F39" i="9"/>
  <c r="F45" i="9"/>
  <c r="G48" i="9"/>
  <c r="G52" i="1"/>
  <c r="G40" i="1"/>
  <c r="G44" i="9"/>
  <c r="G47" i="9"/>
  <c r="G42" i="1"/>
  <c r="F44" i="9"/>
  <c r="F37" i="9"/>
  <c r="F53" i="9"/>
  <c r="G34" i="9"/>
  <c r="G53" i="9"/>
  <c r="F43" i="9"/>
  <c r="F46" i="9"/>
  <c r="F40" i="9"/>
  <c r="G41" i="9"/>
  <c r="G46" i="9"/>
  <c r="F50" i="9"/>
  <c r="F48" i="9"/>
  <c r="G33" i="9"/>
  <c r="F41" i="9"/>
  <c r="F36" i="9"/>
  <c r="F33" i="9"/>
  <c r="G36" i="9"/>
  <c r="G40" i="9"/>
  <c r="G45" i="9"/>
  <c r="F52" i="9"/>
  <c r="G35" i="9"/>
  <c r="G39" i="9"/>
  <c r="F47" i="9"/>
  <c r="G38" i="9"/>
  <c r="G42" i="9"/>
  <c r="G51" i="9"/>
  <c r="F34" i="9"/>
  <c r="F38" i="9"/>
  <c r="F42" i="9"/>
  <c r="E24" i="6"/>
  <c r="E215" i="7" l="1"/>
  <c r="I43" i="9"/>
  <c r="I42" i="9"/>
  <c r="I41" i="9"/>
  <c r="I38" i="9"/>
  <c r="I47" i="9"/>
  <c r="I44" i="9"/>
  <c r="I53" i="9"/>
  <c r="I34" i="9"/>
  <c r="I37" i="9"/>
  <c r="I46" i="9"/>
  <c r="I39" i="9"/>
  <c r="I33" i="9"/>
  <c r="I48" i="9"/>
  <c r="I36" i="9"/>
  <c r="I50" i="9"/>
  <c r="I35" i="9"/>
  <c r="I45" i="9"/>
  <c r="I40" i="9"/>
  <c r="I51" i="9"/>
  <c r="E257" i="7" l="1"/>
  <c r="E254" i="7"/>
  <c r="E255" i="7"/>
  <c r="E262" i="7"/>
  <c r="E263" i="7"/>
  <c r="E251" i="7"/>
  <c r="E261" i="7"/>
  <c r="E258" i="7"/>
  <c r="E259" i="7"/>
  <c r="E265" i="7"/>
  <c r="E249" i="7"/>
  <c r="E266" i="7"/>
  <c r="E267" i="7"/>
  <c r="E268" i="7"/>
  <c r="E256" i="7"/>
  <c r="E264" i="7"/>
  <c r="E252" i="7"/>
  <c r="E253" i="7"/>
  <c r="E260" i="7"/>
  <c r="E248" i="7"/>
  <c r="E250" i="7"/>
  <c r="F24" i="6"/>
  <c r="F215" i="7" s="1"/>
  <c r="F11" i="6"/>
  <c r="F256" i="7" l="1"/>
  <c r="F263" i="7"/>
  <c r="F262" i="7"/>
  <c r="F260" i="7"/>
  <c r="F264" i="7"/>
  <c r="F258" i="7"/>
  <c r="F249" i="7"/>
  <c r="F268" i="7"/>
  <c r="F257" i="7"/>
  <c r="F251" i="7"/>
  <c r="F266" i="7"/>
  <c r="F265" i="7"/>
  <c r="F255" i="7"/>
  <c r="F248" i="7"/>
  <c r="F252" i="7"/>
  <c r="F250" i="7"/>
  <c r="F259" i="7"/>
  <c r="F261" i="7"/>
  <c r="F254" i="7"/>
  <c r="F267" i="7"/>
  <c r="F253" i="7"/>
  <c r="F25" i="13" l="1"/>
  <c r="F21" i="13" l="1"/>
  <c r="F59" i="13"/>
  <c r="F17" i="13"/>
  <c r="F66" i="13"/>
  <c r="F48" i="13" l="1"/>
  <c r="F40" i="13"/>
  <c r="F44" i="13"/>
  <c r="F84" i="13"/>
  <c r="AL34" i="1" l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4" i="1"/>
  <c r="AL13" i="1"/>
  <c r="AL12" i="1"/>
  <c r="AL11" i="1"/>
  <c r="AL10" i="1"/>
  <c r="AL9" i="1"/>
  <c r="AL8" i="1"/>
  <c r="AL7" i="1"/>
  <c r="AL15" i="1" l="1"/>
  <c r="AL57" i="1" s="1"/>
  <c r="AR32" i="1" l="1"/>
  <c r="AQ32" i="1"/>
  <c r="AQ31" i="1"/>
  <c r="AR31" i="1" s="1"/>
  <c r="F31" i="1"/>
  <c r="G31" i="1" s="1"/>
  <c r="F32" i="1"/>
  <c r="G32" i="1" s="1"/>
  <c r="F33" i="1"/>
  <c r="G33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F12" i="1"/>
  <c r="G12" i="1" s="1"/>
  <c r="F11" i="1"/>
  <c r="F10" i="1"/>
  <c r="G10" i="1" s="1"/>
  <c r="F8" i="1"/>
  <c r="G8" i="1" s="1"/>
  <c r="F7" i="1"/>
  <c r="G7" i="1" s="1"/>
  <c r="F6" i="1"/>
  <c r="F34" i="1"/>
  <c r="G34" i="1" s="1"/>
  <c r="G13" i="1" l="1"/>
  <c r="F57" i="1"/>
  <c r="G6" i="1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C32" i="9" l="1"/>
  <c r="G32" i="9" s="1"/>
  <c r="I32" i="9" s="1"/>
  <c r="C31" i="9"/>
  <c r="G31" i="9" s="1"/>
  <c r="I31" i="9" s="1"/>
  <c r="C30" i="9"/>
  <c r="G30" i="9" s="1"/>
  <c r="I30" i="9" s="1"/>
  <c r="C29" i="9"/>
  <c r="G29" i="9" s="1"/>
  <c r="I29" i="9" s="1"/>
  <c r="C28" i="9"/>
  <c r="G28" i="9" s="1"/>
  <c r="I28" i="9" s="1"/>
  <c r="C27" i="9"/>
  <c r="G27" i="9" s="1"/>
  <c r="I27" i="9" s="1"/>
  <c r="C26" i="9"/>
  <c r="G26" i="9" s="1"/>
  <c r="I26" i="9" s="1"/>
  <c r="C25" i="9"/>
  <c r="G25" i="9" s="1"/>
  <c r="I25" i="9" s="1"/>
  <c r="C24" i="9"/>
  <c r="G24" i="9" s="1"/>
  <c r="I24" i="9" s="1"/>
  <c r="C23" i="9"/>
  <c r="G23" i="9" s="1"/>
  <c r="I23" i="9" s="1"/>
  <c r="C22" i="9"/>
  <c r="G22" i="9" s="1"/>
  <c r="I22" i="9" s="1"/>
  <c r="C21" i="9"/>
  <c r="G21" i="9" s="1"/>
  <c r="I21" i="9" s="1"/>
  <c r="C20" i="9"/>
  <c r="G20" i="9" s="1"/>
  <c r="I20" i="9" s="1"/>
  <c r="C19" i="9"/>
  <c r="G19" i="9" s="1"/>
  <c r="I19" i="9" s="1"/>
  <c r="C18" i="9"/>
  <c r="G18" i="9" s="1"/>
  <c r="I18" i="9" s="1"/>
  <c r="C17" i="9"/>
  <c r="G17" i="9" s="1"/>
  <c r="I17" i="9" s="1"/>
  <c r="C16" i="9"/>
  <c r="G16" i="9" s="1"/>
  <c r="I16" i="9" s="1"/>
  <c r="C15" i="9"/>
  <c r="G15" i="9" s="1"/>
  <c r="I15" i="9" s="1"/>
  <c r="C14" i="9"/>
  <c r="G14" i="9" s="1"/>
  <c r="I14" i="9" s="1"/>
  <c r="C13" i="9"/>
  <c r="G13" i="9" s="1"/>
  <c r="I13" i="9" s="1"/>
  <c r="C12" i="9"/>
  <c r="G12" i="9" s="1"/>
  <c r="I12" i="9" s="1"/>
  <c r="C11" i="9"/>
  <c r="G11" i="9" s="1"/>
  <c r="I11" i="9" s="1"/>
  <c r="C10" i="9"/>
  <c r="G10" i="9" s="1"/>
  <c r="I10" i="9" s="1"/>
  <c r="C9" i="9"/>
  <c r="G9" i="9" s="1"/>
  <c r="I9" i="9" s="1"/>
  <c r="C8" i="9"/>
  <c r="G8" i="9" s="1"/>
  <c r="I8" i="9" s="1"/>
  <c r="C7" i="9"/>
  <c r="G7" i="9" s="1"/>
  <c r="I7" i="9" s="1"/>
  <c r="C6" i="9"/>
  <c r="G6" i="9" s="1"/>
  <c r="I6" i="9" s="1"/>
  <c r="C5" i="9"/>
  <c r="G5" i="9" s="1"/>
  <c r="I5" i="9" s="1"/>
  <c r="C4" i="9"/>
  <c r="G4" i="9" s="1"/>
  <c r="I4" i="9" s="1"/>
  <c r="F30" i="9" l="1"/>
  <c r="F29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F32" i="9"/>
  <c r="F31" i="9"/>
  <c r="F26" i="9"/>
  <c r="F24" i="9"/>
  <c r="F13" i="9"/>
  <c r="F6" i="9"/>
  <c r="D4" i="9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K5" i="9" l="1"/>
  <c r="K9" i="9"/>
  <c r="K13" i="9"/>
  <c r="K17" i="9"/>
  <c r="K21" i="9"/>
  <c r="K25" i="9"/>
  <c r="K29" i="9"/>
  <c r="K6" i="9"/>
  <c r="K10" i="9"/>
  <c r="K14" i="9"/>
  <c r="K18" i="9"/>
  <c r="K22" i="9"/>
  <c r="K26" i="9"/>
  <c r="K30" i="9"/>
  <c r="K7" i="9"/>
  <c r="K11" i="9"/>
  <c r="K15" i="9"/>
  <c r="K19" i="9"/>
  <c r="K23" i="9"/>
  <c r="K27" i="9"/>
  <c r="K31" i="9"/>
  <c r="K4" i="9"/>
  <c r="K8" i="9"/>
  <c r="K12" i="9"/>
  <c r="K16" i="9"/>
  <c r="K20" i="9"/>
  <c r="K24" i="9"/>
  <c r="K28" i="9"/>
  <c r="K32" i="9"/>
  <c r="F20" i="9" l="1"/>
  <c r="F9" i="9"/>
  <c r="F16" i="9"/>
  <c r="F12" i="9"/>
  <c r="F19" i="9"/>
  <c r="F18" i="9"/>
  <c r="F14" i="9"/>
  <c r="F4" i="9"/>
  <c r="F27" i="9"/>
  <c r="F15" i="9"/>
  <c r="F21" i="9"/>
  <c r="F22" i="9"/>
  <c r="F7" i="9"/>
  <c r="F23" i="9"/>
  <c r="F25" i="9"/>
  <c r="F5" i="9"/>
  <c r="F11" i="9"/>
  <c r="F17" i="9"/>
  <c r="F28" i="9"/>
  <c r="F8" i="9"/>
  <c r="R23" i="6" l="1"/>
  <c r="Q23" i="6"/>
  <c r="P23" i="6"/>
  <c r="O23" i="6"/>
  <c r="N23" i="6"/>
  <c r="M23" i="6"/>
  <c r="L23" i="6"/>
  <c r="K23" i="6"/>
  <c r="J23" i="6"/>
  <c r="I23" i="6"/>
  <c r="H23" i="6"/>
  <c r="G23" i="6"/>
  <c r="G24" i="6" l="1"/>
  <c r="G215" i="7" s="1"/>
  <c r="G268" i="7" l="1"/>
  <c r="G248" i="7"/>
  <c r="G267" i="7"/>
  <c r="G252" i="7"/>
  <c r="G257" i="7"/>
  <c r="G254" i="7"/>
  <c r="G249" i="7"/>
  <c r="G255" i="7"/>
  <c r="G260" i="7"/>
  <c r="G261" i="7"/>
  <c r="G253" i="7"/>
  <c r="G262" i="7"/>
  <c r="G256" i="7"/>
  <c r="G265" i="7"/>
  <c r="G266" i="7"/>
  <c r="G259" i="7"/>
  <c r="G264" i="7"/>
  <c r="G251" i="7"/>
  <c r="G263" i="7"/>
  <c r="G258" i="7"/>
  <c r="G250" i="7"/>
  <c r="H24" i="6"/>
  <c r="H215" i="7" s="1"/>
  <c r="I24" i="6" l="1"/>
  <c r="I215" i="7" s="1"/>
  <c r="H264" i="7"/>
  <c r="H255" i="7"/>
  <c r="H263" i="7"/>
  <c r="H259" i="7"/>
  <c r="H253" i="7"/>
  <c r="H258" i="7"/>
  <c r="H268" i="7"/>
  <c r="H267" i="7"/>
  <c r="H251" i="7"/>
  <c r="H256" i="7"/>
  <c r="H257" i="7"/>
  <c r="H250" i="7"/>
  <c r="H262" i="7"/>
  <c r="H248" i="7"/>
  <c r="H260" i="7"/>
  <c r="H261" i="7"/>
  <c r="H254" i="7"/>
  <c r="H266" i="7"/>
  <c r="H249" i="7"/>
  <c r="H252" i="7"/>
  <c r="H265" i="7"/>
  <c r="J24" i="6"/>
  <c r="J215" i="7" s="1"/>
  <c r="F247" i="7"/>
  <c r="E247" i="7"/>
  <c r="D247" i="7"/>
  <c r="F246" i="7"/>
  <c r="E246" i="7"/>
  <c r="D246" i="7"/>
  <c r="F245" i="7"/>
  <c r="E245" i="7"/>
  <c r="D245" i="7"/>
  <c r="F244" i="7"/>
  <c r="E244" i="7"/>
  <c r="D244" i="7"/>
  <c r="F242" i="7"/>
  <c r="E242" i="7"/>
  <c r="D242" i="7"/>
  <c r="F241" i="7"/>
  <c r="E241" i="7"/>
  <c r="D241" i="7"/>
  <c r="F240" i="7"/>
  <c r="E240" i="7"/>
  <c r="D240" i="7"/>
  <c r="F239" i="7"/>
  <c r="E239" i="7"/>
  <c r="D239" i="7"/>
  <c r="F238" i="7"/>
  <c r="E238" i="7"/>
  <c r="D238" i="7"/>
  <c r="F237" i="7"/>
  <c r="E237" i="7"/>
  <c r="D237" i="7"/>
  <c r="F236" i="7"/>
  <c r="E236" i="7"/>
  <c r="D236" i="7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27" i="7"/>
  <c r="E227" i="7"/>
  <c r="D227" i="7"/>
  <c r="F226" i="7"/>
  <c r="E226" i="7"/>
  <c r="D226" i="7"/>
  <c r="F225" i="7"/>
  <c r="E225" i="7"/>
  <c r="D225" i="7"/>
  <c r="F224" i="7"/>
  <c r="E224" i="7"/>
  <c r="D224" i="7"/>
  <c r="F222" i="7"/>
  <c r="E222" i="7"/>
  <c r="D222" i="7"/>
  <c r="F221" i="7"/>
  <c r="E221" i="7"/>
  <c r="D221" i="7"/>
  <c r="F220" i="7"/>
  <c r="E220" i="7"/>
  <c r="D220" i="7"/>
  <c r="F219" i="7"/>
  <c r="E219" i="7"/>
  <c r="D219" i="7"/>
  <c r="R187" i="7"/>
  <c r="Q187" i="7"/>
  <c r="P187" i="7"/>
  <c r="O187" i="7"/>
  <c r="N187" i="7"/>
  <c r="M187" i="7"/>
  <c r="L187" i="7"/>
  <c r="K187" i="7"/>
  <c r="J187" i="7"/>
  <c r="I187" i="7"/>
  <c r="H187" i="7"/>
  <c r="G187" i="7"/>
  <c r="J255" i="7" l="1"/>
  <c r="J251" i="7"/>
  <c r="J261" i="7"/>
  <c r="J253" i="7"/>
  <c r="J257" i="7"/>
  <c r="J254" i="7"/>
  <c r="J266" i="7"/>
  <c r="J265" i="7"/>
  <c r="J263" i="7"/>
  <c r="J258" i="7"/>
  <c r="J256" i="7"/>
  <c r="J259" i="7"/>
  <c r="J268" i="7"/>
  <c r="J250" i="7"/>
  <c r="J260" i="7"/>
  <c r="J249" i="7"/>
  <c r="J248" i="7"/>
  <c r="J262" i="7"/>
  <c r="J264" i="7"/>
  <c r="J267" i="7"/>
  <c r="J252" i="7"/>
  <c r="I258" i="7"/>
  <c r="I266" i="7"/>
  <c r="I262" i="7"/>
  <c r="I250" i="7"/>
  <c r="I248" i="7"/>
  <c r="I260" i="7"/>
  <c r="I249" i="7"/>
  <c r="I261" i="7"/>
  <c r="I259" i="7"/>
  <c r="I252" i="7"/>
  <c r="I264" i="7"/>
  <c r="I253" i="7"/>
  <c r="I265" i="7"/>
  <c r="I251" i="7"/>
  <c r="I263" i="7"/>
  <c r="I257" i="7"/>
  <c r="I256" i="7"/>
  <c r="I268" i="7"/>
  <c r="I255" i="7"/>
  <c r="I267" i="7"/>
  <c r="I254" i="7"/>
  <c r="F187" i="7"/>
  <c r="F243" i="7" s="1"/>
  <c r="E187" i="7"/>
  <c r="E243" i="7" s="1"/>
  <c r="D187" i="7"/>
  <c r="D243" i="7" s="1"/>
  <c r="G246" i="7"/>
  <c r="G242" i="7"/>
  <c r="G238" i="7"/>
  <c r="G234" i="7"/>
  <c r="G230" i="7"/>
  <c r="G226" i="7"/>
  <c r="G247" i="7"/>
  <c r="G243" i="7"/>
  <c r="G239" i="7"/>
  <c r="G235" i="7"/>
  <c r="G231" i="7"/>
  <c r="G227" i="7"/>
  <c r="G244" i="7"/>
  <c r="G240" i="7"/>
  <c r="G236" i="7"/>
  <c r="G232" i="7"/>
  <c r="G228" i="7"/>
  <c r="G224" i="7"/>
  <c r="G245" i="7"/>
  <c r="G241" i="7"/>
  <c r="G237" i="7"/>
  <c r="G233" i="7"/>
  <c r="G229" i="7"/>
  <c r="G225" i="7"/>
  <c r="G222" i="7"/>
  <c r="G219" i="7"/>
  <c r="G220" i="7"/>
  <c r="G221" i="7"/>
  <c r="K24" i="6"/>
  <c r="K215" i="7" s="1"/>
  <c r="R167" i="7"/>
  <c r="Q167" i="7"/>
  <c r="P167" i="7"/>
  <c r="O167" i="7"/>
  <c r="N167" i="7"/>
  <c r="M167" i="7"/>
  <c r="L167" i="7"/>
  <c r="K167" i="7"/>
  <c r="J167" i="7"/>
  <c r="I167" i="7"/>
  <c r="H167" i="7"/>
  <c r="K258" i="7" l="1"/>
  <c r="K266" i="7"/>
  <c r="K262" i="7"/>
  <c r="K250" i="7"/>
  <c r="K256" i="7"/>
  <c r="K267" i="7"/>
  <c r="K268" i="7"/>
  <c r="K255" i="7"/>
  <c r="K249" i="7"/>
  <c r="K261" i="7"/>
  <c r="K254" i="7"/>
  <c r="K259" i="7"/>
  <c r="K260" i="7"/>
  <c r="K253" i="7"/>
  <c r="K265" i="7"/>
  <c r="K248" i="7"/>
  <c r="K251" i="7"/>
  <c r="K263" i="7"/>
  <c r="K264" i="7"/>
  <c r="K252" i="7"/>
  <c r="K257" i="7"/>
  <c r="F167" i="7"/>
  <c r="F223" i="7" s="1"/>
  <c r="G167" i="7"/>
  <c r="G223" i="7" s="1"/>
  <c r="D167" i="7"/>
  <c r="D223" i="7" s="1"/>
  <c r="E167" i="7"/>
  <c r="E223" i="7" s="1"/>
  <c r="H247" i="7"/>
  <c r="H243" i="7"/>
  <c r="H239" i="7"/>
  <c r="H235" i="7"/>
  <c r="H231" i="7"/>
  <c r="H227" i="7"/>
  <c r="H244" i="7"/>
  <c r="H240" i="7"/>
  <c r="H236" i="7"/>
  <c r="H232" i="7"/>
  <c r="H228" i="7"/>
  <c r="H224" i="7"/>
  <c r="H245" i="7"/>
  <c r="H241" i="7"/>
  <c r="H237" i="7"/>
  <c r="H233" i="7"/>
  <c r="H229" i="7"/>
  <c r="H225" i="7"/>
  <c r="H246" i="7"/>
  <c r="H242" i="7"/>
  <c r="H238" i="7"/>
  <c r="H234" i="7"/>
  <c r="H230" i="7"/>
  <c r="H226" i="7"/>
  <c r="H223" i="7"/>
  <c r="H219" i="7"/>
  <c r="H220" i="7"/>
  <c r="H221" i="7"/>
  <c r="H222" i="7"/>
  <c r="R24" i="6"/>
  <c r="R215" i="7" s="1"/>
  <c r="M24" i="6"/>
  <c r="M215" i="7" s="1"/>
  <c r="Q24" i="6"/>
  <c r="Q215" i="7" s="1"/>
  <c r="L24" i="6"/>
  <c r="L215" i="7" s="1"/>
  <c r="N24" i="6"/>
  <c r="N215" i="7" s="1"/>
  <c r="P24" i="6"/>
  <c r="P215" i="7" s="1"/>
  <c r="O24" i="6"/>
  <c r="O215" i="7" s="1"/>
  <c r="O257" i="7" l="1"/>
  <c r="O262" i="7"/>
  <c r="O256" i="7"/>
  <c r="O250" i="7"/>
  <c r="O251" i="7"/>
  <c r="O263" i="7"/>
  <c r="O249" i="7"/>
  <c r="O261" i="7"/>
  <c r="O260" i="7"/>
  <c r="O254" i="7"/>
  <c r="O266" i="7"/>
  <c r="O248" i="7"/>
  <c r="O255" i="7"/>
  <c r="O267" i="7"/>
  <c r="O264" i="7"/>
  <c r="O252" i="7"/>
  <c r="O253" i="7"/>
  <c r="O265" i="7"/>
  <c r="O258" i="7"/>
  <c r="O268" i="7"/>
  <c r="O259" i="7"/>
  <c r="P249" i="7"/>
  <c r="P251" i="7"/>
  <c r="P259" i="7"/>
  <c r="P263" i="7"/>
  <c r="P256" i="7"/>
  <c r="P268" i="7"/>
  <c r="P261" i="7"/>
  <c r="P253" i="7"/>
  <c r="P254" i="7"/>
  <c r="P267" i="7"/>
  <c r="P257" i="7"/>
  <c r="P266" i="7"/>
  <c r="P258" i="7"/>
  <c r="P248" i="7"/>
  <c r="P260" i="7"/>
  <c r="P262" i="7"/>
  <c r="P265" i="7"/>
  <c r="P250" i="7"/>
  <c r="P255" i="7"/>
  <c r="P252" i="7"/>
  <c r="P264" i="7"/>
  <c r="N255" i="7"/>
  <c r="N267" i="7"/>
  <c r="N251" i="7"/>
  <c r="N265" i="7"/>
  <c r="N266" i="7"/>
  <c r="N248" i="7"/>
  <c r="N249" i="7"/>
  <c r="N254" i="7"/>
  <c r="N260" i="7"/>
  <c r="N253" i="7"/>
  <c r="N258" i="7"/>
  <c r="N259" i="7"/>
  <c r="N252" i="7"/>
  <c r="N264" i="7"/>
  <c r="N263" i="7"/>
  <c r="N257" i="7"/>
  <c r="N250" i="7"/>
  <c r="N262" i="7"/>
  <c r="N261" i="7"/>
  <c r="N256" i="7"/>
  <c r="N268" i="7"/>
  <c r="L268" i="7"/>
  <c r="L248" i="7"/>
  <c r="L260" i="7"/>
  <c r="L258" i="7"/>
  <c r="L257" i="7"/>
  <c r="L251" i="7"/>
  <c r="L263" i="7"/>
  <c r="L252" i="7"/>
  <c r="L264" i="7"/>
  <c r="L250" i="7"/>
  <c r="L262" i="7"/>
  <c r="L261" i="7"/>
  <c r="L255" i="7"/>
  <c r="L267" i="7"/>
  <c r="L249" i="7"/>
  <c r="L254" i="7"/>
  <c r="L256" i="7"/>
  <c r="L265" i="7"/>
  <c r="L266" i="7"/>
  <c r="L253" i="7"/>
  <c r="L259" i="7"/>
  <c r="M258" i="7"/>
  <c r="M255" i="7"/>
  <c r="M253" i="7"/>
  <c r="M265" i="7"/>
  <c r="M254" i="7"/>
  <c r="M256" i="7"/>
  <c r="M260" i="7"/>
  <c r="M264" i="7"/>
  <c r="M259" i="7"/>
  <c r="M250" i="7"/>
  <c r="M251" i="7"/>
  <c r="M263" i="7"/>
  <c r="M257" i="7"/>
  <c r="M266" i="7"/>
  <c r="M268" i="7"/>
  <c r="M262" i="7"/>
  <c r="M249" i="7"/>
  <c r="M261" i="7"/>
  <c r="M252" i="7"/>
  <c r="M267" i="7"/>
  <c r="M248" i="7"/>
  <c r="R255" i="7"/>
  <c r="R250" i="7"/>
  <c r="R249" i="7"/>
  <c r="R261" i="7"/>
  <c r="R262" i="7"/>
  <c r="R248" i="7"/>
  <c r="R260" i="7"/>
  <c r="R259" i="7"/>
  <c r="R253" i="7"/>
  <c r="R265" i="7"/>
  <c r="R254" i="7"/>
  <c r="R266" i="7"/>
  <c r="R263" i="7"/>
  <c r="R252" i="7"/>
  <c r="R264" i="7"/>
  <c r="R257" i="7"/>
  <c r="R251" i="7"/>
  <c r="R267" i="7"/>
  <c r="R258" i="7"/>
  <c r="R256" i="7"/>
  <c r="R268" i="7"/>
  <c r="Q248" i="7"/>
  <c r="Q253" i="7"/>
  <c r="Q266" i="7"/>
  <c r="Q254" i="7"/>
  <c r="Q259" i="7"/>
  <c r="Q268" i="7"/>
  <c r="Q252" i="7"/>
  <c r="Q257" i="7"/>
  <c r="Q258" i="7"/>
  <c r="Q251" i="7"/>
  <c r="Q263" i="7"/>
  <c r="Q256" i="7"/>
  <c r="Q255" i="7"/>
  <c r="Q249" i="7"/>
  <c r="Q261" i="7"/>
  <c r="Q262" i="7"/>
  <c r="Q260" i="7"/>
  <c r="Q267" i="7"/>
  <c r="Q250" i="7"/>
  <c r="Q264" i="7"/>
  <c r="Q265" i="7"/>
  <c r="J219" i="7"/>
  <c r="M228" i="7"/>
  <c r="P247" i="7"/>
  <c r="P243" i="7"/>
  <c r="P239" i="7"/>
  <c r="P235" i="7"/>
  <c r="P231" i="7"/>
  <c r="P227" i="7"/>
  <c r="P223" i="7"/>
  <c r="P244" i="7"/>
  <c r="P240" i="7"/>
  <c r="P236" i="7"/>
  <c r="P232" i="7"/>
  <c r="P228" i="7"/>
  <c r="P224" i="7"/>
  <c r="P245" i="7"/>
  <c r="P241" i="7"/>
  <c r="P237" i="7"/>
  <c r="P233" i="7"/>
  <c r="P229" i="7"/>
  <c r="P225" i="7"/>
  <c r="P246" i="7"/>
  <c r="P242" i="7"/>
  <c r="P238" i="7"/>
  <c r="P234" i="7"/>
  <c r="P230" i="7"/>
  <c r="P226" i="7"/>
  <c r="P219" i="7"/>
  <c r="P220" i="7"/>
  <c r="P221" i="7"/>
  <c r="P222" i="7"/>
  <c r="M244" i="7"/>
  <c r="M240" i="7"/>
  <c r="M236" i="7"/>
  <c r="M232" i="7"/>
  <c r="M241" i="7"/>
  <c r="M237" i="7"/>
  <c r="M233" i="7"/>
  <c r="M229" i="7"/>
  <c r="M225" i="7"/>
  <c r="M246" i="7"/>
  <c r="M242" i="7"/>
  <c r="M238" i="7"/>
  <c r="M234" i="7"/>
  <c r="M230" i="7"/>
  <c r="M226" i="7"/>
  <c r="M247" i="7"/>
  <c r="M243" i="7"/>
  <c r="M239" i="7"/>
  <c r="M235" i="7"/>
  <c r="M231" i="7"/>
  <c r="M227" i="7"/>
  <c r="M220" i="7"/>
  <c r="M221" i="7"/>
  <c r="M222" i="7"/>
  <c r="M223" i="7"/>
  <c r="M219" i="7"/>
  <c r="J245" i="7"/>
  <c r="J241" i="7"/>
  <c r="J237" i="7"/>
  <c r="J233" i="7"/>
  <c r="J229" i="7"/>
  <c r="J225" i="7"/>
  <c r="J246" i="7"/>
  <c r="J242" i="7"/>
  <c r="J238" i="7"/>
  <c r="J234" i="7"/>
  <c r="J230" i="7"/>
  <c r="J226" i="7"/>
  <c r="J247" i="7"/>
  <c r="J243" i="7"/>
  <c r="J239" i="7"/>
  <c r="J235" i="7"/>
  <c r="J231" i="7"/>
  <c r="J227" i="7"/>
  <c r="J244" i="7"/>
  <c r="J240" i="7"/>
  <c r="J236" i="7"/>
  <c r="J232" i="7"/>
  <c r="J228" i="7"/>
  <c r="J224" i="7"/>
  <c r="J221" i="7"/>
  <c r="J222" i="7"/>
  <c r="J223" i="7"/>
  <c r="J220" i="7"/>
  <c r="I244" i="7"/>
  <c r="I240" i="7"/>
  <c r="I236" i="7"/>
  <c r="I232" i="7"/>
  <c r="I228" i="7"/>
  <c r="I224" i="7"/>
  <c r="I245" i="7"/>
  <c r="I241" i="7"/>
  <c r="I237" i="7"/>
  <c r="I233" i="7"/>
  <c r="I229" i="7"/>
  <c r="I225" i="7"/>
  <c r="I246" i="7"/>
  <c r="I242" i="7"/>
  <c r="I238" i="7"/>
  <c r="I234" i="7"/>
  <c r="I230" i="7"/>
  <c r="I226" i="7"/>
  <c r="I247" i="7"/>
  <c r="I243" i="7"/>
  <c r="I239" i="7"/>
  <c r="I235" i="7"/>
  <c r="I231" i="7"/>
  <c r="I227" i="7"/>
  <c r="I220" i="7"/>
  <c r="I221" i="7"/>
  <c r="I222" i="7"/>
  <c r="I223" i="7"/>
  <c r="I219" i="7"/>
  <c r="Q244" i="7"/>
  <c r="Q240" i="7"/>
  <c r="Q236" i="7"/>
  <c r="Q232" i="7"/>
  <c r="Q228" i="7"/>
  <c r="Q224" i="7"/>
  <c r="Q245" i="7"/>
  <c r="Q241" i="7"/>
  <c r="Q237" i="7"/>
  <c r="Q233" i="7"/>
  <c r="Q229" i="7"/>
  <c r="Q225" i="7"/>
  <c r="Q246" i="7"/>
  <c r="Q242" i="7"/>
  <c r="Q238" i="7"/>
  <c r="Q234" i="7"/>
  <c r="Q230" i="7"/>
  <c r="Q226" i="7"/>
  <c r="Q247" i="7"/>
  <c r="Q243" i="7"/>
  <c r="Q239" i="7"/>
  <c r="Q235" i="7"/>
  <c r="Q231" i="7"/>
  <c r="Q227" i="7"/>
  <c r="Q223" i="7"/>
  <c r="Q220" i="7"/>
  <c r="Q221" i="7"/>
  <c r="Q222" i="7"/>
  <c r="Q219" i="7"/>
  <c r="L247" i="7"/>
  <c r="L243" i="7"/>
  <c r="L239" i="7"/>
  <c r="L235" i="7"/>
  <c r="L231" i="7"/>
  <c r="L227" i="7"/>
  <c r="L244" i="7"/>
  <c r="L240" i="7"/>
  <c r="L236" i="7"/>
  <c r="L232" i="7"/>
  <c r="L228" i="7"/>
  <c r="L224" i="7"/>
  <c r="L245" i="7"/>
  <c r="L241" i="7"/>
  <c r="L237" i="7"/>
  <c r="L233" i="7"/>
  <c r="L229" i="7"/>
  <c r="L225" i="7"/>
  <c r="L246" i="7"/>
  <c r="L242" i="7"/>
  <c r="L238" i="7"/>
  <c r="L234" i="7"/>
  <c r="L230" i="7"/>
  <c r="L226" i="7"/>
  <c r="L223" i="7"/>
  <c r="L219" i="7"/>
  <c r="L220" i="7"/>
  <c r="L221" i="7"/>
  <c r="L222" i="7"/>
  <c r="R245" i="7"/>
  <c r="R241" i="7"/>
  <c r="R237" i="7"/>
  <c r="R233" i="7"/>
  <c r="R229" i="7"/>
  <c r="R225" i="7"/>
  <c r="R246" i="7"/>
  <c r="R242" i="7"/>
  <c r="R238" i="7"/>
  <c r="R234" i="7"/>
  <c r="R230" i="7"/>
  <c r="R226" i="7"/>
  <c r="R247" i="7"/>
  <c r="R243" i="7"/>
  <c r="R239" i="7"/>
  <c r="R235" i="7"/>
  <c r="R231" i="7"/>
  <c r="R227" i="7"/>
  <c r="R223" i="7"/>
  <c r="R244" i="7"/>
  <c r="R240" i="7"/>
  <c r="R236" i="7"/>
  <c r="R232" i="7"/>
  <c r="R228" i="7"/>
  <c r="R224" i="7"/>
  <c r="R221" i="7"/>
  <c r="R222" i="7"/>
  <c r="R219" i="7"/>
  <c r="R220" i="7"/>
  <c r="O246" i="7"/>
  <c r="O242" i="7"/>
  <c r="O238" i="7"/>
  <c r="O234" i="7"/>
  <c r="O230" i="7"/>
  <c r="O226" i="7"/>
  <c r="O247" i="7"/>
  <c r="O243" i="7"/>
  <c r="O239" i="7"/>
  <c r="O235" i="7"/>
  <c r="O231" i="7"/>
  <c r="O227" i="7"/>
  <c r="O223" i="7"/>
  <c r="O244" i="7"/>
  <c r="O240" i="7"/>
  <c r="O236" i="7"/>
  <c r="O232" i="7"/>
  <c r="O228" i="7"/>
  <c r="O224" i="7"/>
  <c r="O245" i="7"/>
  <c r="O241" i="7"/>
  <c r="O237" i="7"/>
  <c r="O233" i="7"/>
  <c r="O229" i="7"/>
  <c r="O225" i="7"/>
  <c r="O222" i="7"/>
  <c r="O219" i="7"/>
  <c r="O220" i="7"/>
  <c r="O221" i="7"/>
  <c r="N245" i="7"/>
  <c r="N241" i="7"/>
  <c r="N237" i="7"/>
  <c r="N233" i="7"/>
  <c r="N229" i="7"/>
  <c r="N225" i="7"/>
  <c r="N246" i="7"/>
  <c r="N242" i="7"/>
  <c r="N238" i="7"/>
  <c r="N234" i="7"/>
  <c r="N230" i="7"/>
  <c r="N226" i="7"/>
  <c r="N247" i="7"/>
  <c r="N243" i="7"/>
  <c r="N239" i="7"/>
  <c r="N235" i="7"/>
  <c r="N231" i="7"/>
  <c r="N227" i="7"/>
  <c r="N244" i="7"/>
  <c r="N240" i="7"/>
  <c r="N236" i="7"/>
  <c r="N232" i="7"/>
  <c r="N228" i="7"/>
  <c r="N224" i="7"/>
  <c r="N221" i="7"/>
  <c r="N222" i="7"/>
  <c r="N223" i="7"/>
  <c r="N219" i="7"/>
  <c r="N220" i="7"/>
  <c r="K246" i="7"/>
  <c r="K242" i="7"/>
  <c r="K238" i="7"/>
  <c r="K234" i="7"/>
  <c r="K230" i="7"/>
  <c r="K226" i="7"/>
  <c r="K247" i="7"/>
  <c r="K243" i="7"/>
  <c r="K239" i="7"/>
  <c r="K235" i="7"/>
  <c r="K231" i="7"/>
  <c r="K227" i="7"/>
  <c r="K244" i="7"/>
  <c r="K240" i="7"/>
  <c r="K236" i="7"/>
  <c r="K232" i="7"/>
  <c r="K228" i="7"/>
  <c r="K224" i="7"/>
  <c r="K245" i="7"/>
  <c r="K241" i="7"/>
  <c r="K237" i="7"/>
  <c r="K233" i="7"/>
  <c r="K229" i="7"/>
  <c r="K225" i="7"/>
  <c r="K222" i="7"/>
  <c r="K223" i="7"/>
  <c r="K219" i="7"/>
  <c r="K220" i="7"/>
  <c r="K221" i="7"/>
  <c r="M245" i="7" l="1"/>
  <c r="M224" i="7"/>
  <c r="AQ33" i="1" l="1"/>
  <c r="AR33" i="1" s="1"/>
  <c r="AQ34" i="1" l="1"/>
  <c r="AR34" i="1"/>
  <c r="AQ30" i="1" l="1"/>
  <c r="AR30" i="1"/>
  <c r="AQ29" i="1" l="1"/>
  <c r="AR29" i="1"/>
  <c r="AQ28" i="1" l="1"/>
  <c r="AR28" i="1"/>
  <c r="AQ27" i="1" l="1"/>
  <c r="AR27" i="1"/>
  <c r="AQ26" i="1" l="1"/>
  <c r="AR26" i="1"/>
  <c r="AQ25" i="1" l="1"/>
  <c r="AR25" i="1" s="1"/>
  <c r="AQ24" i="1" l="1"/>
  <c r="AR24" i="1"/>
  <c r="AQ23" i="1" l="1"/>
  <c r="AR23" i="1"/>
  <c r="AQ22" i="1" l="1"/>
  <c r="AR22" i="1" s="1"/>
  <c r="F10" i="9" l="1"/>
  <c r="AR21" i="1"/>
  <c r="AR20" i="1"/>
  <c r="AR19" i="1"/>
  <c r="AR18" i="1"/>
  <c r="AR16" i="1"/>
  <c r="AR14" i="1"/>
  <c r="AR13" i="1"/>
  <c r="AR12" i="1"/>
  <c r="AR10" i="1"/>
  <c r="AQ21" i="1"/>
  <c r="AQ20" i="1"/>
  <c r="AQ19" i="1"/>
  <c r="AQ18" i="1"/>
  <c r="AQ16" i="1"/>
  <c r="AQ14" i="1"/>
  <c r="AQ13" i="1"/>
  <c r="AQ12" i="1"/>
  <c r="AQ11" i="1"/>
  <c r="AR11" i="1" s="1"/>
  <c r="AQ10" i="1"/>
  <c r="AQ9" i="1"/>
  <c r="AR9" i="1" s="1"/>
  <c r="AQ7" i="1" l="1"/>
  <c r="AQ15" i="1"/>
  <c r="AR15" i="1" s="1"/>
  <c r="AQ6" i="1"/>
  <c r="AR6" i="1" l="1"/>
  <c r="AQ17" i="1"/>
  <c r="AR17" i="1" s="1"/>
  <c r="AQ8" i="1"/>
  <c r="AR8" i="1" s="1"/>
  <c r="AR7" i="1"/>
  <c r="AQ57" i="1" l="1"/>
  <c r="AR57" i="1" s="1"/>
  <c r="G60" i="13" l="1"/>
  <c r="G85" i="13"/>
  <c r="G63" i="13" l="1"/>
  <c r="G74" i="13"/>
  <c r="G99" i="13"/>
  <c r="G70" i="13"/>
  <c r="H63" i="13"/>
  <c r="J63" i="13" l="1"/>
  <c r="G66" i="13"/>
  <c r="G64" i="13"/>
  <c r="G89" i="13"/>
  <c r="G56" i="13"/>
  <c r="I63" i="13"/>
  <c r="G96" i="13"/>
  <c r="G71" i="13"/>
  <c r="G67" i="13" l="1"/>
  <c r="G92" i="13"/>
  <c r="G82" i="13"/>
  <c r="G57" i="13"/>
  <c r="H56" i="13"/>
  <c r="K63" i="13" l="1"/>
  <c r="I56" i="13"/>
  <c r="L63" i="13"/>
  <c r="M63" i="13" l="1"/>
  <c r="J56" i="13"/>
  <c r="N63" i="13"/>
  <c r="Q21" i="13" l="1"/>
  <c r="M56" i="13"/>
  <c r="K56" i="13"/>
  <c r="O63" i="13"/>
  <c r="P63" i="13" l="1"/>
  <c r="L56" i="13"/>
  <c r="N56" i="13" l="1"/>
  <c r="Q44" i="13"/>
  <c r="Q48" i="13" l="1"/>
  <c r="O56" i="13"/>
  <c r="P56" i="13"/>
  <c r="Q40" i="13"/>
  <c r="Q17" i="13"/>
  <c r="Q25" i="13" l="1"/>
  <c r="Q33" i="13" l="1"/>
  <c r="Q10" i="13"/>
  <c r="Q30" i="13" l="1"/>
  <c r="Q7" i="13"/>
  <c r="Q31" i="13" l="1"/>
  <c r="Q8" i="13"/>
  <c r="Q32" i="13"/>
  <c r="Q9" i="13"/>
  <c r="Q34" i="13" l="1"/>
  <c r="Q11" i="13"/>
  <c r="Q35" i="13" l="1"/>
  <c r="Z3" i="1" s="1"/>
  <c r="Q12" i="13"/>
  <c r="AB30" i="1" l="1"/>
  <c r="AB21" i="1"/>
  <c r="AB31" i="1"/>
  <c r="AB33" i="1" l="1"/>
  <c r="AB22" i="1"/>
  <c r="AB25" i="1"/>
  <c r="AB14" i="1"/>
  <c r="AB18" i="1"/>
  <c r="AB28" i="1"/>
  <c r="AB20" i="1"/>
  <c r="AB29" i="1"/>
  <c r="AB13" i="1"/>
  <c r="AB11" i="1"/>
  <c r="AB32" i="1"/>
  <c r="AB8" i="1"/>
  <c r="AB15" i="1"/>
  <c r="AB16" i="1" l="1"/>
  <c r="AB26" i="1"/>
  <c r="AB12" i="1"/>
  <c r="AB23" i="1"/>
  <c r="AB17" i="1"/>
  <c r="AB24" i="1"/>
  <c r="AB19" i="1"/>
  <c r="AB7" i="1"/>
  <c r="AB6" i="1"/>
  <c r="AB10" i="1"/>
  <c r="AB34" i="1"/>
  <c r="AB27" i="1"/>
  <c r="AB9" i="1"/>
  <c r="AB57" i="1" l="1"/>
  <c r="AC14" i="1" l="1"/>
  <c r="AD14" i="1" s="1"/>
  <c r="AC49" i="1"/>
  <c r="AD49" i="1" s="1"/>
  <c r="AC33" i="1"/>
  <c r="AD33" i="1" s="1"/>
  <c r="AC29" i="1"/>
  <c r="AD29" i="1" s="1"/>
  <c r="AC25" i="1"/>
  <c r="AD25" i="1" s="1"/>
  <c r="AC31" i="1"/>
  <c r="AD31" i="1" s="1"/>
  <c r="AC42" i="1"/>
  <c r="AD42" i="1" s="1"/>
  <c r="AC20" i="1"/>
  <c r="AD20" i="1" s="1"/>
  <c r="AD13" i="1"/>
  <c r="AC16" i="1"/>
  <c r="AD16" i="1" s="1"/>
  <c r="AC34" i="1"/>
  <c r="AD34" i="1" s="1"/>
  <c r="AC30" i="1"/>
  <c r="AD30" i="1" s="1"/>
  <c r="AC43" i="1"/>
  <c r="AD43" i="1" s="1"/>
  <c r="H10" i="6" l="1"/>
  <c r="J10" i="6"/>
  <c r="I10" i="6"/>
  <c r="K10" i="6"/>
  <c r="G10" i="6"/>
  <c r="G11" i="6" l="1"/>
  <c r="E21" i="10"/>
  <c r="Q10" i="6"/>
  <c r="L10" i="6"/>
  <c r="P10" i="6"/>
  <c r="N10" i="6"/>
  <c r="R10" i="6"/>
  <c r="O10" i="6"/>
  <c r="M10" i="6"/>
  <c r="C21" i="10" l="1"/>
  <c r="C22" i="10"/>
  <c r="H11" i="6"/>
  <c r="I11" i="6" s="1"/>
  <c r="J11" i="6" s="1"/>
  <c r="K11" i="6" s="1"/>
  <c r="L11" i="6" s="1"/>
  <c r="M11" i="6" s="1"/>
  <c r="N11" i="6" s="1"/>
  <c r="O11" i="6" s="1"/>
  <c r="P11" i="6" s="1"/>
  <c r="Q11" i="6" s="1"/>
  <c r="R11" i="6" s="1"/>
  <c r="C238" i="7" s="1"/>
  <c r="C252" i="7"/>
  <c r="C260" i="7"/>
  <c r="C263" i="7"/>
  <c r="C221" i="7"/>
  <c r="C257" i="7"/>
  <c r="C227" i="7"/>
  <c r="C261" i="7"/>
  <c r="C250" i="7"/>
  <c r="C254" i="7"/>
  <c r="C244" i="7"/>
  <c r="C234" i="7"/>
  <c r="C241" i="7" l="1"/>
  <c r="C266" i="7"/>
  <c r="C249" i="7"/>
  <c r="C255" i="7"/>
  <c r="C231" i="7"/>
  <c r="C253" i="7"/>
  <c r="C220" i="7"/>
  <c r="C267" i="7"/>
  <c r="C225" i="7"/>
  <c r="C235" i="7"/>
  <c r="C232" i="7"/>
  <c r="C233" i="7"/>
  <c r="C268" i="7"/>
  <c r="C242" i="7"/>
  <c r="C239" i="7"/>
  <c r="C226" i="7"/>
  <c r="C245" i="7"/>
  <c r="C219" i="7"/>
  <c r="C262" i="7"/>
  <c r="C230" i="7"/>
  <c r="C240" i="7"/>
  <c r="C223" i="7"/>
  <c r="C256" i="7"/>
  <c r="C247" i="7"/>
  <c r="C246" i="7"/>
  <c r="C243" i="7"/>
  <c r="C228" i="7"/>
  <c r="C248" i="7"/>
  <c r="C237" i="7"/>
  <c r="C264" i="7"/>
  <c r="AA51" i="1" s="1"/>
  <c r="AE51" i="1" s="1"/>
  <c r="AF51" i="1" s="1"/>
  <c r="AH51" i="1" s="1"/>
  <c r="C222" i="7"/>
  <c r="C224" i="7"/>
  <c r="C265" i="7"/>
  <c r="C229" i="7"/>
  <c r="C258" i="7"/>
  <c r="I10" i="10"/>
  <c r="I12" i="10"/>
  <c r="I9" i="10"/>
  <c r="I11" i="10"/>
  <c r="I7" i="10"/>
  <c r="I8" i="10"/>
  <c r="C236" i="7"/>
  <c r="C251" i="7"/>
  <c r="C259" i="7"/>
  <c r="E11" i="10"/>
  <c r="E10" i="10"/>
  <c r="E7" i="10"/>
  <c r="E8" i="10"/>
  <c r="E12" i="10"/>
  <c r="E9" i="10"/>
  <c r="AO51" i="1" l="1"/>
  <c r="AM51" i="1"/>
  <c r="AS51" i="1" s="1"/>
  <c r="F8" i="10"/>
  <c r="G8" i="10"/>
  <c r="F7" i="10"/>
  <c r="G7" i="10"/>
  <c r="K10" i="10"/>
  <c r="J10" i="10"/>
  <c r="F10" i="10"/>
  <c r="G10" i="10"/>
  <c r="F11" i="10"/>
  <c r="G11" i="10"/>
  <c r="J8" i="10"/>
  <c r="N9" i="9" s="1" a="1"/>
  <c r="N9" i="9" s="1"/>
  <c r="O9" i="9" s="1"/>
  <c r="P9" i="9" s="1"/>
  <c r="Q9" i="9" s="1"/>
  <c r="K8" i="10"/>
  <c r="N33" i="9" s="1" a="1"/>
  <c r="N33" i="9" s="1"/>
  <c r="O33" i="9" s="1"/>
  <c r="P33" i="9" s="1"/>
  <c r="Q33" i="9" s="1"/>
  <c r="J7" i="10"/>
  <c r="K7" i="10"/>
  <c r="F9" i="10"/>
  <c r="G9" i="10"/>
  <c r="J11" i="10"/>
  <c r="K11" i="10"/>
  <c r="J9" i="10"/>
  <c r="K9" i="10"/>
  <c r="N37" i="9" s="1" a="1"/>
  <c r="N37" i="9" s="1"/>
  <c r="O37" i="9" s="1"/>
  <c r="P37" i="9" s="1"/>
  <c r="Q37" i="9" s="1"/>
  <c r="AC11" i="1" l="1"/>
  <c r="S9" i="9"/>
  <c r="T9" i="9" s="1"/>
  <c r="S37" i="9"/>
  <c r="T37" i="9" s="1"/>
  <c r="AC39" i="1"/>
  <c r="AD39" i="1" s="1"/>
  <c r="N29" i="9" a="1"/>
  <c r="N29" i="9" s="1"/>
  <c r="O29" i="9" s="1"/>
  <c r="P29" i="9" s="1"/>
  <c r="Q29" i="9" s="1"/>
  <c r="S29" i="9" s="1"/>
  <c r="T29" i="9" s="1"/>
  <c r="N27" i="9" a="1"/>
  <c r="N27" i="9" s="1"/>
  <c r="O27" i="9" s="1"/>
  <c r="P27" i="9" s="1"/>
  <c r="Q27" i="9" s="1"/>
  <c r="S27" i="9" s="1"/>
  <c r="T27" i="9" s="1"/>
  <c r="N46" i="9" a="1"/>
  <c r="N46" i="9" s="1"/>
  <c r="O46" i="9" s="1"/>
  <c r="P46" i="9" s="1"/>
  <c r="Q46" i="9" s="1"/>
  <c r="N22" i="9" a="1"/>
  <c r="N22" i="9" s="1"/>
  <c r="O22" i="9" s="1"/>
  <c r="P22" i="9" s="1"/>
  <c r="Q22" i="9" s="1"/>
  <c r="N20" i="9" a="1"/>
  <c r="N20" i="9" s="1"/>
  <c r="O20" i="9" s="1"/>
  <c r="P20" i="9" s="1"/>
  <c r="Q20" i="9" s="1"/>
  <c r="N12" i="9" a="1"/>
  <c r="N12" i="9" s="1"/>
  <c r="O12" i="9" s="1"/>
  <c r="P12" i="9" s="1"/>
  <c r="Q12" i="9" s="1"/>
  <c r="S12" i="9" s="1"/>
  <c r="T12" i="9" s="1"/>
  <c r="N42" i="9" a="1"/>
  <c r="N42" i="9" s="1"/>
  <c r="O42" i="9" s="1"/>
  <c r="P42" i="9" s="1"/>
  <c r="Q42" i="9" s="1"/>
  <c r="N34" i="9" a="1"/>
  <c r="N34" i="9" s="1"/>
  <c r="O34" i="9" s="1"/>
  <c r="P34" i="9" s="1"/>
  <c r="Q34" i="9" s="1"/>
  <c r="N18" i="9" a="1"/>
  <c r="N18" i="9" s="1"/>
  <c r="O18" i="9" s="1"/>
  <c r="P18" i="9" s="1"/>
  <c r="Q18" i="9" s="1"/>
  <c r="S18" i="9" s="1"/>
  <c r="T18" i="9" s="1"/>
  <c r="AC35" i="1"/>
  <c r="AD35" i="1" s="1"/>
  <c r="S33" i="9"/>
  <c r="T33" i="9" s="1"/>
  <c r="N53" i="9" a="1"/>
  <c r="N53" i="9" s="1"/>
  <c r="O53" i="9" s="1"/>
  <c r="P53" i="9" s="1"/>
  <c r="Q53" i="9" s="1"/>
  <c r="N10" i="9" a="1"/>
  <c r="N10" i="9" s="1"/>
  <c r="O10" i="9" s="1"/>
  <c r="P10" i="9" s="1"/>
  <c r="Q10" i="9" s="1"/>
  <c r="N45" i="9" a="1"/>
  <c r="N45" i="9" s="1"/>
  <c r="O45" i="9" s="1"/>
  <c r="P45" i="9" s="1"/>
  <c r="Q45" i="9" s="1"/>
  <c r="N51" i="9" a="1"/>
  <c r="N51" i="9" s="1"/>
  <c r="O51" i="9" s="1"/>
  <c r="P51" i="9" s="1"/>
  <c r="Q51" i="9" s="1"/>
  <c r="N11" i="9" a="1"/>
  <c r="N11" i="9" s="1"/>
  <c r="O11" i="9" s="1"/>
  <c r="P11" i="9" s="1"/>
  <c r="Q11" i="9" s="1"/>
  <c r="S11" i="9" s="1"/>
  <c r="T11" i="9" s="1"/>
  <c r="N44" i="9" a="1"/>
  <c r="N44" i="9" s="1"/>
  <c r="O44" i="9" s="1"/>
  <c r="P44" i="9" s="1"/>
  <c r="Q44" i="9" s="1"/>
  <c r="N38" i="9" a="1"/>
  <c r="N38" i="9" s="1"/>
  <c r="O38" i="9" s="1"/>
  <c r="P38" i="9" s="1"/>
  <c r="Q38" i="9" s="1"/>
  <c r="N4" i="9" a="1"/>
  <c r="N4" i="9" s="1"/>
  <c r="O4" i="9" s="1"/>
  <c r="P4" i="9" s="1"/>
  <c r="Q4" i="9" s="1"/>
  <c r="N41" i="9" a="1"/>
  <c r="N41" i="9" s="1"/>
  <c r="O41" i="9" s="1"/>
  <c r="P41" i="9" s="1"/>
  <c r="Q41" i="9" s="1"/>
  <c r="S41" i="9" s="1"/>
  <c r="T41" i="9" s="1"/>
  <c r="N43" i="9" a="1"/>
  <c r="N43" i="9" s="1"/>
  <c r="O43" i="9" s="1"/>
  <c r="P43" i="9" s="1"/>
  <c r="Q43" i="9" s="1"/>
  <c r="N13" i="9" a="1"/>
  <c r="N13" i="9" s="1"/>
  <c r="O13" i="9" s="1"/>
  <c r="P13" i="9" s="1"/>
  <c r="Q13" i="9" s="1"/>
  <c r="N31" i="9" a="1"/>
  <c r="N31" i="9" s="1"/>
  <c r="O31" i="9" s="1"/>
  <c r="P31" i="9" s="1"/>
  <c r="Q31" i="9" s="1"/>
  <c r="S31" i="9" s="1"/>
  <c r="T31" i="9" s="1"/>
  <c r="N16" i="9" a="1"/>
  <c r="N16" i="9" s="1"/>
  <c r="O16" i="9" s="1"/>
  <c r="P16" i="9" s="1"/>
  <c r="Q16" i="9" s="1"/>
  <c r="N26" i="9" a="1"/>
  <c r="N26" i="9" s="1"/>
  <c r="O26" i="9" s="1"/>
  <c r="P26" i="9" s="1"/>
  <c r="Q26" i="9" s="1"/>
  <c r="N32" i="9" a="1"/>
  <c r="N32" i="9" s="1"/>
  <c r="O32" i="9" s="1"/>
  <c r="P32" i="9" s="1"/>
  <c r="Q32" i="9" s="1"/>
  <c r="S32" i="9" s="1"/>
  <c r="T32" i="9" s="1"/>
  <c r="N47" i="9" a="1"/>
  <c r="N47" i="9" s="1"/>
  <c r="O47" i="9" s="1"/>
  <c r="P47" i="9" s="1"/>
  <c r="Q47" i="9" s="1"/>
  <c r="S47" i="9" s="1"/>
  <c r="T47" i="9" s="1"/>
  <c r="N6" i="9" a="1"/>
  <c r="N6" i="9" s="1"/>
  <c r="O6" i="9" s="1"/>
  <c r="P6" i="9" s="1"/>
  <c r="Q6" i="9" s="1"/>
  <c r="N48" i="9" a="1"/>
  <c r="N48" i="9" s="1"/>
  <c r="O48" i="9" s="1"/>
  <c r="P48" i="9" s="1"/>
  <c r="Q48" i="9" s="1"/>
  <c r="N36" i="9" a="1"/>
  <c r="N36" i="9" s="1"/>
  <c r="O36" i="9" s="1"/>
  <c r="P36" i="9" s="1"/>
  <c r="Q36" i="9" s="1"/>
  <c r="N50" i="9" a="1"/>
  <c r="N50" i="9" s="1"/>
  <c r="O50" i="9" s="1"/>
  <c r="P50" i="9" s="1"/>
  <c r="Q50" i="9" s="1"/>
  <c r="N28" i="9" a="1"/>
  <c r="N28" i="9" s="1"/>
  <c r="O28" i="9" s="1"/>
  <c r="P28" i="9" s="1"/>
  <c r="Q28" i="9" s="1"/>
  <c r="S28" i="9" s="1"/>
  <c r="T28" i="9" s="1"/>
  <c r="N35" i="9" a="1"/>
  <c r="N35" i="9" s="1"/>
  <c r="O35" i="9" s="1"/>
  <c r="P35" i="9" s="1"/>
  <c r="Q35" i="9" s="1"/>
  <c r="N24" i="9" a="1"/>
  <c r="N24" i="9" s="1"/>
  <c r="O24" i="9" s="1"/>
  <c r="P24" i="9" s="1"/>
  <c r="Q24" i="9" s="1"/>
  <c r="N25" i="9" a="1"/>
  <c r="N25" i="9" s="1"/>
  <c r="O25" i="9" s="1"/>
  <c r="P25" i="9" s="1"/>
  <c r="Q25" i="9" s="1"/>
  <c r="N30" i="9" a="1"/>
  <c r="N30" i="9" s="1"/>
  <c r="O30" i="9" s="1"/>
  <c r="P30" i="9" s="1"/>
  <c r="Q30" i="9" s="1"/>
  <c r="N14" i="9" a="1"/>
  <c r="N14" i="9" s="1"/>
  <c r="O14" i="9" s="1"/>
  <c r="P14" i="9" s="1"/>
  <c r="Q14" i="9" s="1"/>
  <c r="S14" i="9" s="1"/>
  <c r="T14" i="9" s="1"/>
  <c r="N19" i="9" a="1"/>
  <c r="N19" i="9" s="1"/>
  <c r="O19" i="9" s="1"/>
  <c r="P19" i="9" s="1"/>
  <c r="Q19" i="9" s="1"/>
  <c r="N15" i="9" a="1"/>
  <c r="N15" i="9" s="1"/>
  <c r="O15" i="9" s="1"/>
  <c r="P15" i="9" s="1"/>
  <c r="Q15" i="9" s="1"/>
  <c r="N40" i="9" a="1"/>
  <c r="N40" i="9" s="1"/>
  <c r="O40" i="9" s="1"/>
  <c r="P40" i="9" s="1"/>
  <c r="Q40" i="9" s="1"/>
  <c r="S40" i="9" s="1"/>
  <c r="T40" i="9" s="1"/>
  <c r="N5" i="9" a="1"/>
  <c r="N5" i="9" s="1"/>
  <c r="O5" i="9" s="1"/>
  <c r="P5" i="9" s="1"/>
  <c r="Q5" i="9" s="1"/>
  <c r="N8" i="9" a="1"/>
  <c r="N8" i="9" s="1"/>
  <c r="O8" i="9" s="1"/>
  <c r="P8" i="9" s="1"/>
  <c r="Q8" i="9" s="1"/>
  <c r="N7" i="9" a="1"/>
  <c r="N7" i="9" s="1"/>
  <c r="O7" i="9" s="1"/>
  <c r="P7" i="9" s="1"/>
  <c r="Q7" i="9" s="1"/>
  <c r="N17" i="9" a="1"/>
  <c r="N17" i="9" s="1"/>
  <c r="O17" i="9" s="1"/>
  <c r="P17" i="9" s="1"/>
  <c r="Q17" i="9" s="1"/>
  <c r="N52" i="9" a="1"/>
  <c r="N52" i="9" s="1"/>
  <c r="O52" i="9" s="1"/>
  <c r="P52" i="9" s="1"/>
  <c r="Q52" i="9" s="1"/>
  <c r="N21" i="9" a="1"/>
  <c r="N21" i="9" s="1"/>
  <c r="O21" i="9" s="1"/>
  <c r="P21" i="9" s="1"/>
  <c r="Q21" i="9" s="1"/>
  <c r="N39" i="9" a="1"/>
  <c r="N39" i="9" s="1"/>
  <c r="O39" i="9" s="1"/>
  <c r="P39" i="9" s="1"/>
  <c r="Q39" i="9" s="1"/>
  <c r="N23" i="9" a="1"/>
  <c r="N23" i="9" s="1"/>
  <c r="O23" i="9" s="1"/>
  <c r="P23" i="9" s="1"/>
  <c r="Q23" i="9" s="1"/>
  <c r="S23" i="9" s="1"/>
  <c r="T23" i="9" s="1"/>
  <c r="S8" i="9" l="1"/>
  <c r="T8" i="9" s="1"/>
  <c r="AC10" i="1"/>
  <c r="AD10" i="1" s="1"/>
  <c r="S19" i="9"/>
  <c r="T19" i="9" s="1"/>
  <c r="AC21" i="1"/>
  <c r="AD21" i="1" s="1"/>
  <c r="S36" i="9"/>
  <c r="T36" i="9" s="1"/>
  <c r="AC38" i="1"/>
  <c r="AD38" i="1" s="1"/>
  <c r="AC55" i="1"/>
  <c r="AD55" i="1" s="1"/>
  <c r="S53" i="9"/>
  <c r="T53" i="9" s="1"/>
  <c r="AC23" i="1"/>
  <c r="AD23" i="1" s="1"/>
  <c r="S21" i="9"/>
  <c r="T21" i="9" s="1"/>
  <c r="AC27" i="1"/>
  <c r="AD27" i="1" s="1"/>
  <c r="S25" i="9"/>
  <c r="T25" i="9" s="1"/>
  <c r="AC18" i="1"/>
  <c r="AD18" i="1" s="1"/>
  <c r="S16" i="9"/>
  <c r="T16" i="9" s="1"/>
  <c r="S52" i="9"/>
  <c r="T52" i="9" s="1"/>
  <c r="AC54" i="1"/>
  <c r="AD54" i="1" s="1"/>
  <c r="AC26" i="1"/>
  <c r="AD26" i="1" s="1"/>
  <c r="S24" i="9"/>
  <c r="T24" i="9" s="1"/>
  <c r="S13" i="9"/>
  <c r="T13" i="9" s="1"/>
  <c r="AC15" i="1"/>
  <c r="AD15" i="1" s="1"/>
  <c r="AC19" i="1"/>
  <c r="AD19" i="1" s="1"/>
  <c r="S17" i="9"/>
  <c r="T17" i="9" s="1"/>
  <c r="S35" i="9"/>
  <c r="T35" i="9" s="1"/>
  <c r="AC37" i="1"/>
  <c r="AD37" i="1" s="1"/>
  <c r="AC45" i="1"/>
  <c r="AD45" i="1" s="1"/>
  <c r="S43" i="9"/>
  <c r="T43" i="9" s="1"/>
  <c r="AC9" i="1"/>
  <c r="AD9" i="1" s="1"/>
  <c r="S7" i="9"/>
  <c r="T7" i="9" s="1"/>
  <c r="S34" i="9"/>
  <c r="T34" i="9" s="1"/>
  <c r="AC36" i="1"/>
  <c r="AD36" i="1" s="1"/>
  <c r="S50" i="9"/>
  <c r="T50" i="9" s="1"/>
  <c r="AC52" i="1"/>
  <c r="AD52" i="1" s="1"/>
  <c r="S4" i="9"/>
  <c r="T4" i="9" s="1"/>
  <c r="AC6" i="1"/>
  <c r="AC44" i="1"/>
  <c r="AD44" i="1" s="1"/>
  <c r="S42" i="9"/>
  <c r="T42" i="9" s="1"/>
  <c r="S5" i="9"/>
  <c r="T5" i="9" s="1"/>
  <c r="AC7" i="1"/>
  <c r="AD7" i="1" s="1"/>
  <c r="S38" i="9"/>
  <c r="T38" i="9" s="1"/>
  <c r="AC40" i="1"/>
  <c r="AD40" i="1" s="1"/>
  <c r="S39" i="9"/>
  <c r="T39" i="9" s="1"/>
  <c r="AC41" i="1"/>
  <c r="AD41" i="1" s="1"/>
  <c r="AC50" i="1"/>
  <c r="AD50" i="1" s="1"/>
  <c r="S48" i="9"/>
  <c r="T48" i="9" s="1"/>
  <c r="AC46" i="1"/>
  <c r="AD46" i="1" s="1"/>
  <c r="S44" i="9"/>
  <c r="T44" i="9" s="1"/>
  <c r="S20" i="9"/>
  <c r="T20" i="9" s="1"/>
  <c r="AC22" i="1"/>
  <c r="AD22" i="1" s="1"/>
  <c r="AC17" i="1"/>
  <c r="AD17" i="1" s="1"/>
  <c r="S15" i="9"/>
  <c r="T15" i="9" s="1"/>
  <c r="S6" i="9"/>
  <c r="T6" i="9" s="1"/>
  <c r="AC8" i="1"/>
  <c r="AD8" i="1" s="1"/>
  <c r="S22" i="9"/>
  <c r="T22" i="9" s="1"/>
  <c r="AC24" i="1"/>
  <c r="AD24" i="1" s="1"/>
  <c r="AC32" i="1"/>
  <c r="AD32" i="1" s="1"/>
  <c r="S30" i="9"/>
  <c r="T30" i="9" s="1"/>
  <c r="AC53" i="1"/>
  <c r="AD53" i="1" s="1"/>
  <c r="S51" i="9"/>
  <c r="T51" i="9" s="1"/>
  <c r="AC48" i="1"/>
  <c r="AD48" i="1" s="1"/>
  <c r="S46" i="9"/>
  <c r="T46" i="9" s="1"/>
  <c r="S45" i="9"/>
  <c r="T45" i="9" s="1"/>
  <c r="AC47" i="1"/>
  <c r="AD47" i="1" s="1"/>
  <c r="AC28" i="1"/>
  <c r="AD28" i="1" s="1"/>
  <c r="S26" i="9"/>
  <c r="T26" i="9" s="1"/>
  <c r="S10" i="9"/>
  <c r="T10" i="9" s="1"/>
  <c r="AC12" i="1"/>
  <c r="AD12" i="1" s="1"/>
  <c r="AD6" i="1" l="1"/>
  <c r="AC57" i="1"/>
  <c r="AA42" i="1" l="1"/>
  <c r="AE42" i="1" s="1"/>
  <c r="AF42" i="1" s="1"/>
  <c r="AH42" i="1" s="1"/>
  <c r="AA18" i="1"/>
  <c r="AE18" i="1" s="1"/>
  <c r="AF18" i="1" s="1"/>
  <c r="AH18" i="1" s="1"/>
  <c r="AA41" i="1"/>
  <c r="AE41" i="1" s="1"/>
  <c r="AF41" i="1" s="1"/>
  <c r="AH41" i="1" s="1"/>
  <c r="AA8" i="1"/>
  <c r="AE8" i="1" s="1"/>
  <c r="AF8" i="1" s="1"/>
  <c r="AH8" i="1" s="1"/>
  <c r="AA40" i="1"/>
  <c r="AE40" i="1" s="1"/>
  <c r="AF40" i="1" s="1"/>
  <c r="AH40" i="1" s="1"/>
  <c r="AM40" i="1" s="1"/>
  <c r="AS40" i="1" s="1"/>
  <c r="AT40" i="1" s="1"/>
  <c r="AA20" i="1"/>
  <c r="AE20" i="1" s="1"/>
  <c r="AF20" i="1" s="1"/>
  <c r="AH20" i="1" s="1"/>
  <c r="AA54" i="1"/>
  <c r="AE54" i="1" s="1"/>
  <c r="AF54" i="1" s="1"/>
  <c r="AH54" i="1" s="1"/>
  <c r="AA21" i="1"/>
  <c r="AE21" i="1" s="1"/>
  <c r="AF21" i="1" s="1"/>
  <c r="AH21" i="1" s="1"/>
  <c r="AM21" i="1" s="1"/>
  <c r="AA39" i="1"/>
  <c r="AE39" i="1" s="1"/>
  <c r="AF39" i="1" s="1"/>
  <c r="AH39" i="1" s="1"/>
  <c r="AO39" i="1" s="1"/>
  <c r="AP39" i="1" s="1"/>
  <c r="AA14" i="1"/>
  <c r="AE14" i="1" s="1"/>
  <c r="AF14" i="1" s="1"/>
  <c r="AH14" i="1" s="1"/>
  <c r="AA36" i="1"/>
  <c r="AE36" i="1" s="1"/>
  <c r="AF36" i="1" s="1"/>
  <c r="AH36" i="1" s="1"/>
  <c r="AA44" i="1"/>
  <c r="AE44" i="1" s="1"/>
  <c r="AF44" i="1" s="1"/>
  <c r="AH44" i="1" s="1"/>
  <c r="AA22" i="1"/>
  <c r="AE22" i="1" s="1"/>
  <c r="AF22" i="1" s="1"/>
  <c r="AH22" i="1" s="1"/>
  <c r="AA37" i="1"/>
  <c r="AE37" i="1" s="1"/>
  <c r="AF37" i="1" s="1"/>
  <c r="AH37" i="1" s="1"/>
  <c r="AA53" i="1"/>
  <c r="AE53" i="1" s="1"/>
  <c r="AF53" i="1" s="1"/>
  <c r="AH53" i="1" s="1"/>
  <c r="AA50" i="1"/>
  <c r="AE50" i="1" s="1"/>
  <c r="AF50" i="1" s="1"/>
  <c r="AH50" i="1" s="1"/>
  <c r="AA12" i="1"/>
  <c r="AE12" i="1" s="1"/>
  <c r="AF12" i="1" s="1"/>
  <c r="AH12" i="1" s="1"/>
  <c r="AA25" i="1"/>
  <c r="AE25" i="1" s="1"/>
  <c r="AF25" i="1" s="1"/>
  <c r="AH25" i="1" s="1"/>
  <c r="AA31" i="1"/>
  <c r="AE31" i="1" s="1"/>
  <c r="AF31" i="1" s="1"/>
  <c r="AH31" i="1" s="1"/>
  <c r="AA19" i="1"/>
  <c r="AE19" i="1" s="1"/>
  <c r="AF19" i="1" s="1"/>
  <c r="AH19" i="1" s="1"/>
  <c r="AA28" i="1"/>
  <c r="AE28" i="1" s="1"/>
  <c r="AF28" i="1" s="1"/>
  <c r="AH28" i="1" s="1"/>
  <c r="AA47" i="1"/>
  <c r="AE47" i="1" s="1"/>
  <c r="AF47" i="1" s="1"/>
  <c r="AH47" i="1" s="1"/>
  <c r="AA7" i="1"/>
  <c r="AE7" i="1" s="1"/>
  <c r="AF7" i="1" s="1"/>
  <c r="AH7" i="1" s="1"/>
  <c r="AO7" i="1" s="1"/>
  <c r="AA48" i="1"/>
  <c r="AE48" i="1" s="1"/>
  <c r="AF48" i="1" s="1"/>
  <c r="AH48" i="1" s="1"/>
  <c r="AO48" i="1" s="1"/>
  <c r="AA27" i="1"/>
  <c r="AE27" i="1" s="1"/>
  <c r="AF27" i="1" s="1"/>
  <c r="AH27" i="1" s="1"/>
  <c r="AA30" i="1"/>
  <c r="AE30" i="1" s="1"/>
  <c r="AF30" i="1" s="1"/>
  <c r="AH30" i="1" s="1"/>
  <c r="AA6" i="1"/>
  <c r="AA11" i="1"/>
  <c r="AA16" i="1"/>
  <c r="AE16" i="1" s="1"/>
  <c r="AF16" i="1" s="1"/>
  <c r="AH16" i="1" s="1"/>
  <c r="AA32" i="1"/>
  <c r="AE32" i="1" s="1"/>
  <c r="AF32" i="1" s="1"/>
  <c r="AH32" i="1" s="1"/>
  <c r="AA34" i="1"/>
  <c r="AE34" i="1" s="1"/>
  <c r="AF34" i="1" s="1"/>
  <c r="AH34" i="1" s="1"/>
  <c r="AA17" i="1"/>
  <c r="AE17" i="1" s="1"/>
  <c r="AF17" i="1" s="1"/>
  <c r="AH17" i="1" s="1"/>
  <c r="AA29" i="1"/>
  <c r="AE29" i="1" s="1"/>
  <c r="AF29" i="1" s="1"/>
  <c r="AH29" i="1" s="1"/>
  <c r="AA13" i="1"/>
  <c r="AE13" i="1" s="1"/>
  <c r="AF13" i="1" s="1"/>
  <c r="AH13" i="1" s="1"/>
  <c r="AA46" i="1"/>
  <c r="AE46" i="1" s="1"/>
  <c r="AF46" i="1" s="1"/>
  <c r="AH46" i="1" s="1"/>
  <c r="AA24" i="1"/>
  <c r="AE24" i="1" s="1"/>
  <c r="AF24" i="1" s="1"/>
  <c r="AH24" i="1" s="1"/>
  <c r="AA52" i="1"/>
  <c r="AE52" i="1" s="1"/>
  <c r="AF52" i="1" s="1"/>
  <c r="AH52" i="1" s="1"/>
  <c r="AA10" i="1"/>
  <c r="AE10" i="1" s="1"/>
  <c r="AF10" i="1" s="1"/>
  <c r="AH10" i="1" s="1"/>
  <c r="AA35" i="1"/>
  <c r="AE35" i="1" s="1"/>
  <c r="AF35" i="1" s="1"/>
  <c r="AH35" i="1" s="1"/>
  <c r="AA55" i="1"/>
  <c r="AE55" i="1" s="1"/>
  <c r="AF55" i="1" s="1"/>
  <c r="AH55" i="1" s="1"/>
  <c r="AA9" i="1"/>
  <c r="AE9" i="1" s="1"/>
  <c r="AF9" i="1" s="1"/>
  <c r="AH9" i="1" s="1"/>
  <c r="AA38" i="1"/>
  <c r="AE38" i="1" s="1"/>
  <c r="AF38" i="1" s="1"/>
  <c r="AH38" i="1" s="1"/>
  <c r="AA43" i="1"/>
  <c r="AE43" i="1" s="1"/>
  <c r="AF43" i="1" s="1"/>
  <c r="AH43" i="1" s="1"/>
  <c r="AA15" i="1"/>
  <c r="AE15" i="1" s="1"/>
  <c r="AF15" i="1" s="1"/>
  <c r="AH15" i="1" s="1"/>
  <c r="AA26" i="1"/>
  <c r="AE26" i="1" s="1"/>
  <c r="AF26" i="1" s="1"/>
  <c r="AH26" i="1" s="1"/>
  <c r="AA49" i="1"/>
  <c r="AE49" i="1" s="1"/>
  <c r="AF49" i="1" s="1"/>
  <c r="AH49" i="1" s="1"/>
  <c r="AA33" i="1"/>
  <c r="AE33" i="1" s="1"/>
  <c r="AF33" i="1" s="1"/>
  <c r="AH33" i="1" s="1"/>
  <c r="AA45" i="1"/>
  <c r="AE45" i="1" s="1"/>
  <c r="AF45" i="1" s="1"/>
  <c r="AH45" i="1" s="1"/>
  <c r="AA23" i="1"/>
  <c r="AE23" i="1" s="1"/>
  <c r="AF23" i="1" s="1"/>
  <c r="AH23" i="1" s="1"/>
  <c r="AO24" i="1" l="1"/>
  <c r="AP24" i="1" s="1"/>
  <c r="AM24" i="1"/>
  <c r="AS24" i="1" s="1"/>
  <c r="AT24" i="1" s="1"/>
  <c r="AM49" i="1"/>
  <c r="AS49" i="1" s="1"/>
  <c r="AT49" i="1" s="1"/>
  <c r="AO49" i="1"/>
  <c r="AP49" i="1" s="1"/>
  <c r="AO46" i="1"/>
  <c r="AP46" i="1" s="1"/>
  <c r="AM46" i="1"/>
  <c r="AS46" i="1" s="1"/>
  <c r="AT46" i="1" s="1"/>
  <c r="AP7" i="1"/>
  <c r="AM7" i="1"/>
  <c r="AS7" i="1" s="1"/>
  <c r="AT7" i="1" s="1"/>
  <c r="AM36" i="1"/>
  <c r="AS36" i="1" s="1"/>
  <c r="AT36" i="1" s="1"/>
  <c r="AO36" i="1"/>
  <c r="AP36" i="1" s="1"/>
  <c r="AO26" i="1"/>
  <c r="AP26" i="1" s="1"/>
  <c r="AM26" i="1"/>
  <c r="AS26" i="1" s="1"/>
  <c r="AT26" i="1" s="1"/>
  <c r="AM13" i="1"/>
  <c r="AS13" i="1" s="1"/>
  <c r="AT13" i="1" s="1"/>
  <c r="AO13" i="1"/>
  <c r="AP13" i="1" s="1"/>
  <c r="AM47" i="1"/>
  <c r="AS47" i="1" s="1"/>
  <c r="AT47" i="1" s="1"/>
  <c r="AO47" i="1"/>
  <c r="AP47" i="1" s="1"/>
  <c r="AO14" i="1"/>
  <c r="AP14" i="1" s="1"/>
  <c r="AM14" i="1"/>
  <c r="AS14" i="1" s="1"/>
  <c r="AT14" i="1" s="1"/>
  <c r="AM15" i="1"/>
  <c r="AS15" i="1" s="1"/>
  <c r="AT15" i="1" s="1"/>
  <c r="AO15" i="1"/>
  <c r="AP15" i="1" s="1"/>
  <c r="AO29" i="1"/>
  <c r="AP29" i="1" s="1"/>
  <c r="AM29" i="1"/>
  <c r="AS29" i="1" s="1"/>
  <c r="AT29" i="1" s="1"/>
  <c r="AM28" i="1"/>
  <c r="AS28" i="1" s="1"/>
  <c r="AT28" i="1" s="1"/>
  <c r="AO28" i="1"/>
  <c r="AP28" i="1" s="1"/>
  <c r="AM39" i="1"/>
  <c r="AS39" i="1" s="1"/>
  <c r="AT39" i="1" s="1"/>
  <c r="AP48" i="1"/>
  <c r="AM48" i="1"/>
  <c r="AS48" i="1" s="1"/>
  <c r="AT48" i="1" s="1"/>
  <c r="AO43" i="1"/>
  <c r="AP43" i="1" s="1"/>
  <c r="AM43" i="1"/>
  <c r="AS43" i="1" s="1"/>
  <c r="AT43" i="1" s="1"/>
  <c r="AO17" i="1"/>
  <c r="AP17" i="1" s="1"/>
  <c r="AM17" i="1"/>
  <c r="AS17" i="1" s="1"/>
  <c r="AT17" i="1" s="1"/>
  <c r="AO19" i="1"/>
  <c r="AP19" i="1" s="1"/>
  <c r="AM19" i="1"/>
  <c r="AS19" i="1" s="1"/>
  <c r="AT19" i="1" s="1"/>
  <c r="AS21" i="1"/>
  <c r="AT21" i="1" s="1"/>
  <c r="AO21" i="1"/>
  <c r="AP21" i="1" s="1"/>
  <c r="AM38" i="1"/>
  <c r="AS38" i="1" s="1"/>
  <c r="AT38" i="1" s="1"/>
  <c r="AO38" i="1"/>
  <c r="AP38" i="1" s="1"/>
  <c r="AO34" i="1"/>
  <c r="AP34" i="1" s="1"/>
  <c r="AM34" i="1"/>
  <c r="AS34" i="1" s="1"/>
  <c r="AT34" i="1" s="1"/>
  <c r="AO31" i="1"/>
  <c r="AP31" i="1" s="1"/>
  <c r="AM31" i="1"/>
  <c r="AS31" i="1" s="1"/>
  <c r="AT31" i="1" s="1"/>
  <c r="AM54" i="1"/>
  <c r="AS54" i="1" s="1"/>
  <c r="AT54" i="1" s="1"/>
  <c r="AO54" i="1"/>
  <c r="AP54" i="1" s="1"/>
  <c r="AM44" i="1"/>
  <c r="AS44" i="1" s="1"/>
  <c r="AT44" i="1" s="1"/>
  <c r="AO44" i="1"/>
  <c r="AP44" i="1" s="1"/>
  <c r="AM32" i="1"/>
  <c r="AS32" i="1" s="1"/>
  <c r="AT32" i="1" s="1"/>
  <c r="AO32" i="1"/>
  <c r="AP32" i="1" s="1"/>
  <c r="AO25" i="1"/>
  <c r="AP25" i="1" s="1"/>
  <c r="AM25" i="1"/>
  <c r="AS25" i="1" s="1"/>
  <c r="AT25" i="1" s="1"/>
  <c r="AO20" i="1"/>
  <c r="AP20" i="1" s="1"/>
  <c r="AM20" i="1"/>
  <c r="AS20" i="1" s="1"/>
  <c r="AT20" i="1" s="1"/>
  <c r="AO9" i="1"/>
  <c r="AP9" i="1" s="1"/>
  <c r="AM9" i="1"/>
  <c r="AS9" i="1" s="1"/>
  <c r="AT9" i="1" s="1"/>
  <c r="AO16" i="1"/>
  <c r="AP16" i="1" s="1"/>
  <c r="AM16" i="1"/>
  <c r="AS16" i="1" s="1"/>
  <c r="AT16" i="1" s="1"/>
  <c r="AO12" i="1"/>
  <c r="AP12" i="1" s="1"/>
  <c r="AM12" i="1"/>
  <c r="AS12" i="1" s="1"/>
  <c r="AT12" i="1" s="1"/>
  <c r="AO40" i="1"/>
  <c r="AP40" i="1" s="1"/>
  <c r="AO33" i="1"/>
  <c r="AP33" i="1" s="1"/>
  <c r="AM33" i="1"/>
  <c r="AS33" i="1" s="1"/>
  <c r="AT33" i="1" s="1"/>
  <c r="AO55" i="1"/>
  <c r="AP55" i="1" s="1"/>
  <c r="AM55" i="1"/>
  <c r="AS55" i="1" s="1"/>
  <c r="AT55" i="1" s="1"/>
  <c r="AM50" i="1"/>
  <c r="AS50" i="1" s="1"/>
  <c r="AT50" i="1" s="1"/>
  <c r="AO50" i="1"/>
  <c r="AP50" i="1" s="1"/>
  <c r="AM8" i="1"/>
  <c r="AS8" i="1" s="1"/>
  <c r="AT8" i="1" s="1"/>
  <c r="AO8" i="1"/>
  <c r="AP8" i="1" s="1"/>
  <c r="AM35" i="1"/>
  <c r="AS35" i="1" s="1"/>
  <c r="AT35" i="1" s="1"/>
  <c r="AO35" i="1"/>
  <c r="AP35" i="1" s="1"/>
  <c r="AA57" i="1"/>
  <c r="AE6" i="1"/>
  <c r="AO53" i="1"/>
  <c r="AP53" i="1" s="1"/>
  <c r="AM53" i="1"/>
  <c r="AS53" i="1" s="1"/>
  <c r="AT53" i="1" s="1"/>
  <c r="AM41" i="1"/>
  <c r="AS41" i="1" s="1"/>
  <c r="AT41" i="1" s="1"/>
  <c r="AO41" i="1"/>
  <c r="AP41" i="1" s="1"/>
  <c r="AO23" i="1"/>
  <c r="AP23" i="1" s="1"/>
  <c r="AM23" i="1"/>
  <c r="AS23" i="1" s="1"/>
  <c r="AT23" i="1" s="1"/>
  <c r="AO10" i="1"/>
  <c r="AP10" i="1" s="1"/>
  <c r="AM10" i="1"/>
  <c r="AS10" i="1" s="1"/>
  <c r="AT10" i="1" s="1"/>
  <c r="AO30" i="1"/>
  <c r="AP30" i="1" s="1"/>
  <c r="AM30" i="1"/>
  <c r="AS30" i="1" s="1"/>
  <c r="AT30" i="1" s="1"/>
  <c r="AO37" i="1"/>
  <c r="AP37" i="1" s="1"/>
  <c r="AM37" i="1"/>
  <c r="AS37" i="1" s="1"/>
  <c r="AT37" i="1" s="1"/>
  <c r="AO18" i="1"/>
  <c r="AP18" i="1" s="1"/>
  <c r="AM18" i="1"/>
  <c r="AS18" i="1" s="1"/>
  <c r="AT18" i="1" s="1"/>
  <c r="AM45" i="1"/>
  <c r="AS45" i="1" s="1"/>
  <c r="AT45" i="1" s="1"/>
  <c r="AO45" i="1"/>
  <c r="AP45" i="1" s="1"/>
  <c r="AM52" i="1"/>
  <c r="AS52" i="1" s="1"/>
  <c r="AT52" i="1" s="1"/>
  <c r="AO52" i="1"/>
  <c r="AP52" i="1" s="1"/>
  <c r="AO27" i="1"/>
  <c r="AP27" i="1" s="1"/>
  <c r="AM27" i="1"/>
  <c r="AS27" i="1" s="1"/>
  <c r="AT27" i="1" s="1"/>
  <c r="AO22" i="1"/>
  <c r="AP22" i="1" s="1"/>
  <c r="AM22" i="1"/>
  <c r="AS22" i="1" s="1"/>
  <c r="AT22" i="1" s="1"/>
  <c r="AO42" i="1"/>
  <c r="AP42" i="1" s="1"/>
  <c r="AM42" i="1"/>
  <c r="AS42" i="1" s="1"/>
  <c r="AT42" i="1" s="1"/>
  <c r="AF6" i="1" l="1"/>
  <c r="AH6" i="1" l="1"/>
  <c r="AM6" i="1" l="1"/>
  <c r="AO6" i="1"/>
  <c r="AP6" i="1" l="1"/>
  <c r="AS6" i="1"/>
  <c r="AT6" i="1" l="1"/>
  <c r="Z11" i="1" l="1"/>
  <c r="Z57" i="1" l="1"/>
  <c r="G57" i="1" s="1"/>
  <c r="G11" i="1"/>
  <c r="AD11" i="1"/>
  <c r="AD57" i="1" l="1"/>
  <c r="AE11" i="1"/>
  <c r="AF11" i="1" l="1"/>
  <c r="AE57" i="1"/>
  <c r="AH11" i="1" l="1"/>
  <c r="AF57" i="1"/>
  <c r="AM11" i="1" l="1"/>
  <c r="AO11" i="1"/>
  <c r="AH57" i="1"/>
  <c r="AP11" i="1" l="1"/>
  <c r="AO57" i="1"/>
  <c r="AP57" i="1" s="1"/>
  <c r="AS11" i="1"/>
  <c r="AS57" i="1" s="1"/>
  <c r="AT57" i="1" s="1"/>
  <c r="AM57" i="1"/>
  <c r="AT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L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WACC held constant post June 2031.
</t>
        </r>
      </text>
    </comment>
    <comment ref="F18" authorId="0" shapeId="0" xr:uid="{FDA1E25A-4004-4609-A3B7-0229F6835467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to be updated for CPT submissions and RoD update for 2025-26.</t>
        </r>
      </text>
    </comment>
    <comment ref="L2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Price path held constant after 2030-31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I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These are contributions for supply of premium assets (above the technically accepted least cost option)</t>
        </r>
      </text>
    </comment>
    <comment ref="L5" authorId="0" shapeId="0" xr:uid="{4F23D989-D97A-4ACA-BE83-8F068A272266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Non-diversified max. peak demand</t>
        </r>
      </text>
    </comment>
    <comment ref="T5" authorId="0" shapeId="0" xr:uid="{A4169D39-0C69-49DE-A792-2061B94C4F44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Default is No = tick box unticked.</t>
        </r>
      </text>
    </comment>
    <comment ref="U5" authorId="0" shapeId="0" xr:uid="{9B767AC4-0D00-4194-8590-87402C6A3698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Default is No = tick box unticked.</t>
        </r>
      </text>
    </comment>
    <comment ref="Z5" authorId="0" shapeId="0" xr:uid="{8A1FD2EF-BDF0-4E1E-BE87-3943FEEE62C6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Enter as negative value. Includes overheads.</t>
        </r>
      </text>
    </comment>
    <comment ref="AB5" authorId="0" shapeId="0" xr:uid="{F31F1BC3-98E4-4760-A68E-302EC83A97FF}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This column is not needed.</t>
        </r>
      </text>
    </comment>
    <comment ref="AF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ASD: </t>
        </r>
        <r>
          <rPr>
            <sz val="9"/>
            <color indexed="81"/>
            <rFont val="Tahoma"/>
            <family val="2"/>
          </rPr>
          <t>The customer's maximum TALC contribution cannot exceed the upfront capital cost (including overheads) for TALC.</t>
        </r>
      </text>
    </comment>
    <comment ref="AG5" authorId="0" shapeId="0" xr:uid="{DD82B2F7-8D1D-48AA-A168-C4D80F045F08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Enter as positive value</t>
        </r>
      </text>
    </comment>
    <comment ref="AJ5" authorId="0" shapeId="0" xr:uid="{C1DBE848-8C2A-425A-9F53-4B49C35F7B78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Enter as a negative value. This is recalculated in the contribution model.</t>
        </r>
      </text>
    </comment>
    <comment ref="AK5" authorId="0" shapeId="0" xr:uid="{0A0939E6-3A72-47C8-BFBB-A12471C15877}">
      <text>
        <r>
          <rPr>
            <b/>
            <sz val="9"/>
            <color indexed="81"/>
            <rFont val="Tahoma"/>
            <family val="2"/>
          </rPr>
          <t>ASD:</t>
        </r>
        <r>
          <rPr>
            <sz val="9"/>
            <color indexed="81"/>
            <rFont val="Tahoma"/>
            <family val="2"/>
          </rPr>
          <t xml:space="preserve">
Enter as positive value</t>
        </r>
      </text>
    </comment>
    <comment ref="AO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ASD: </t>
        </r>
        <r>
          <rPr>
            <sz val="9"/>
            <color indexed="81"/>
            <rFont val="Tahoma"/>
            <family val="2"/>
          </rPr>
          <t>Combined impact of items a. (WACC) and d. (Updated MCR unit rates)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 Stonehouse</author>
  </authors>
  <commentList>
    <comment ref="T57" authorId="0" shapeId="0" xr:uid="{00000000-0006-0000-0400-000001000000}">
      <text>
        <r>
          <rPr>
            <sz val="8"/>
            <color indexed="81"/>
            <rFont val="Tahoma"/>
            <family val="2"/>
          </rPr>
          <t>This is the increase which, if applied year-on-year across the period, would lead to the total change shown above (in other words, the geometric mean).</t>
        </r>
      </text>
    </comment>
    <comment ref="G59" authorId="0" shapeId="0" xr:uid="{00000000-0006-0000-0400-000002000000}">
      <text>
        <r>
          <rPr>
            <sz val="8"/>
            <color indexed="81"/>
            <rFont val="Tahoma"/>
            <family val="2"/>
          </rPr>
          <t>This row is the indicative starting price (total revenue divided by total forecast energy, for consistency with other forms of control) escalated in accordance with the pricing formula (CPI-X). The expected revenue row is derived from this pricing formula applied to individual tariff components (with individual demand forecasts) from the Forecast revenues sheet. This reflects the fact that under a WAPC, the key figure targeted by the form of control is prices after consideration of demand.</t>
        </r>
      </text>
    </comment>
    <comment ref="G63" authorId="0" shapeId="0" xr:uid="{00000000-0006-0000-0400-000003000000}">
      <text>
        <r>
          <rPr>
            <sz val="8"/>
            <color indexed="81"/>
            <rFont val="Tahoma"/>
            <family val="2"/>
          </rPr>
          <t>This row is the base indicator and the price path ($/MWh) row is derived using total forecast energy. This reflects the fact that under a revenue cap, the expected revenue ($m) is the key figure targeted by the form of control.</t>
        </r>
      </text>
    </comment>
    <comment ref="G73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This row is the base indicator and the expected revenue ($m) row is derived using total forecast energy. This reflects the fact that under a revenue yield cap, the revenue yield ($/MWh) is the key figure targeted by the form of control.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<sst xmlns="http://schemas.openxmlformats.org/spreadsheetml/2006/main" count="954" uniqueCount="349">
  <si>
    <t>Construction Measure</t>
  </si>
  <si>
    <t>Workcode</t>
  </si>
  <si>
    <t>Construction Measure Description</t>
  </si>
  <si>
    <t>Contestability Flag</t>
  </si>
  <si>
    <t>Circuit ID</t>
  </si>
  <si>
    <t>1014</t>
  </si>
  <si>
    <t>IDIC</t>
  </si>
  <si>
    <t>Business Supply projects (type 1014)</t>
  </si>
  <si>
    <t>SUBTOTALS</t>
  </si>
  <si>
    <t>Premium supply % change</t>
  </si>
  <si>
    <t>Shared network connection point</t>
  </si>
  <si>
    <t>N</t>
  </si>
  <si>
    <t>HV Feeder</t>
  </si>
  <si>
    <t>Commercial LV</t>
  </si>
  <si>
    <t>Y</t>
  </si>
  <si>
    <t>Network tariff</t>
  </si>
  <si>
    <t>NASN21</t>
  </si>
  <si>
    <t>Distribution substation</t>
  </si>
  <si>
    <t>Augmentation threshold met?</t>
  </si>
  <si>
    <t>LV Feeder</t>
  </si>
  <si>
    <t>Average Cost Recovery - Excluding Gifted Assets</t>
  </si>
  <si>
    <t>CY2020</t>
  </si>
  <si>
    <t>MEDIUM DENSITY HOUSING - SUBDIVISION</t>
  </si>
  <si>
    <t>UNDERGROUND SERVICE INSTALLATION</t>
  </si>
  <si>
    <t>BUSINESS SUPPLY PROJECTS</t>
  </si>
  <si>
    <t>COMPLEX RESIDENTIAL SUPPLY PROJECTS</t>
  </si>
  <si>
    <t>LOW DENSITY HOUSING - SUBDIVISION</t>
  </si>
  <si>
    <t>COGENERATION PROJECTS</t>
  </si>
  <si>
    <t>PRIVATE ELECTRIC LINE REPLACEMENT - RESIDENTIAL</t>
  </si>
  <si>
    <t>Connection period (years)</t>
  </si>
  <si>
    <t>Contribution components</t>
  </si>
  <si>
    <t>Present value of forecast O&amp;M</t>
  </si>
  <si>
    <t>Total Incremental costs</t>
  </si>
  <si>
    <t>Incremental revenue less incremental costs</t>
  </si>
  <si>
    <t>less Asset credits / AusNet Funded works</t>
  </si>
  <si>
    <t>Marginal cost of reinforcement / ICSN - $/kVA x Peak Demand (kVA)</t>
  </si>
  <si>
    <t>NSP56</t>
  </si>
  <si>
    <t>Number of Units/lots</t>
  </si>
  <si>
    <t>(ICCS+ICSN)</t>
  </si>
  <si>
    <t>(IR)</t>
  </si>
  <si>
    <t>(IR-IC)</t>
  </si>
  <si>
    <t>Actual</t>
  </si>
  <si>
    <t>Forecast</t>
  </si>
  <si>
    <t>Change in Contributions</t>
  </si>
  <si>
    <t>Refer to 1014 projects sheet</t>
  </si>
  <si>
    <t>Undefined Commercial</t>
  </si>
  <si>
    <t>Upfront Capital works - TALC only</t>
  </si>
  <si>
    <t>Maximum TALC contribution</t>
  </si>
  <si>
    <t>TALC % change</t>
  </si>
  <si>
    <t>Confidential</t>
  </si>
  <si>
    <t>Year</t>
  </si>
  <si>
    <t>Counter</t>
  </si>
  <si>
    <t>2021-22</t>
  </si>
  <si>
    <t>2022-23</t>
  </si>
  <si>
    <t>2023-24</t>
  </si>
  <si>
    <t>2024-25</t>
  </si>
  <si>
    <t>2025-26</t>
  </si>
  <si>
    <t xml:space="preserve">Pre-tax Real WACC </t>
  </si>
  <si>
    <t>Varying</t>
  </si>
  <si>
    <t>PV factor</t>
  </si>
  <si>
    <t>Seasonality factor (if peak load operates for only part of the year)</t>
  </si>
  <si>
    <t>Price Path</t>
  </si>
  <si>
    <t>X factors</t>
  </si>
  <si>
    <t>WACC used in the connection evaluations</t>
  </si>
  <si>
    <t>Price path</t>
  </si>
  <si>
    <t>PV of real incremental revenue</t>
  </si>
  <si>
    <t>Network Tariff</t>
  </si>
  <si>
    <t>Diversity Factor</t>
  </si>
  <si>
    <t>Marginal Cost of Reinforcement</t>
  </si>
  <si>
    <t>Direct$ per MVA of additional capacity (excludes overheads)</t>
  </si>
  <si>
    <t xml:space="preserve">Discounted unit rate per level </t>
  </si>
  <si>
    <t>Discounted cumulative unit rate</t>
  </si>
  <si>
    <t>Residential</t>
  </si>
  <si>
    <t>Business</t>
  </si>
  <si>
    <t>LV Circuit</t>
  </si>
  <si>
    <t>MV Feeders</t>
  </si>
  <si>
    <t>Zone Substations</t>
  </si>
  <si>
    <t>Subtransmission Lines</t>
  </si>
  <si>
    <t>Default evaluation period</t>
  </si>
  <si>
    <t>Years</t>
  </si>
  <si>
    <t>Residential connection</t>
  </si>
  <si>
    <t>Non-Residential connection</t>
  </si>
  <si>
    <t>Bring Forward Factors</t>
  </si>
  <si>
    <t>Non-Residential</t>
  </si>
  <si>
    <t>Source: Formula as contained in AER Final decision - Guidance Paper - The AER’s conclusion on the benchmark upstream augmentation charge rates for CitiPower’s network, 25 June 2010, pp.11-12.</t>
  </si>
  <si>
    <r>
      <t>i</t>
    </r>
    <r>
      <rPr>
        <vertAlign val="superscript"/>
        <sz val="10"/>
        <rFont val="Arial"/>
        <family val="2"/>
      </rPr>
      <t>n</t>
    </r>
    <r>
      <rPr>
        <sz val="10"/>
        <rFont val="Arial"/>
        <family val="2"/>
      </rPr>
      <t xml:space="preserve"> / (i</t>
    </r>
    <r>
      <rPr>
        <vertAlign val="superscript"/>
        <sz val="10"/>
        <rFont val="Arial"/>
        <family val="2"/>
      </rPr>
      <t>n</t>
    </r>
    <r>
      <rPr>
        <sz val="10"/>
        <rFont val="Arial"/>
        <family val="2"/>
      </rPr>
      <t xml:space="preserve"> + 1)</t>
    </r>
  </si>
  <si>
    <t>source: AusNet Services</t>
  </si>
  <si>
    <t>REFCL MCR</t>
  </si>
  <si>
    <t>Excl REFCL</t>
  </si>
  <si>
    <t>Incl REFCL</t>
  </si>
  <si>
    <t>Updated Unit Rates &amp; Bring Forward Factors</t>
  </si>
  <si>
    <t>Distribution Substation</t>
  </si>
  <si>
    <t>Level</t>
  </si>
  <si>
    <t>Zone Substation</t>
  </si>
  <si>
    <t>Sub-transmission network</t>
  </si>
  <si>
    <t>Add Overheads</t>
  </si>
  <si>
    <t>Total MCR / ICSN amount</t>
  </si>
  <si>
    <t>MCR (Unit Rate * diversified demand)</t>
  </si>
  <si>
    <t>Augmentation Unit Rate - cumulative ($/KVA)</t>
  </si>
  <si>
    <t>Energy Take-up rate (where projects are staged over several years)</t>
  </si>
  <si>
    <t>Agreed Max Demand KW per lot</t>
  </si>
  <si>
    <t>Agreed Max Demand KVA per lot</t>
  </si>
  <si>
    <t>Customer's diversified demand (KVA) - All lots</t>
  </si>
  <si>
    <t>KW to KVA factor</t>
  </si>
  <si>
    <t>% Change</t>
  </si>
  <si>
    <t>Change in MCR</t>
  </si>
  <si>
    <t>Updated Marginal cost of reinforcement / ICSN component ($/kVA x Peak Demand (kVA))</t>
  </si>
  <si>
    <t>Network level for MCR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</si>
  <si>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</si>
  <si>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</si>
  <si>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</si>
  <si>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</si>
  <si>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</si>
  <si>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</si>
  <si>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</si>
  <si>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</si>
  <si>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</si>
  <si>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Previous MCR amount</t>
  </si>
  <si>
    <t>Updated Premium supply capital cost</t>
  </si>
  <si>
    <t>Updated TALC contribution (ex GST)</t>
  </si>
  <si>
    <t>Updated Premium supply contribution (ex GST)</t>
  </si>
  <si>
    <t>TALC contribution (ex GST)</t>
  </si>
  <si>
    <t>Premium supply contribution (ex GST)</t>
  </si>
  <si>
    <t>(A)</t>
  </si>
  <si>
    <t>(B)</t>
  </si>
  <si>
    <t>(A+B)</t>
  </si>
  <si>
    <t>Total Customer Contribution (ex GST)</t>
  </si>
  <si>
    <t>Total Contribution change (ex GST)</t>
  </si>
  <si>
    <t>Total Contribution % change</t>
  </si>
  <si>
    <t>Premium supply $ change (ex GST)</t>
  </si>
  <si>
    <t>TALC $ change (ex GST)</t>
  </si>
  <si>
    <t>Customer's non-diversified demand (KVA) - All lots</t>
  </si>
  <si>
    <t>2021-26</t>
  </si>
  <si>
    <t>O&amp;M Ratio</t>
  </si>
  <si>
    <t>IR after removing opex from network revenue</t>
  </si>
  <si>
    <t>Total</t>
  </si>
  <si>
    <t>Building Block Components ($m Nominal)</t>
  </si>
  <si>
    <t>Return on Capital</t>
  </si>
  <si>
    <t>Return of Capital (regulatory depreciation)</t>
  </si>
  <si>
    <t>Operating Expenditure</t>
  </si>
  <si>
    <t>Revenue Adjustments</t>
  </si>
  <si>
    <t>Net Tax Allowance</t>
  </si>
  <si>
    <t>Annual Revenue Requirement (unsmoothed)</t>
  </si>
  <si>
    <t>NPV</t>
  </si>
  <si>
    <t>Revenue Smoothing ($m Nominal)</t>
  </si>
  <si>
    <t>Weighted Average Price Cap</t>
  </si>
  <si>
    <t>Expected Revenue (smoothed)</t>
  </si>
  <si>
    <t>Revenue Cap</t>
  </si>
  <si>
    <t>Revenue Yield</t>
  </si>
  <si>
    <t>Price Path Analysis ($ Nominal)</t>
  </si>
  <si>
    <t>Forecast Energy</t>
  </si>
  <si>
    <t>GWh</t>
  </si>
  <si>
    <t>Expected Revenue</t>
  </si>
  <si>
    <t>$m Nominal</t>
  </si>
  <si>
    <t>Total cumulative change</t>
  </si>
  <si>
    <t>Annual Percentage Impact on Revenues</t>
  </si>
  <si>
    <t>%</t>
  </si>
  <si>
    <t>Average yearly change</t>
  </si>
  <si>
    <t>$/MWh</t>
  </si>
  <si>
    <t>Annual Percentage Impact on Prices</t>
  </si>
  <si>
    <t>$m Real</t>
  </si>
  <si>
    <t>2027-31</t>
  </si>
  <si>
    <t>Pasted in from contributions model</t>
  </si>
  <si>
    <t>2027–28</t>
  </si>
  <si>
    <t>2028–29</t>
  </si>
  <si>
    <t>2029–30</t>
  </si>
  <si>
    <t>2030–31</t>
  </si>
  <si>
    <t>2035-36</t>
  </si>
  <si>
    <t>2036-37</t>
  </si>
  <si>
    <t>2037-38</t>
  </si>
  <si>
    <t xml:space="preserve">AusNet D Initial Proposal WACC for 2027-31 period (pre-tax real) </t>
  </si>
  <si>
    <t>2020-21</t>
  </si>
  <si>
    <t>Source:</t>
  </si>
  <si>
    <t>DB032 rpt</t>
  </si>
  <si>
    <t>Main inputs</t>
  </si>
  <si>
    <t>Project_Info</t>
  </si>
  <si>
    <t>Do not change</t>
  </si>
  <si>
    <t>See CC overview tab for split</t>
  </si>
  <si>
    <t>CC overview - row 15</t>
  </si>
  <si>
    <t>CC overview - row 24</t>
  </si>
  <si>
    <t>Apply REFCL MCR?</t>
  </si>
  <si>
    <t>Current Period</t>
  </si>
  <si>
    <t>2027-31 Period</t>
  </si>
  <si>
    <t>Price path (2023-24 prices as the base)</t>
  </si>
  <si>
    <t>Base Tariff Revenue ($2023-24) - before adjustments</t>
  </si>
  <si>
    <t>Adjusted Tariff Revenue ($2023-24) - before price path adjustments</t>
  </si>
  <si>
    <t>Adjusted Tariff Revenue ($2023-24) - after price path adjustments</t>
  </si>
  <si>
    <t>Only first 5 years are pasted in from Main inputs tab - if the tick box option has been applied</t>
  </si>
  <si>
    <t>See Main inputs tab - seasonality factor must less than or equal to a value of 1</t>
  </si>
  <si>
    <t>Info only - DB032 rpt</t>
  </si>
  <si>
    <t>Project Fee (excl GST) collected to date</t>
  </si>
  <si>
    <t>New column</t>
  </si>
  <si>
    <t>($2023-24/MVA)</t>
  </si>
  <si>
    <t>Agreed Max Demand per lot (KW)</t>
  </si>
  <si>
    <t>Agreed Max Demand per lot (KVA)</t>
  </si>
  <si>
    <t>Annual revenue based on AusNet Services 2023-24 Approved Distribution tariffs, the customer's agreed max. demand and calculated annual energy consumption.</t>
  </si>
  <si>
    <t>Original Contribution ex GST (2022/2023)</t>
  </si>
  <si>
    <t>75090096</t>
  </si>
  <si>
    <t>CC_Overview tab or AtoP Pg1 - Key Financial information</t>
  </si>
  <si>
    <t>75077404</t>
  </si>
  <si>
    <t>Comment</t>
  </si>
  <si>
    <t>Supply upgrade. Agreed Max demand KVA of 45.0 is the incremental installed capacity value (shown in Main inputs)</t>
  </si>
  <si>
    <t>See DB032 rpt. Or see Main inputs</t>
  </si>
  <si>
    <t>75077903</t>
  </si>
  <si>
    <t>Seasonality factor (Peak load in months)</t>
  </si>
  <si>
    <t>NAST12</t>
  </si>
  <si>
    <t>Actual cost including OHDs</t>
  </si>
  <si>
    <t>Average 2027-31</t>
  </si>
  <si>
    <t>Y/N Selector</t>
  </si>
  <si>
    <t>Tariff type</t>
  </si>
  <si>
    <t>Residential LV</t>
  </si>
  <si>
    <t>22kV</t>
  </si>
  <si>
    <t>66KV &lt; 20km from TS and &lt; 25MVA</t>
  </si>
  <si>
    <t>66KV &gt; 20km from TS and &lt; 25MVA</t>
  </si>
  <si>
    <t>66KV &lt; 20km from TS and &gt; 25MVA</t>
  </si>
  <si>
    <t>Load Profile</t>
  </si>
  <si>
    <t>User Entered Profile</t>
  </si>
  <si>
    <t>Average-Residential</t>
  </si>
  <si>
    <t>Average-Residential with Avg solar take-up</t>
  </si>
  <si>
    <t>Residential with Hot Water</t>
  </si>
  <si>
    <t>Residential with Hot Water &amp; Avg solar take-up</t>
  </si>
  <si>
    <t>AGED CARE FACILITY</t>
  </si>
  <si>
    <t>BAKERY</t>
  </si>
  <si>
    <t>BANK</t>
  </si>
  <si>
    <t>COUNCIL</t>
  </si>
  <si>
    <t>DAIRY - PRODUCTION</t>
  </si>
  <si>
    <t>DAIRY - ROTARY</t>
  </si>
  <si>
    <t>FAST FOOD</t>
  </si>
  <si>
    <t>LARGE RETAILER</t>
  </si>
  <si>
    <t>PETROL STATION</t>
  </si>
  <si>
    <t>SCHOOL</t>
  </si>
  <si>
    <t>SHOPPING CENTRE</t>
  </si>
  <si>
    <t>SUPERMARKET</t>
  </si>
  <si>
    <t>Undefined Industrial</t>
  </si>
  <si>
    <t>Connection Profile 
(choose from list)</t>
  </si>
  <si>
    <t>Tariff Type (choose from list)</t>
  </si>
  <si>
    <t>Shared network connection point (choose from list)</t>
  </si>
  <si>
    <t>75087003</t>
  </si>
  <si>
    <t>75089640</t>
  </si>
  <si>
    <t>75072730</t>
  </si>
  <si>
    <t>75055038</t>
  </si>
  <si>
    <t>75079161</t>
  </si>
  <si>
    <t>75088679</t>
  </si>
  <si>
    <t>75085538</t>
  </si>
  <si>
    <t>75089294</t>
  </si>
  <si>
    <t>75093308</t>
  </si>
  <si>
    <t>75085366</t>
  </si>
  <si>
    <t>75088855</t>
  </si>
  <si>
    <t>75090071</t>
  </si>
  <si>
    <t>75094398</t>
  </si>
  <si>
    <t>75082753</t>
  </si>
  <si>
    <t>75079993</t>
  </si>
  <si>
    <t>75083984</t>
  </si>
  <si>
    <t>75090929</t>
  </si>
  <si>
    <t>75075826</t>
  </si>
  <si>
    <t>75079446</t>
  </si>
  <si>
    <t>75091372</t>
  </si>
  <si>
    <t>75084806</t>
  </si>
  <si>
    <t>75084512</t>
  </si>
  <si>
    <t>75089909</t>
  </si>
  <si>
    <t>75084775</t>
  </si>
  <si>
    <t>75086649</t>
  </si>
  <si>
    <t>75080863</t>
  </si>
  <si>
    <t>75077056</t>
  </si>
  <si>
    <t>75096058</t>
  </si>
  <si>
    <t>75043272</t>
  </si>
  <si>
    <t>75090268</t>
  </si>
  <si>
    <t>Dairy - Rotary</t>
  </si>
  <si>
    <t>School</t>
  </si>
  <si>
    <t>NEE21</t>
  </si>
  <si>
    <t>75060522</t>
  </si>
  <si>
    <t>75093476</t>
  </si>
  <si>
    <t>75088155</t>
  </si>
  <si>
    <t>NSP75</t>
  </si>
  <si>
    <t>75089798</t>
  </si>
  <si>
    <t>75081423</t>
  </si>
  <si>
    <t>75078358</t>
  </si>
  <si>
    <t>75074655</t>
  </si>
  <si>
    <t>75081130</t>
  </si>
  <si>
    <t>75085164</t>
  </si>
  <si>
    <t>75078211</t>
  </si>
  <si>
    <t>NEE11</t>
  </si>
  <si>
    <t>Augmentation Thresholds</t>
  </si>
  <si>
    <t>Customer Type</t>
  </si>
  <si>
    <t>KVA</t>
  </si>
  <si>
    <t>Residential customer on SWER</t>
  </si>
  <si>
    <t>Residential customer eslewhere</t>
  </si>
  <si>
    <t>Business customers</t>
  </si>
  <si>
    <t>Is the connection point single phase / SWER?</t>
  </si>
  <si>
    <t>NSP81</t>
  </si>
  <si>
    <t>NEE12</t>
  </si>
  <si>
    <t>check</t>
  </si>
  <si>
    <t>Number of lots</t>
  </si>
  <si>
    <t>75078492</t>
  </si>
  <si>
    <t>75084229</t>
  </si>
  <si>
    <t>AusNet Services - Revenue and Price Summary - DNSP PTRM - version 5</t>
  </si>
  <si>
    <t/>
  </si>
  <si>
    <t>Building Block Components ($m Real 2020-21)</t>
  </si>
  <si>
    <t>Revenue Smoothing ($m Real 2020-21)</t>
  </si>
  <si>
    <t>Price Path Analysis ($ Real 2020-21)</t>
  </si>
  <si>
    <t>75079264</t>
  </si>
  <si>
    <t>75080861</t>
  </si>
  <si>
    <t>75067688</t>
  </si>
  <si>
    <t>BRA33</t>
  </si>
  <si>
    <t>PHI13</t>
  </si>
  <si>
    <t>2601661991-2</t>
  </si>
  <si>
    <t>TGN23</t>
  </si>
  <si>
    <t>FTR22</t>
  </si>
  <si>
    <t>LGA13</t>
  </si>
  <si>
    <t>MFA22</t>
  </si>
  <si>
    <t>2108169100-1</t>
  </si>
  <si>
    <t>DRN21</t>
  </si>
  <si>
    <t>WGL15</t>
  </si>
  <si>
    <t>BRA32</t>
  </si>
  <si>
    <t>PHM33</t>
  </si>
  <si>
    <t>MOE25</t>
  </si>
  <si>
    <t>3</t>
  </si>
  <si>
    <t>LDL22</t>
  </si>
  <si>
    <t>MSD2</t>
  </si>
  <si>
    <t>2108580800-4</t>
  </si>
  <si>
    <t>2602106508-B</t>
  </si>
  <si>
    <t>TGN31</t>
  </si>
  <si>
    <t>NLA32</t>
  </si>
  <si>
    <t>TGN11</t>
  </si>
  <si>
    <t>2601869977-B</t>
  </si>
  <si>
    <t>CYN22</t>
  </si>
  <si>
    <t>2601735789-4</t>
  </si>
  <si>
    <t>MFA21</t>
  </si>
  <si>
    <t>SLE32</t>
  </si>
  <si>
    <t>LLG14</t>
  </si>
  <si>
    <t>2119083000-4</t>
  </si>
  <si>
    <t>LDL12</t>
  </si>
  <si>
    <t>2601657794-2</t>
  </si>
  <si>
    <t>FTR21</t>
  </si>
  <si>
    <t>2601616288-5</t>
  </si>
  <si>
    <t>MYT21</t>
  </si>
  <si>
    <t>FTR12</t>
  </si>
  <si>
    <t>WOTS25</t>
  </si>
  <si>
    <t>2139296300-4</t>
  </si>
  <si>
    <t>MFA34</t>
  </si>
  <si>
    <t>LDL13</t>
  </si>
  <si>
    <t>2601745555-D</t>
  </si>
  <si>
    <t>RWT15</t>
  </si>
  <si>
    <t>RWN31</t>
  </si>
  <si>
    <t>WGI33</t>
  </si>
  <si>
    <t>MFA23</t>
  </si>
  <si>
    <t>OHD rate RY24 - FD</t>
  </si>
  <si>
    <t>1. Updating the pre-tax real WACC values in this table will update both the discounted duos revenue and future O&amp;M costs in this workbook.</t>
  </si>
  <si>
    <t>1. Updating these X factors will change the price path below and flow through to the duos revenue calculations in this workbook.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</si>
</sst>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\$#,##0"/>
    <numFmt numFmtId="165" formatCode="0.0%"/>
    <numFmt numFmtId="166" formatCode="&quot;$&quot;#,##0"/>
    <numFmt numFmtId="167" formatCode="&quot;$&quot;#,##0.00"/>
    <numFmt numFmtId="168" formatCode="0.0"/>
    <numFmt numFmtId="169" formatCode="_(* #,##0.00_);_(* \(#,##0.00\);_(* &quot;-&quot;??_);_(@_)"/>
    <numFmt numFmtId="170" formatCode="_-&quot;$&quot;* #,##0.0_-;\-&quot;$&quot;* #,##0.0_-;_-&quot;$&quot;* &quot;-&quot;??_-;_-@_-"/>
    <numFmt numFmtId="171" formatCode="_-* #,##0_-;\-* #,##0_-;_-* &quot;-&quot;??_-;_-@_-"/>
    <numFmt numFmtId="172" formatCode="0.000000000000000%"/>
    <numFmt numFmtId="173" formatCode="0.0000000000000000%"/>
    <numFmt numFmtId="174" formatCode="&quot;$&quot;#,##0.000;[Red]\-&quot;$&quot;#,##0.000"/>
    <numFmt numFmtId="175" formatCode="&quot;$&quot;#,##0;\(&quot;$&quot;#,##0\)"/>
    <numFmt numFmtId="176" formatCode="0%;\(0%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u/>
      <sz val="11"/>
      <color theme="1"/>
      <name val="Calibri"/>
      <family val="2"/>
      <scheme val="minor"/>
    </font>
    <font>
      <i/>
      <sz val="10"/>
      <color rgb="FF00206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877A6"/>
      </left>
      <right style="thin">
        <color rgb="FF3877A6"/>
      </right>
      <top/>
      <bottom style="thin">
        <color rgb="FFA5A5B1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9" fontId="0" fillId="0" borderId="0" xfId="1" applyFont="1"/>
    <xf numFmtId="0" fontId="3" fillId="5" borderId="0" xfId="0" applyFont="1" applyFill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0" fillId="0" borderId="0" xfId="0" applyAlignment="1">
      <alignment horizontal="center"/>
    </xf>
    <xf numFmtId="49" fontId="2" fillId="7" borderId="0" xfId="0" applyNumberFormat="1" applyFont="1" applyFill="1" applyAlignment="1">
      <alignment horizontal="center" vertical="center" wrapText="1"/>
    </xf>
    <xf numFmtId="9" fontId="0" fillId="0" borderId="0" xfId="1" applyFont="1" applyFill="1"/>
    <xf numFmtId="0" fontId="8" fillId="0" borderId="0" xfId="0" applyFont="1"/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8" xfId="0" applyBorder="1"/>
    <xf numFmtId="9" fontId="0" fillId="0" borderId="8" xfId="0" applyNumberFormat="1" applyBorder="1"/>
    <xf numFmtId="9" fontId="0" fillId="0" borderId="9" xfId="0" applyNumberFormat="1" applyBorder="1"/>
    <xf numFmtId="9" fontId="0" fillId="0" borderId="10" xfId="0" applyNumberFormat="1" applyBorder="1"/>
    <xf numFmtId="0" fontId="0" fillId="0" borderId="11" xfId="0" applyBorder="1"/>
    <xf numFmtId="9" fontId="0" fillId="0" borderId="11" xfId="0" applyNumberFormat="1" applyBorder="1"/>
    <xf numFmtId="9" fontId="0" fillId="0" borderId="0" xfId="0" applyNumberFormat="1"/>
    <xf numFmtId="9" fontId="0" fillId="0" borderId="12" xfId="0" applyNumberFormat="1" applyBorder="1"/>
    <xf numFmtId="9" fontId="0" fillId="0" borderId="0" xfId="1" applyFont="1" applyFill="1" applyBorder="1"/>
    <xf numFmtId="9" fontId="9" fillId="0" borderId="11" xfId="0" applyNumberFormat="1" applyFont="1" applyBorder="1"/>
    <xf numFmtId="9" fontId="9" fillId="0" borderId="0" xfId="0" applyNumberFormat="1" applyFont="1"/>
    <xf numFmtId="9" fontId="9" fillId="0" borderId="12" xfId="0" applyNumberFormat="1" applyFont="1" applyBorder="1"/>
    <xf numFmtId="0" fontId="9" fillId="0" borderId="11" xfId="0" applyFont="1" applyBorder="1"/>
    <xf numFmtId="0" fontId="0" fillId="0" borderId="13" xfId="0" applyBorder="1"/>
    <xf numFmtId="9" fontId="0" fillId="0" borderId="13" xfId="0" applyNumberFormat="1" applyBorder="1"/>
    <xf numFmtId="9" fontId="0" fillId="0" borderId="14" xfId="1" applyFont="1" applyFill="1" applyBorder="1"/>
    <xf numFmtId="9" fontId="0" fillId="0" borderId="14" xfId="0" applyNumberFormat="1" applyBorder="1"/>
    <xf numFmtId="9" fontId="0" fillId="0" borderId="15" xfId="0" applyNumberFormat="1" applyBorder="1"/>
    <xf numFmtId="49" fontId="2" fillId="5" borderId="16" xfId="0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3" borderId="0" xfId="0" applyFont="1" applyFill="1" applyAlignment="1">
      <alignment horizontal="left"/>
    </xf>
    <xf numFmtId="164" fontId="10" fillId="3" borderId="0" xfId="0" applyNumberFormat="1" applyFont="1" applyFill="1"/>
    <xf numFmtId="9" fontId="10" fillId="3" borderId="0" xfId="1" applyFont="1" applyFill="1" applyAlignment="1"/>
    <xf numFmtId="164" fontId="10" fillId="0" borderId="0" xfId="0" applyNumberFormat="1" applyFont="1" applyAlignment="1">
      <alignment horizontal="right" wrapText="1"/>
    </xf>
    <xf numFmtId="49" fontId="10" fillId="0" borderId="0" xfId="0" applyNumberFormat="1" applyFont="1" applyAlignment="1">
      <alignment horizontal="left"/>
    </xf>
    <xf numFmtId="0" fontId="3" fillId="10" borderId="0" xfId="0" applyFont="1" applyFill="1" applyAlignment="1">
      <alignment horizontal="center" vertical="center" wrapText="1"/>
    </xf>
    <xf numFmtId="9" fontId="9" fillId="6" borderId="11" xfId="0" applyNumberFormat="1" applyFont="1" applyFill="1" applyBorder="1"/>
    <xf numFmtId="9" fontId="9" fillId="6" borderId="0" xfId="0" applyNumberFormat="1" applyFont="1" applyFill="1"/>
    <xf numFmtId="9" fontId="9" fillId="6" borderId="12" xfId="0" applyNumberFormat="1" applyFont="1" applyFill="1" applyBorder="1"/>
    <xf numFmtId="165" fontId="0" fillId="0" borderId="0" xfId="1" applyNumberFormat="1" applyFont="1"/>
    <xf numFmtId="10" fontId="0" fillId="0" borderId="0" xfId="1" applyNumberFormat="1" applyFont="1"/>
    <xf numFmtId="10" fontId="0" fillId="0" borderId="0" xfId="0" applyNumberFormat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166" fontId="0" fillId="0" borderId="0" xfId="0" applyNumberFormat="1"/>
    <xf numFmtId="2" fontId="0" fillId="0" borderId="0" xfId="0" applyNumberFormat="1"/>
    <xf numFmtId="165" fontId="0" fillId="0" borderId="0" xfId="0" applyNumberFormat="1"/>
    <xf numFmtId="167" fontId="0" fillId="0" borderId="0" xfId="0" applyNumberFormat="1"/>
    <xf numFmtId="10" fontId="12" fillId="0" borderId="0" xfId="0" applyNumberFormat="1" applyFont="1"/>
    <xf numFmtId="49" fontId="12" fillId="0" borderId="0" xfId="0" applyNumberFormat="1" applyFont="1" applyAlignment="1">
      <alignment horizontal="center"/>
    </xf>
    <xf numFmtId="10" fontId="0" fillId="0" borderId="0" xfId="1" applyNumberFormat="1" applyFont="1" applyFill="1"/>
    <xf numFmtId="0" fontId="6" fillId="0" borderId="0" xfId="0" applyFont="1" applyAlignment="1">
      <alignment horizontal="center" wrapText="1"/>
    </xf>
    <xf numFmtId="168" fontId="0" fillId="0" borderId="0" xfId="0" applyNumberFormat="1"/>
    <xf numFmtId="0" fontId="13" fillId="0" borderId="0" xfId="0" applyFont="1"/>
    <xf numFmtId="0" fontId="14" fillId="0" borderId="0" xfId="0" applyFont="1"/>
    <xf numFmtId="6" fontId="0" fillId="0" borderId="0" xfId="0" applyNumberFormat="1"/>
    <xf numFmtId="6" fontId="6" fillId="0" borderId="0" xfId="0" applyNumberFormat="1" applyFont="1"/>
    <xf numFmtId="0" fontId="16" fillId="0" borderId="0" xfId="0" applyFont="1"/>
    <xf numFmtId="0" fontId="15" fillId="0" borderId="0" xfId="0" applyFont="1"/>
    <xf numFmtId="0" fontId="0" fillId="0" borderId="0" xfId="0" applyAlignment="1">
      <alignment horizontal="left" indent="1"/>
    </xf>
    <xf numFmtId="0" fontId="17" fillId="0" borderId="0" xfId="0" applyFont="1" applyAlignment="1">
      <alignment horizontal="center"/>
    </xf>
    <xf numFmtId="166" fontId="6" fillId="0" borderId="0" xfId="0" applyNumberFormat="1" applyFont="1"/>
    <xf numFmtId="0" fontId="19" fillId="0" borderId="0" xfId="0" applyFont="1"/>
    <xf numFmtId="0" fontId="20" fillId="0" borderId="0" xfId="0" applyFont="1" applyAlignment="1">
      <alignment horizontal="center"/>
    </xf>
    <xf numFmtId="164" fontId="10" fillId="0" borderId="0" xfId="0" applyNumberFormat="1" applyFont="1"/>
    <xf numFmtId="164" fontId="10" fillId="11" borderId="0" xfId="0" applyNumberFormat="1" applyFont="1" applyFill="1"/>
    <xf numFmtId="0" fontId="3" fillId="12" borderId="0" xfId="0" applyFont="1" applyFill="1" applyAlignment="1">
      <alignment horizontal="center" vertical="center" wrapText="1"/>
    </xf>
    <xf numFmtId="164" fontId="10" fillId="12" borderId="0" xfId="0" applyNumberFormat="1" applyFont="1" applyFill="1"/>
    <xf numFmtId="0" fontId="3" fillId="11" borderId="0" xfId="0" applyFont="1" applyFill="1" applyAlignment="1">
      <alignment horizontal="center" vertical="center" wrapText="1"/>
    </xf>
    <xf numFmtId="164" fontId="11" fillId="11" borderId="0" xfId="0" applyNumberFormat="1" applyFont="1" applyFill="1"/>
    <xf numFmtId="10" fontId="0" fillId="0" borderId="0" xfId="1" applyNumberFormat="1" applyFont="1" applyFill="1" applyBorder="1"/>
    <xf numFmtId="165" fontId="0" fillId="0" borderId="0" xfId="1" applyNumberFormat="1" applyFont="1" applyFill="1"/>
    <xf numFmtId="0" fontId="0" fillId="14" borderId="0" xfId="0" applyFill="1"/>
    <xf numFmtId="0" fontId="13" fillId="14" borderId="0" xfId="0" applyFont="1" applyFill="1"/>
    <xf numFmtId="0" fontId="13" fillId="14" borderId="0" xfId="0" applyFont="1" applyFill="1" applyAlignment="1">
      <alignment horizontal="center"/>
    </xf>
    <xf numFmtId="10" fontId="1" fillId="14" borderId="0" xfId="1" applyNumberFormat="1" applyFill="1" applyBorder="1"/>
    <xf numFmtId="43" fontId="1" fillId="14" borderId="0" xfId="3" applyFill="1" applyBorder="1"/>
    <xf numFmtId="0" fontId="0" fillId="11" borderId="0" xfId="0" applyFill="1"/>
    <xf numFmtId="0" fontId="21" fillId="14" borderId="0" xfId="0" applyFont="1" applyFill="1" applyAlignment="1">
      <alignment horizontal="left"/>
    </xf>
    <xf numFmtId="0" fontId="13" fillId="15" borderId="7" xfId="0" applyFont="1" applyFill="1" applyBorder="1" applyAlignment="1">
      <alignment horizontal="center"/>
    </xf>
    <xf numFmtId="0" fontId="21" fillId="15" borderId="7" xfId="0" applyFont="1" applyFill="1" applyBorder="1" applyAlignment="1">
      <alignment horizontal="left"/>
    </xf>
    <xf numFmtId="0" fontId="13" fillId="15" borderId="7" xfId="0" applyFont="1" applyFill="1" applyBorder="1" applyAlignment="1">
      <alignment horizontal="right"/>
    </xf>
    <xf numFmtId="0" fontId="0" fillId="16" borderId="7" xfId="0" applyFill="1" applyBorder="1"/>
    <xf numFmtId="0" fontId="13" fillId="16" borderId="7" xfId="0" applyFont="1" applyFill="1" applyBorder="1" applyAlignment="1">
      <alignment vertical="center"/>
    </xf>
    <xf numFmtId="10" fontId="1" fillId="16" borderId="7" xfId="1" applyNumberFormat="1" applyFill="1" applyBorder="1"/>
    <xf numFmtId="0" fontId="17" fillId="11" borderId="0" xfId="0" applyFont="1" applyFill="1"/>
    <xf numFmtId="169" fontId="0" fillId="11" borderId="0" xfId="0" applyNumberFormat="1" applyFill="1"/>
    <xf numFmtId="169" fontId="0" fillId="11" borderId="17" xfId="0" applyNumberFormat="1" applyFill="1" applyBorder="1"/>
    <xf numFmtId="0" fontId="13" fillId="11" borderId="0" xfId="0" applyFont="1" applyFill="1"/>
    <xf numFmtId="169" fontId="22" fillId="11" borderId="18" xfId="0" applyNumberFormat="1" applyFont="1" applyFill="1" applyBorder="1"/>
    <xf numFmtId="169" fontId="13" fillId="11" borderId="0" xfId="0" applyNumberFormat="1" applyFont="1" applyFill="1"/>
    <xf numFmtId="169" fontId="13" fillId="11" borderId="17" xfId="0" applyNumberFormat="1" applyFont="1" applyFill="1" applyBorder="1"/>
    <xf numFmtId="169" fontId="0" fillId="16" borderId="19" xfId="0" applyNumberFormat="1" applyFill="1" applyBorder="1"/>
    <xf numFmtId="0" fontId="17" fillId="16" borderId="7" xfId="0" applyFont="1" applyFill="1" applyBorder="1"/>
    <xf numFmtId="0" fontId="17" fillId="14" borderId="0" xfId="0" applyFont="1" applyFill="1"/>
    <xf numFmtId="169" fontId="0" fillId="14" borderId="0" xfId="0" applyNumberFormat="1" applyFill="1"/>
    <xf numFmtId="10" fontId="17" fillId="11" borderId="0" xfId="1" applyNumberFormat="1" applyFont="1" applyFill="1" applyBorder="1" applyAlignment="1">
      <alignment horizontal="right"/>
    </xf>
    <xf numFmtId="0" fontId="0" fillId="11" borderId="0" xfId="0" applyFill="1" applyAlignment="1">
      <alignment horizontal="right"/>
    </xf>
    <xf numFmtId="10" fontId="17" fillId="11" borderId="0" xfId="1" applyNumberFormat="1" applyFont="1" applyFill="1" applyBorder="1" applyAlignment="1">
      <alignment horizontal="center"/>
    </xf>
    <xf numFmtId="170" fontId="0" fillId="11" borderId="0" xfId="0" applyNumberFormat="1" applyFill="1"/>
    <xf numFmtId="10" fontId="0" fillId="11" borderId="0" xfId="1" applyNumberFormat="1" applyFont="1" applyFill="1" applyBorder="1"/>
    <xf numFmtId="10" fontId="17" fillId="16" borderId="7" xfId="1" applyNumberFormat="1" applyFont="1" applyFill="1" applyBorder="1"/>
    <xf numFmtId="10" fontId="13" fillId="16" borderId="7" xfId="1" applyNumberFormat="1" applyFont="1" applyFill="1" applyBorder="1"/>
    <xf numFmtId="171" fontId="0" fillId="11" borderId="0" xfId="0" applyNumberFormat="1" applyFill="1"/>
    <xf numFmtId="3" fontId="15" fillId="11" borderId="18" xfId="0" applyNumberFormat="1" applyFont="1" applyFill="1" applyBorder="1"/>
    <xf numFmtId="3" fontId="0" fillId="11" borderId="0" xfId="0" applyNumberFormat="1" applyFill="1"/>
    <xf numFmtId="169" fontId="17" fillId="11" borderId="0" xfId="4" applyNumberFormat="1" applyFont="1" applyFill="1" applyBorder="1" applyAlignment="1">
      <alignment horizontal="center"/>
    </xf>
    <xf numFmtId="172" fontId="0" fillId="14" borderId="0" xfId="0" applyNumberFormat="1" applyFill="1"/>
    <xf numFmtId="169" fontId="15" fillId="11" borderId="18" xfId="4" applyNumberFormat="1" applyFont="1" applyFill="1" applyBorder="1" applyAlignment="1">
      <alignment horizontal="center"/>
    </xf>
    <xf numFmtId="10" fontId="0" fillId="16" borderId="19" xfId="0" applyNumberFormat="1" applyFill="1" applyBorder="1"/>
    <xf numFmtId="10" fontId="0" fillId="11" borderId="0" xfId="1" applyNumberFormat="1" applyFont="1" applyFill="1" applyBorder="1" applyAlignment="1">
      <alignment horizontal="right"/>
    </xf>
    <xf numFmtId="10" fontId="0" fillId="16" borderId="20" xfId="0" applyNumberFormat="1" applyFill="1" applyBorder="1"/>
    <xf numFmtId="2" fontId="17" fillId="11" borderId="0" xfId="0" applyNumberFormat="1" applyFont="1" applyFill="1"/>
    <xf numFmtId="173" fontId="0" fillId="14" borderId="0" xfId="0" applyNumberFormat="1" applyFill="1"/>
    <xf numFmtId="169" fontId="15" fillId="11" borderId="18" xfId="0" applyNumberFormat="1" applyFont="1" applyFill="1" applyBorder="1"/>
    <xf numFmtId="44" fontId="17" fillId="11" borderId="0" xfId="4" applyFont="1" applyFill="1" applyBorder="1" applyAlignment="1">
      <alignment horizontal="center"/>
    </xf>
    <xf numFmtId="49" fontId="2" fillId="17" borderId="0" xfId="0" applyNumberFormat="1" applyFont="1" applyFill="1" applyAlignment="1">
      <alignment horizontal="center" vertical="center" wrapText="1"/>
    </xf>
    <xf numFmtId="8" fontId="0" fillId="0" borderId="0" xfId="0" applyNumberFormat="1"/>
    <xf numFmtId="49" fontId="2" fillId="2" borderId="0" xfId="0" applyNumberFormat="1" applyFont="1" applyFill="1" applyAlignment="1">
      <alignment horizontal="center" vertical="center" wrapText="1"/>
    </xf>
    <xf numFmtId="9" fontId="10" fillId="0" borderId="0" xfId="1" applyFont="1" applyFill="1" applyBorder="1" applyAlignment="1">
      <alignment horizontal="right" wrapText="1"/>
    </xf>
    <xf numFmtId="0" fontId="1" fillId="0" borderId="0" xfId="7"/>
    <xf numFmtId="171" fontId="1" fillId="0" borderId="0" xfId="3" applyNumberFormat="1" applyFont="1" applyFill="1"/>
    <xf numFmtId="10" fontId="0" fillId="18" borderId="0" xfId="1" applyNumberFormat="1" applyFont="1" applyFill="1"/>
    <xf numFmtId="10" fontId="0" fillId="19" borderId="14" xfId="1" applyNumberFormat="1" applyFont="1" applyFill="1" applyBorder="1"/>
    <xf numFmtId="0" fontId="0" fillId="0" borderId="0" xfId="7" applyFont="1"/>
    <xf numFmtId="174" fontId="0" fillId="0" borderId="0" xfId="0" applyNumberFormat="1"/>
    <xf numFmtId="171" fontId="0" fillId="0" borderId="0" xfId="3" applyNumberFormat="1" applyFont="1" applyFill="1"/>
    <xf numFmtId="43" fontId="0" fillId="0" borderId="0" xfId="3" applyFont="1" applyFill="1"/>
    <xf numFmtId="0" fontId="24" fillId="0" borderId="0" xfId="0" applyFont="1"/>
    <xf numFmtId="0" fontId="0" fillId="20" borderId="0" xfId="0" applyFill="1" applyAlignment="1">
      <alignment horizontal="center"/>
    </xf>
    <xf numFmtId="0" fontId="0" fillId="20" borderId="0" xfId="0" applyFill="1"/>
    <xf numFmtId="0" fontId="25" fillId="0" borderId="0" xfId="0" applyFont="1"/>
    <xf numFmtId="0" fontId="26" fillId="0" borderId="0" xfId="0" applyFont="1"/>
    <xf numFmtId="166" fontId="12" fillId="21" borderId="0" xfId="0" applyNumberFormat="1" applyFont="1" applyFill="1"/>
    <xf numFmtId="0" fontId="27" fillId="0" borderId="0" xfId="0" applyFont="1"/>
    <xf numFmtId="0" fontId="27" fillId="21" borderId="0" xfId="0" applyFont="1" applyFill="1"/>
    <xf numFmtId="175" fontId="11" fillId="3" borderId="0" xfId="0" applyNumberFormat="1" applyFont="1" applyFill="1"/>
    <xf numFmtId="175" fontId="6" fillId="0" borderId="0" xfId="0" applyNumberFormat="1" applyFont="1"/>
    <xf numFmtId="175" fontId="10" fillId="3" borderId="0" xfId="0" applyNumberFormat="1" applyFont="1" applyFill="1"/>
    <xf numFmtId="175" fontId="10" fillId="12" borderId="0" xfId="0" applyNumberFormat="1" applyFont="1" applyFill="1"/>
    <xf numFmtId="0" fontId="27" fillId="0" borderId="0" xfId="0" applyFont="1" applyAlignment="1">
      <alignment horizontal="center"/>
    </xf>
    <xf numFmtId="9" fontId="0" fillId="21" borderId="0" xfId="0" applyNumberFormat="1" applyFill="1"/>
    <xf numFmtId="166" fontId="0" fillId="21" borderId="0" xfId="0" applyNumberFormat="1" applyFill="1"/>
    <xf numFmtId="0" fontId="0" fillId="23" borderId="0" xfId="0" applyFill="1"/>
    <xf numFmtId="0" fontId="27" fillId="23" borderId="0" xfId="0" applyFont="1" applyFill="1" applyAlignment="1">
      <alignment wrapText="1"/>
    </xf>
    <xf numFmtId="0" fontId="0" fillId="24" borderId="0" xfId="0" applyFill="1" applyAlignment="1">
      <alignment horizontal="center"/>
    </xf>
    <xf numFmtId="0" fontId="0" fillId="19" borderId="0" xfId="0" applyFill="1"/>
    <xf numFmtId="0" fontId="28" fillId="25" borderId="0" xfId="0" applyFont="1" applyFill="1"/>
    <xf numFmtId="0" fontId="0" fillId="25" borderId="0" xfId="0" applyFill="1"/>
    <xf numFmtId="0" fontId="6" fillId="0" borderId="0" xfId="0" applyFont="1" applyAlignment="1">
      <alignment wrapText="1"/>
    </xf>
    <xf numFmtId="10" fontId="12" fillId="19" borderId="0" xfId="0" applyNumberFormat="1" applyFont="1" applyFill="1"/>
    <xf numFmtId="176" fontId="11" fillId="3" borderId="0" xfId="1" applyNumberFormat="1" applyFont="1" applyFill="1" applyAlignment="1"/>
    <xf numFmtId="176" fontId="8" fillId="3" borderId="0" xfId="1" applyNumberFormat="1" applyFont="1" applyFill="1" applyAlignment="1"/>
    <xf numFmtId="176" fontId="8" fillId="9" borderId="0" xfId="1" applyNumberFormat="1" applyFont="1" applyFill="1" applyAlignment="1"/>
    <xf numFmtId="176" fontId="10" fillId="3" borderId="0" xfId="1" applyNumberFormat="1" applyFont="1" applyFill="1" applyAlignment="1"/>
    <xf numFmtId="0" fontId="27" fillId="0" borderId="0" xfId="0" applyFont="1" applyAlignment="1">
      <alignment wrapText="1"/>
    </xf>
    <xf numFmtId="0" fontId="9" fillId="11" borderId="0" xfId="0" applyFont="1" applyFill="1"/>
    <xf numFmtId="49" fontId="9" fillId="12" borderId="2" xfId="0" applyNumberFormat="1" applyFont="1" applyFill="1" applyBorder="1" applyAlignment="1">
      <alignment horizontal="left"/>
    </xf>
    <xf numFmtId="49" fontId="9" fillId="12" borderId="2" xfId="0" applyNumberFormat="1" applyFont="1" applyFill="1" applyBorder="1" applyAlignment="1">
      <alignment horizontal="left" wrapText="1"/>
    </xf>
    <xf numFmtId="49" fontId="9" fillId="12" borderId="0" xfId="0" applyNumberFormat="1" applyFont="1" applyFill="1" applyAlignment="1">
      <alignment horizontal="left"/>
    </xf>
    <xf numFmtId="0" fontId="9" fillId="11" borderId="0" xfId="0" applyFont="1" applyFill="1" applyAlignment="1">
      <alignment horizontal="left"/>
    </xf>
    <xf numFmtId="164" fontId="9" fillId="0" borderId="0" xfId="0" applyNumberFormat="1" applyFont="1" applyAlignment="1">
      <alignment horizontal="right" wrapText="1"/>
    </xf>
    <xf numFmtId="9" fontId="9" fillId="0" borderId="0" xfId="1" applyFont="1" applyFill="1" applyBorder="1" applyAlignment="1">
      <alignment horizontal="right" wrapText="1"/>
    </xf>
    <xf numFmtId="168" fontId="9" fillId="0" borderId="2" xfId="0" applyNumberFormat="1" applyFont="1" applyBorder="1"/>
    <xf numFmtId="0" fontId="9" fillId="12" borderId="0" xfId="0" applyFont="1" applyFill="1" applyAlignment="1">
      <alignment horizontal="center"/>
    </xf>
    <xf numFmtId="175" fontId="9" fillId="4" borderId="0" xfId="0" applyNumberFormat="1" applyFont="1" applyFill="1" applyAlignment="1">
      <alignment horizontal="right"/>
    </xf>
    <xf numFmtId="175" fontId="9" fillId="3" borderId="0" xfId="0" applyNumberFormat="1" applyFont="1" applyFill="1" applyAlignment="1">
      <alignment horizontal="right"/>
    </xf>
    <xf numFmtId="168" fontId="9" fillId="0" borderId="2" xfId="0" applyNumberFormat="1" applyFont="1" applyBorder="1" applyAlignment="1">
      <alignment wrapText="1"/>
    </xf>
    <xf numFmtId="0" fontId="9" fillId="23" borderId="0" xfId="0" applyFont="1" applyFill="1"/>
    <xf numFmtId="168" fontId="9" fillId="0" borderId="3" xfId="0" applyNumberFormat="1" applyFont="1" applyBorder="1"/>
    <xf numFmtId="168" fontId="9" fillId="0" borderId="0" xfId="0" applyNumberFormat="1" applyFont="1"/>
    <xf numFmtId="175" fontId="10" fillId="25" borderId="0" xfId="0" applyNumberFormat="1" applyFont="1" applyFill="1"/>
    <xf numFmtId="175" fontId="9" fillId="26" borderId="0" xfId="0" applyNumberFormat="1" applyFont="1" applyFill="1" applyAlignment="1">
      <alignment horizontal="right"/>
    </xf>
    <xf numFmtId="0" fontId="27" fillId="25" borderId="0" xfId="0" applyFont="1" applyFill="1" applyAlignment="1">
      <alignment wrapText="1"/>
    </xf>
    <xf numFmtId="0" fontId="9" fillId="26" borderId="2" xfId="0" applyFont="1" applyFill="1" applyBorder="1" applyAlignment="1">
      <alignment horizontal="center"/>
    </xf>
    <xf numFmtId="0" fontId="9" fillId="26" borderId="0" xfId="0" applyFont="1" applyFill="1"/>
    <xf numFmtId="0" fontId="9" fillId="25" borderId="0" xfId="0" applyFont="1" applyFill="1"/>
    <xf numFmtId="0" fontId="9" fillId="26" borderId="0" xfId="0" applyFont="1" applyFill="1" applyAlignment="1">
      <alignment horizontal="center"/>
    </xf>
    <xf numFmtId="0" fontId="9" fillId="26" borderId="0" xfId="0" applyFont="1" applyFill="1" applyAlignment="1">
      <alignment horizontal="left"/>
    </xf>
    <xf numFmtId="0" fontId="9" fillId="25" borderId="0" xfId="0" applyFont="1" applyFill="1" applyAlignment="1">
      <alignment horizontal="center"/>
    </xf>
    <xf numFmtId="0" fontId="27" fillId="25" borderId="0" xfId="0" applyFont="1" applyFill="1"/>
    <xf numFmtId="164" fontId="9" fillId="26" borderId="2" xfId="0" applyNumberFormat="1" applyFont="1" applyFill="1" applyBorder="1" applyAlignment="1">
      <alignment horizontal="right" wrapText="1"/>
    </xf>
    <xf numFmtId="164" fontId="9" fillId="26" borderId="3" xfId="0" applyNumberFormat="1" applyFont="1" applyFill="1" applyBorder="1" applyAlignment="1">
      <alignment horizontal="right" wrapText="1"/>
    </xf>
    <xf numFmtId="164" fontId="9" fillId="26" borderId="0" xfId="0" applyNumberFormat="1" applyFont="1" applyFill="1" applyAlignment="1">
      <alignment horizontal="right" wrapText="1"/>
    </xf>
    <xf numFmtId="164" fontId="9" fillId="25" borderId="0" xfId="0" applyNumberFormat="1" applyFont="1" applyFill="1" applyAlignment="1">
      <alignment horizontal="right" wrapText="1"/>
    </xf>
    <xf numFmtId="168" fontId="9" fillId="25" borderId="2" xfId="0" applyNumberFormat="1" applyFont="1" applyFill="1" applyBorder="1"/>
    <xf numFmtId="168" fontId="9" fillId="26" borderId="2" xfId="0" applyNumberFormat="1" applyFont="1" applyFill="1" applyBorder="1"/>
    <xf numFmtId="168" fontId="9" fillId="25" borderId="3" xfId="0" applyNumberFormat="1" applyFont="1" applyFill="1" applyBorder="1"/>
    <xf numFmtId="168" fontId="9" fillId="25" borderId="0" xfId="0" applyNumberFormat="1" applyFont="1" applyFill="1"/>
    <xf numFmtId="168" fontId="9" fillId="26" borderId="3" xfId="0" applyNumberFormat="1" applyFont="1" applyFill="1" applyBorder="1"/>
    <xf numFmtId="49" fontId="9" fillId="26" borderId="2" xfId="0" applyNumberFormat="1" applyFont="1" applyFill="1" applyBorder="1" applyAlignment="1">
      <alignment horizontal="left"/>
    </xf>
    <xf numFmtId="9" fontId="6" fillId="0" borderId="0" xfId="0" applyNumberFormat="1" applyFont="1" applyAlignment="1">
      <alignment horizontal="center"/>
    </xf>
    <xf numFmtId="0" fontId="9" fillId="22" borderId="2" xfId="0" applyFont="1" applyFill="1" applyBorder="1"/>
    <xf numFmtId="10" fontId="6" fillId="0" borderId="0" xfId="1" applyNumberFormat="1" applyFont="1" applyFill="1"/>
    <xf numFmtId="164" fontId="25" fillId="25" borderId="0" xfId="0" applyNumberFormat="1" applyFont="1" applyFill="1" applyAlignment="1">
      <alignment horizontal="right" wrapText="1"/>
    </xf>
    <xf numFmtId="168" fontId="0" fillId="0" borderId="0" xfId="0" applyNumberFormat="1" applyAlignment="1">
      <alignment horizontal="center"/>
    </xf>
    <xf numFmtId="0" fontId="27" fillId="11" borderId="0" xfId="0" applyFont="1" applyFill="1" applyAlignment="1">
      <alignment wrapText="1"/>
    </xf>
    <xf numFmtId="10" fontId="0" fillId="0" borderId="0" xfId="8" applyNumberFormat="1" applyFont="1"/>
    <xf numFmtId="44" fontId="0" fillId="0" borderId="0" xfId="0" applyNumberFormat="1"/>
    <xf numFmtId="165" fontId="0" fillId="0" borderId="0" xfId="1" applyNumberFormat="1" applyFont="1" applyFill="1" applyAlignment="1">
      <alignment horizontal="center"/>
    </xf>
    <xf numFmtId="164" fontId="12" fillId="25" borderId="0" xfId="0" applyNumberFormat="1" applyFont="1" applyFill="1" applyAlignment="1">
      <alignment horizontal="right" wrapText="1"/>
    </xf>
    <xf numFmtId="49" fontId="9" fillId="27" borderId="2" xfId="0" applyNumberFormat="1" applyFont="1" applyFill="1" applyBorder="1" applyAlignment="1">
      <alignment horizontal="left"/>
    </xf>
    <xf numFmtId="0" fontId="29" fillId="27" borderId="0" xfId="0" applyFont="1" applyFill="1" applyAlignment="1">
      <alignment horizontal="center"/>
    </xf>
    <xf numFmtId="10" fontId="0" fillId="21" borderId="0" xfId="0" applyNumberFormat="1" applyFill="1"/>
    <xf numFmtId="166" fontId="9" fillId="21" borderId="0" xfId="0" applyNumberFormat="1" applyFont="1" applyFill="1"/>
    <xf numFmtId="10" fontId="0" fillId="28" borderId="0" xfId="8" applyNumberFormat="1" applyFont="1" applyFill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13" borderId="5" xfId="0" applyFont="1" applyFill="1" applyBorder="1" applyAlignment="1">
      <alignment horizontal="center"/>
    </xf>
    <xf numFmtId="0" fontId="6" fillId="13" borderId="7" xfId="0" applyFont="1" applyFill="1" applyBorder="1" applyAlignment="1">
      <alignment horizontal="center"/>
    </xf>
    <xf numFmtId="0" fontId="6" fillId="13" borderId="6" xfId="0" applyFont="1" applyFill="1" applyBorder="1" applyAlignment="1">
      <alignment horizontal="center"/>
    </xf>
  </cellXfs>
  <cellStyles count="9">
    <cellStyle name="Comma" xfId="3" builtinId="3"/>
    <cellStyle name="Currency" xfId="4" builtinId="4"/>
    <cellStyle name="Normal" xfId="0" builtinId="0"/>
    <cellStyle name="Normal 2" xfId="2" xr:uid="{00000000-0005-0000-0000-000003000000}"/>
    <cellStyle name="Normal 22" xfId="7" xr:uid="{00000000-0005-0000-0000-000004000000}"/>
    <cellStyle name="Normal 4" xfId="5" xr:uid="{00000000-0005-0000-0000-000005000000}"/>
    <cellStyle name="Percent" xfId="1" builtinId="5"/>
    <cellStyle name="Percent 18" xfId="8" xr:uid="{7D72C906-995A-4CE0-8DEA-B78ACAEA5C69}"/>
    <cellStyle name="Percent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6-31%20EDPR\11.0%202026%20EDPR%20-%20Proposal%20submission%20models\Public\SCS\ASD%20-%20Connections%20Capex%20Forecast%20Model%20(2026-31)%20-310125%20-%20PUBLIC.xlsx" TargetMode="External"/><Relationship Id="rId1" Type="http://schemas.openxmlformats.org/officeDocument/2006/relationships/externalLinkPath" Target="ASD%20-%20Connections%20Capex%20Forecast%20Model%20(2026-31)%20-310125%20-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D%20-%20AusNet%20EDPR%202026-31%20&#8211;%20PTRM%20Model%20&#8211;%20310125%20-%20PUBLIC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1-25%20EDPR\22.0%202021%20EDPR%20-%20Annual%20debt%20updates\AusNet%20Services%20Dx%20PTRM%20-%202024-25%20RoD%20update%20(inc%20storm%20and%20VEBM%20CPT).xlsm" TargetMode="External"/><Relationship Id="rId1" Type="http://schemas.openxmlformats.org/officeDocument/2006/relationships/externalLinkPath" Target="/Price%20Review/2021-25%20EDPR/22.0%202021%20EDPR%20-%20Annual%20debt%20updates/AusNet%20Services%20Dx%20PTRM%20-%202024-25%20RoD%20update%20(inc%20storm%20and%20VEBM%20CPT).xlsm" TargetMode="External"/></Relationships>
</file>

<file path=xl/externalLinks/_rels/externalLink4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B:\Price%20Review\2021-25%20EDPR\20.0%202021%20EDPR%20-%20AER%20Final%20Decision%2030%20April%202021\AER%20Final%20Decision\Final%20Decision%20-%20Models\AER%20-%20Final%20Decision%20-%20AusNet%20Services%20distribution%20determination-%202021&#8211;26%20-%20Capex%20model%20-%20April%202021.xlsx" TargetMode="External"/><Relationship Id="rId2" Type="http://schemas.microsoft.com/office/2019/04/relationships/externalLinkLongPath" Target="/Price%20Review/2021-25%20EDPR/20.0%202021%20EDPR%20-%20AER%20Final%20Decision%2030%20April%202021/AER%20Final%20Decision/Final%20Decision%20-%20Models/AER%20-%20Final%20Decision%20-%20AusNet%20Services%20distribution%20determination-%202021&#8211;26%20-%20Capex%20model%20-%20April%202021.xlsx?C2FAA674" TargetMode="External"/><Relationship Id="rId1" Type="http://schemas.openxmlformats.org/officeDocument/2006/relationships/externalLinkPath" Target="file:///\\C2FAA674\AER%20-%20Final%20Decision%20-%20AusNet%20Services%20distribution%20determination-%202021&#8211;26%20-%20Capex%20model%20-%20Ap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Changes"/>
      <sheetName val="Inputs from Capex model"/>
      <sheetName val="Contents"/>
      <sheetName val="Escalation"/>
      <sheetName val="Assumptions"/>
      <sheetName val="Allocations"/>
      <sheetName val="Connections"/>
      <sheetName val="Historical_data &gt;"/>
      <sheetName val="Historical_Cost"/>
      <sheetName val="Historical_Cap_Cons"/>
      <sheetName val="Cost_Recovery"/>
      <sheetName val="Forecast &gt;"/>
      <sheetName val="Contracts_input"/>
      <sheetName val="HV_rebate"/>
      <sheetName val="Capex_Fcast_Direct"/>
      <sheetName val="Other_codes"/>
      <sheetName val="Capex_Fcast_Total"/>
      <sheetName val="Outputs &gt;"/>
      <sheetName val="Contr_Fcast"/>
      <sheetName val="Capex_Model_Inputs"/>
      <sheetName val="RIN_Outputs"/>
      <sheetName val="2.5 Connections"/>
      <sheetName val="Direct_view"/>
      <sheetName val="CapCon_view"/>
      <sheetName val="Word code splits"/>
      <sheetName val="Type 2_contributions"/>
      <sheetName val="Historical_CY"/>
      <sheetName val="2.5.3_Volu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2">
          <cell r="K42">
            <v>23472.551510528938</v>
          </cell>
          <cell r="L42">
            <v>20170.917396072738</v>
          </cell>
          <cell r="M42">
            <v>34615.625410000008</v>
          </cell>
          <cell r="N42">
            <v>36337.235560000001</v>
          </cell>
        </row>
        <row r="64">
          <cell r="K64">
            <v>6233.6216299999996</v>
          </cell>
          <cell r="L64">
            <v>5374.5672200000008</v>
          </cell>
          <cell r="M64">
            <v>8793.9093999999986</v>
          </cell>
          <cell r="N64">
            <v>7431.700170000001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23">
          <cell r="H23">
            <v>0.14671359179691235</v>
          </cell>
          <cell r="I23">
            <v>0.13825955885302846</v>
          </cell>
          <cell r="J23">
            <v>0.15003319556511538</v>
          </cell>
          <cell r="K23">
            <v>0.11318162824060725</v>
          </cell>
          <cell r="L23">
            <v>0.11963995932559411</v>
          </cell>
          <cell r="M23">
            <v>0.12761826104377225</v>
          </cell>
          <cell r="N23">
            <v>0.12761826104377225</v>
          </cell>
        </row>
        <row r="24">
          <cell r="H24">
            <v>0.48582302225611063</v>
          </cell>
          <cell r="I24">
            <v>0.82170988887040186</v>
          </cell>
          <cell r="J24">
            <v>0.60182603411070168</v>
          </cell>
          <cell r="K24">
            <v>0.67102295317276939</v>
          </cell>
          <cell r="L24">
            <v>0.54605078902736526</v>
          </cell>
          <cell r="M24">
            <v>0.60629992543694555</v>
          </cell>
          <cell r="N24">
            <v>0.60629992543694555</v>
          </cell>
        </row>
        <row r="25">
          <cell r="H25">
            <v>0.26364563430837124</v>
          </cell>
          <cell r="I25">
            <v>0.26557068698747227</v>
          </cell>
          <cell r="J25">
            <v>0.2664513028567766</v>
          </cell>
          <cell r="K25">
            <v>0.25404450434859255</v>
          </cell>
          <cell r="L25">
            <v>0.20452024088978332</v>
          </cell>
          <cell r="M25">
            <v>0.24167201603171748</v>
          </cell>
          <cell r="N25">
            <v>0.24167201603171748</v>
          </cell>
        </row>
        <row r="26">
          <cell r="H26">
            <v>0.60345786766351017</v>
          </cell>
          <cell r="I26">
            <v>0.66488420955935645</v>
          </cell>
          <cell r="J26">
            <v>0.54443981326321189</v>
          </cell>
          <cell r="K26">
            <v>0.52734844317637541</v>
          </cell>
          <cell r="L26">
            <v>0.59268664943063576</v>
          </cell>
          <cell r="M26">
            <v>0.55482496862340769</v>
          </cell>
          <cell r="N26">
            <v>0.55482496862340769</v>
          </cell>
        </row>
        <row r="27">
          <cell r="H27">
            <v>0.38401131943481542</v>
          </cell>
          <cell r="I27">
            <v>0.55902433867897505</v>
          </cell>
          <cell r="J27">
            <v>0.85112739750888211</v>
          </cell>
          <cell r="K27">
            <v>0.33874423256157882</v>
          </cell>
          <cell r="L27">
            <v>0.46127030070335989</v>
          </cell>
          <cell r="M27">
            <v>0.55038064359127359</v>
          </cell>
          <cell r="N27">
            <v>0.55038064359127359</v>
          </cell>
        </row>
        <row r="28">
          <cell r="H28">
            <v>1.6483557583515969</v>
          </cell>
          <cell r="I28">
            <v>3.7868690870601527</v>
          </cell>
          <cell r="J28">
            <v>0</v>
          </cell>
          <cell r="K28">
            <v>0.15593169285234912</v>
          </cell>
          <cell r="L28">
            <v>2.9692483157931802E-2</v>
          </cell>
          <cell r="M28">
            <v>0.24167201603171748</v>
          </cell>
          <cell r="N28">
            <v>0.24167201603171748</v>
          </cell>
        </row>
        <row r="29">
          <cell r="H29">
            <v>1.2435652941871038E-3</v>
          </cell>
          <cell r="I29">
            <v>0</v>
          </cell>
          <cell r="J29">
            <v>3.6177947068172099E-3</v>
          </cell>
          <cell r="K29">
            <v>6.2681455981911834E-3</v>
          </cell>
          <cell r="L29">
            <v>0</v>
          </cell>
          <cell r="M29">
            <v>0</v>
          </cell>
          <cell r="N29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SD - AusNet EDPR 2026-31 – PTR"/>
    </sheetNames>
    <definedNames>
      <definedName name="P_0_RevCap" refersTo="='X factors'!$G$63"/>
      <definedName name="X_02_RevCap" refersTo="='X factors'!$H$63"/>
      <definedName name="X_03_RevCap" refersTo="='X factors'!$I$63"/>
      <definedName name="X_04_RevCap" refersTo="='X factors'!$J$63"/>
      <definedName name="X_05_RevCap" refersTo="='X factors'!$K$6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G23">
            <v>3.6741074177814692E-2</v>
          </cell>
          <cell r="H23">
            <v>3.7636170370022093E-2</v>
          </cell>
          <cell r="I23">
            <v>3.8689849671400545E-2</v>
          </cell>
          <cell r="J23">
            <v>4.0059234732884752E-2</v>
          </cell>
          <cell r="K23">
            <v>4.2026040035247014E-2</v>
          </cell>
        </row>
      </sheetData>
      <sheetData sheetId="8"/>
      <sheetData sheetId="9"/>
      <sheetData sheetId="10"/>
      <sheetData sheetId="11">
        <row r="63">
          <cell r="G63">
            <v>1.4999999999999999E-2</v>
          </cell>
          <cell r="H63">
            <v>-5.4992159067304446E-2</v>
          </cell>
          <cell r="I63">
            <v>-5.4992159067304446E-2</v>
          </cell>
          <cell r="J63">
            <v>-5.4992159067304446E-2</v>
          </cell>
          <cell r="K63">
            <v>-5.4992159067304446E-2</v>
          </cell>
        </row>
      </sheetData>
      <sheetData sheetId="12">
        <row r="32">
          <cell r="Q32">
            <v>1700.3100734191414</v>
          </cell>
        </row>
        <row r="35">
          <cell r="Q35">
            <v>4622.1866226352895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usNet Services Dx PTRM - 2024-"/>
    </sheetNames>
    <definedNames>
      <definedName name="X_02_RevCap" refersTo="='X factors'!$H$63"/>
      <definedName name="X_03_RevCap" refersTo="='X factors'!$I$63"/>
      <definedName name="X_04_RevCap" refersTo="='X factors'!$J$6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3">
          <cell r="H23">
            <v>2.90650455713517E-2</v>
          </cell>
          <cell r="I23">
            <v>2.9594161296080834E-2</v>
          </cell>
          <cell r="J23">
            <v>3.0143509551080916E-2</v>
          </cell>
          <cell r="K23">
            <v>2.2606306049514524E-2</v>
          </cell>
        </row>
      </sheetData>
      <sheetData sheetId="9"/>
      <sheetData sheetId="10"/>
      <sheetData sheetId="11"/>
      <sheetData sheetId="12">
        <row r="63">
          <cell r="H63">
            <v>1.5391125969004228E-2</v>
          </cell>
          <cell r="I63">
            <v>5.8807718978155224E-3</v>
          </cell>
          <cell r="J63">
            <v>-4.2143892331377008E-3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AER Changes"/>
      <sheetName val="Inputs to Connections Model"/>
      <sheetName val="Input from Connections Model"/>
      <sheetName val="Contents"/>
      <sheetName val="Assumptions"/>
      <sheetName val="Lookups -&gt;"/>
      <sheetName val="Lab_Mat"/>
      <sheetName val="Escalators"/>
      <sheetName val="Lookups"/>
      <sheetName val="START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REFCL"/>
      <sheetName val="ICT"/>
      <sheetName val="Metering_SCS"/>
      <sheetName val="Other_NN"/>
      <sheetName val="Downer_Contract"/>
      <sheetName val="Aggregations &amp; Alloc -&gt;"/>
      <sheetName val="Base_Forecast"/>
      <sheetName val="Reg_Forecast"/>
      <sheetName val="Capex_by_Driver"/>
      <sheetName val="Safety"/>
      <sheetName val="AusNet_Overheads"/>
      <sheetName val="Outputs -&gt;"/>
      <sheetName val="RFM_PTRM"/>
      <sheetName val="Capex_2016-2026"/>
      <sheetName val="DER"/>
      <sheetName val="REFCL_view"/>
      <sheetName val="RIN Template -&gt;"/>
      <sheetName val="2.1 Exp Summary"/>
      <sheetName val="2.1.8 Cap Overheads"/>
      <sheetName val="2.6 Non-Network"/>
      <sheetName val="2.11 Labour"/>
      <sheetName val="2.17 Step Changes"/>
      <sheetName val="Other -&gt;"/>
      <sheetName val="Repex_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1">
          <cell r="M21">
            <v>0.11731672619764864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5"/>
  <sheetViews>
    <sheetView tabSelected="1" topLeftCell="E1" zoomScaleNormal="100" workbookViewId="0">
      <selection activeCell="J7" sqref="J7:N7"/>
    </sheetView>
  </sheetViews>
  <sheetFormatPr defaultRowHeight="14.65" x14ac:dyDescent="0.3"/>
  <cols>
    <col min="1" max="1" width="7.6640625" customWidth="1"/>
    <col min="2" max="2" width="46.33203125" bestFit="1" customWidth="1"/>
    <col min="14" max="14" width="8.88671875" customWidth="1"/>
    <col min="15" max="15" width="1.33203125" customWidth="1"/>
    <col min="16" max="16" width="28.5546875" customWidth="1"/>
  </cols>
  <sheetData>
    <row r="3" spans="1:16" x14ac:dyDescent="0.3">
      <c r="B3" s="10" t="s">
        <v>20</v>
      </c>
      <c r="C3" s="213" t="s">
        <v>41</v>
      </c>
      <c r="D3" s="214"/>
      <c r="E3" s="214"/>
      <c r="F3" s="214"/>
      <c r="G3" s="215"/>
      <c r="H3" s="214" t="s">
        <v>42</v>
      </c>
      <c r="I3" s="215"/>
      <c r="J3" s="213" t="s">
        <v>42</v>
      </c>
      <c r="K3" s="214"/>
      <c r="L3" s="214"/>
      <c r="M3" s="214"/>
      <c r="N3" s="215"/>
      <c r="O3" s="7"/>
    </row>
    <row r="4" spans="1:16" x14ac:dyDescent="0.3">
      <c r="C4" s="11" t="s">
        <v>21</v>
      </c>
      <c r="D4" s="12" t="s">
        <v>171</v>
      </c>
      <c r="E4" s="12" t="s">
        <v>52</v>
      </c>
      <c r="F4" s="12" t="s">
        <v>53</v>
      </c>
      <c r="G4" s="13" t="s">
        <v>54</v>
      </c>
      <c r="H4" s="12" t="s">
        <v>55</v>
      </c>
      <c r="I4" s="13" t="s">
        <v>56</v>
      </c>
      <c r="J4" s="11" t="s">
        <v>108</v>
      </c>
      <c r="K4" s="12" t="s">
        <v>163</v>
      </c>
      <c r="L4" s="12" t="s">
        <v>164</v>
      </c>
      <c r="M4" s="12" t="s">
        <v>165</v>
      </c>
      <c r="N4" s="14" t="s">
        <v>166</v>
      </c>
      <c r="O4" s="36"/>
    </row>
    <row r="5" spans="1:16" x14ac:dyDescent="0.3">
      <c r="A5">
        <v>1012</v>
      </c>
      <c r="B5" s="15" t="s">
        <v>22</v>
      </c>
      <c r="C5" s="16">
        <f>[1]Contr_Fcast!H23</f>
        <v>0.14671359179691235</v>
      </c>
      <c r="D5" s="17">
        <f>[1]Contr_Fcast!I23</f>
        <v>0.13825955885302846</v>
      </c>
      <c r="E5" s="17">
        <f>[1]Contr_Fcast!J23</f>
        <v>0.15003319556511538</v>
      </c>
      <c r="F5" s="17">
        <f>[1]Contr_Fcast!K23</f>
        <v>0.11318162824060725</v>
      </c>
      <c r="G5" s="18">
        <f>[1]Contr_Fcast!L23</f>
        <v>0.11963995932559411</v>
      </c>
      <c r="H5" s="17">
        <f>[1]Contr_Fcast!M23</f>
        <v>0.12761826104377225</v>
      </c>
      <c r="I5" s="18">
        <f>[1]Contr_Fcast!N23</f>
        <v>0.12761826104377225</v>
      </c>
      <c r="J5" s="16"/>
      <c r="K5" s="17"/>
      <c r="L5" s="17"/>
      <c r="M5" s="17"/>
      <c r="N5" s="18"/>
      <c r="O5" s="21"/>
    </row>
    <row r="6" spans="1:16" x14ac:dyDescent="0.3">
      <c r="A6">
        <v>1013</v>
      </c>
      <c r="B6" s="19" t="s">
        <v>23</v>
      </c>
      <c r="C6" s="20">
        <f>[1]Contr_Fcast!H24</f>
        <v>0.48582302225611063</v>
      </c>
      <c r="D6" s="21">
        <f>[1]Contr_Fcast!I24</f>
        <v>0.82170988887040186</v>
      </c>
      <c r="E6" s="21">
        <f>[1]Contr_Fcast!J24</f>
        <v>0.60182603411070168</v>
      </c>
      <c r="F6" s="21">
        <f>[1]Contr_Fcast!K24</f>
        <v>0.67102295317276939</v>
      </c>
      <c r="G6" s="22">
        <f>[1]Contr_Fcast!L24</f>
        <v>0.54605078902736526</v>
      </c>
      <c r="H6" s="21">
        <f>[1]Contr_Fcast!M24</f>
        <v>0.60629992543694555</v>
      </c>
      <c r="I6" s="22">
        <f>[1]Contr_Fcast!N24</f>
        <v>0.60629992543694555</v>
      </c>
      <c r="J6" s="20"/>
      <c r="K6" s="21"/>
      <c r="L6" s="21"/>
      <c r="M6" s="21"/>
      <c r="N6" s="22"/>
      <c r="O6" s="21"/>
    </row>
    <row r="7" spans="1:16" x14ac:dyDescent="0.3">
      <c r="A7">
        <v>1014</v>
      </c>
      <c r="B7" s="19" t="s">
        <v>24</v>
      </c>
      <c r="C7" s="20">
        <f>[1]Contr_Fcast!H25</f>
        <v>0.26364563430837124</v>
      </c>
      <c r="D7" s="21">
        <f>[1]Contr_Fcast!I25</f>
        <v>0.26557068698747227</v>
      </c>
      <c r="E7" s="23">
        <f>[1]Contr_Fcast!J25</f>
        <v>0.2664513028567766</v>
      </c>
      <c r="F7" s="21">
        <f>[1]Contr_Fcast!K25</f>
        <v>0.25404450434859255</v>
      </c>
      <c r="G7" s="22">
        <f>[1]Contr_Fcast!L25</f>
        <v>0.20452024088978332</v>
      </c>
      <c r="H7" s="21">
        <f>[1]Contr_Fcast!M25</f>
        <v>0.24167201603171748</v>
      </c>
      <c r="I7" s="22">
        <f>[1]Contr_Fcast!N25</f>
        <v>0.24167201603171748</v>
      </c>
      <c r="J7" s="43">
        <f>SUM([1]Cost_Recovery!$K$64:$N$64)/SUM([1]Cost_Recovery!$K$42:$N$42)*(1+'1014 projects'!$AT$57)</f>
        <v>0.30395622050244264</v>
      </c>
      <c r="K7" s="44">
        <f>SUM([1]Cost_Recovery!$K$64:$N$64)/SUM([1]Cost_Recovery!$K$42:$N$42)*(1+'1014 projects'!$AT$57)</f>
        <v>0.30395622050244264</v>
      </c>
      <c r="L7" s="44">
        <f>SUM([1]Cost_Recovery!$K$64:$N$64)/SUM([1]Cost_Recovery!$K$42:$N$42)*(1+'1014 projects'!$AT$57)</f>
        <v>0.30395622050244264</v>
      </c>
      <c r="M7" s="44">
        <f>SUM([1]Cost_Recovery!$K$64:$N$64)/SUM([1]Cost_Recovery!$K$42:$N$42)*(1+'1014 projects'!$AT$57)</f>
        <v>0.30395622050244264</v>
      </c>
      <c r="N7" s="45">
        <f>SUM([1]Cost_Recovery!$K$64:$N$64)/SUM([1]Cost_Recovery!$K$42:$N$42)*(1+'1014 projects'!$AT$57)</f>
        <v>0.30395622050244264</v>
      </c>
      <c r="O7" s="25"/>
      <c r="P7" t="s">
        <v>44</v>
      </c>
    </row>
    <row r="8" spans="1:16" x14ac:dyDescent="0.3">
      <c r="A8">
        <v>1018</v>
      </c>
      <c r="B8" s="19" t="s">
        <v>25</v>
      </c>
      <c r="C8" s="20">
        <f>[1]Contr_Fcast!H26</f>
        <v>0.60345786766351017</v>
      </c>
      <c r="D8" s="21">
        <f>[1]Contr_Fcast!I26</f>
        <v>0.66488420955935645</v>
      </c>
      <c r="E8" s="23">
        <f>[1]Contr_Fcast!J26</f>
        <v>0.54443981326321189</v>
      </c>
      <c r="F8" s="21">
        <f>[1]Contr_Fcast!K26</f>
        <v>0.52734844317637541</v>
      </c>
      <c r="G8" s="22">
        <f>[1]Contr_Fcast!L26</f>
        <v>0.59268664943063576</v>
      </c>
      <c r="H8" s="21">
        <f>[1]Contr_Fcast!M26</f>
        <v>0.55482496862340769</v>
      </c>
      <c r="I8" s="22">
        <f>[1]Contr_Fcast!N26</f>
        <v>0.55482496862340769</v>
      </c>
      <c r="J8" s="24"/>
      <c r="K8" s="25"/>
      <c r="L8" s="25"/>
      <c r="M8" s="25"/>
      <c r="N8" s="26"/>
      <c r="O8" s="25"/>
    </row>
    <row r="9" spans="1:16" x14ac:dyDescent="0.3">
      <c r="A9">
        <v>1019</v>
      </c>
      <c r="B9" s="19" t="s">
        <v>26</v>
      </c>
      <c r="C9" s="20">
        <f>[1]Contr_Fcast!H27</f>
        <v>0.38401131943481542</v>
      </c>
      <c r="D9" s="21">
        <f>[1]Contr_Fcast!I27</f>
        <v>0.55902433867897505</v>
      </c>
      <c r="E9" s="23">
        <f>[1]Contr_Fcast!J27</f>
        <v>0.85112739750888211</v>
      </c>
      <c r="F9" s="21">
        <f>[1]Contr_Fcast!K27</f>
        <v>0.33874423256157882</v>
      </c>
      <c r="G9" s="22">
        <f>[1]Contr_Fcast!L27</f>
        <v>0.46127030070335989</v>
      </c>
      <c r="H9" s="21">
        <f>[1]Contr_Fcast!M27</f>
        <v>0.55038064359127359</v>
      </c>
      <c r="I9" s="22">
        <f>[1]Contr_Fcast!N27</f>
        <v>0.55038064359127359</v>
      </c>
      <c r="J9" s="20"/>
      <c r="K9" s="21"/>
      <c r="L9" s="21"/>
      <c r="M9" s="21"/>
      <c r="N9" s="22"/>
      <c r="O9" s="21"/>
    </row>
    <row r="10" spans="1:16" x14ac:dyDescent="0.3">
      <c r="A10">
        <v>1015</v>
      </c>
      <c r="B10" s="27" t="s">
        <v>27</v>
      </c>
      <c r="C10" s="20">
        <f>[1]Contr_Fcast!H28</f>
        <v>1.6483557583515969</v>
      </c>
      <c r="D10" s="21">
        <f>[1]Contr_Fcast!I28</f>
        <v>3.7868690870601527</v>
      </c>
      <c r="E10" s="23">
        <f>[1]Contr_Fcast!J28</f>
        <v>0</v>
      </c>
      <c r="F10" s="21">
        <f>[1]Contr_Fcast!K28</f>
        <v>0.15593169285234912</v>
      </c>
      <c r="G10" s="22">
        <f>[1]Contr_Fcast!L28</f>
        <v>2.9692483157931802E-2</v>
      </c>
      <c r="H10" s="21">
        <f>[1]Contr_Fcast!M28</f>
        <v>0.24167201603171748</v>
      </c>
      <c r="I10" s="22">
        <f>[1]Contr_Fcast!N28</f>
        <v>0.24167201603171748</v>
      </c>
      <c r="J10" s="20"/>
      <c r="K10" s="21"/>
      <c r="L10" s="21"/>
      <c r="M10" s="21"/>
      <c r="N10" s="22"/>
      <c r="O10" s="21"/>
    </row>
    <row r="11" spans="1:16" x14ac:dyDescent="0.3">
      <c r="A11">
        <v>1016</v>
      </c>
      <c r="B11" s="28" t="s">
        <v>28</v>
      </c>
      <c r="C11" s="29">
        <f>[1]Contr_Fcast!H29</f>
        <v>1.2435652941871038E-3</v>
      </c>
      <c r="D11" s="31">
        <f>[1]Contr_Fcast!I29</f>
        <v>0</v>
      </c>
      <c r="E11" s="30">
        <f>[1]Contr_Fcast!J29</f>
        <v>3.6177947068172099E-3</v>
      </c>
      <c r="F11" s="31">
        <f>[1]Contr_Fcast!K29</f>
        <v>6.2681455981911834E-3</v>
      </c>
      <c r="G11" s="32">
        <f>[1]Contr_Fcast!L29</f>
        <v>0</v>
      </c>
      <c r="H11" s="31">
        <f>[1]Contr_Fcast!M29</f>
        <v>0</v>
      </c>
      <c r="I11" s="32">
        <f>[1]Contr_Fcast!N29</f>
        <v>0</v>
      </c>
      <c r="J11" s="29"/>
      <c r="K11" s="31"/>
      <c r="L11" s="31"/>
      <c r="M11" s="31"/>
      <c r="N11" s="32"/>
      <c r="O11" s="21"/>
    </row>
    <row r="15" spans="1:16" x14ac:dyDescent="0.3">
      <c r="J15" s="21"/>
      <c r="K15" s="21"/>
      <c r="L15" s="21"/>
      <c r="M15" s="21"/>
      <c r="N15" s="21"/>
    </row>
  </sheetData>
  <mergeCells count="3">
    <mergeCell ref="J3:N3"/>
    <mergeCell ref="H3:I3"/>
    <mergeCell ref="C3:G3"/>
  </mergeCells>
  <pageMargins left="0.7" right="0.7" top="0.75" bottom="0.75" header="0.3" footer="0.3"/>
  <headerFooter>
    <oddFooter>&amp;C_x000D_&amp;1#&amp;"Century Gothic"&amp;7&amp;K7F7F7F BUSINESS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B2:T24"/>
  <sheetViews>
    <sheetView zoomScale="85" zoomScaleNormal="85" workbookViewId="0">
      <selection activeCell="F6" sqref="F6"/>
    </sheetView>
  </sheetViews>
  <sheetFormatPr defaultRowHeight="14.65" x14ac:dyDescent="0.3"/>
  <cols>
    <col min="1" max="1" width="3.5546875" customWidth="1"/>
    <col min="2" max="2" width="32.44140625" customWidth="1"/>
    <col min="3" max="5" width="9.6640625" customWidth="1"/>
    <col min="7" max="7" width="8.6640625" customWidth="1"/>
  </cols>
  <sheetData>
    <row r="2" spans="2:20" x14ac:dyDescent="0.3">
      <c r="B2" s="5" t="s">
        <v>170</v>
      </c>
      <c r="C2" s="5"/>
      <c r="D2" s="5"/>
      <c r="E2" s="5"/>
      <c r="G2" s="219" t="s">
        <v>182</v>
      </c>
      <c r="H2" s="220"/>
      <c r="I2" s="220"/>
      <c r="J2" s="220"/>
      <c r="K2" s="221"/>
    </row>
    <row r="3" spans="2:20" x14ac:dyDescent="0.3">
      <c r="G3" s="7" t="s">
        <v>108</v>
      </c>
      <c r="H3" s="7" t="s">
        <v>163</v>
      </c>
      <c r="I3" s="7" t="s">
        <v>164</v>
      </c>
      <c r="J3" s="7" t="s">
        <v>165</v>
      </c>
      <c r="K3" s="7" t="s">
        <v>166</v>
      </c>
    </row>
    <row r="4" spans="2:20" x14ac:dyDescent="0.3">
      <c r="B4" t="s">
        <v>57</v>
      </c>
      <c r="F4" t="s">
        <v>58</v>
      </c>
      <c r="G4" s="48">
        <f>[2]WACC!G$23</f>
        <v>3.6741074177814692E-2</v>
      </c>
      <c r="H4" s="48">
        <f>[2]WACC!H$23</f>
        <v>3.7636170370022093E-2</v>
      </c>
      <c r="I4" s="48">
        <f>[2]WACC!I$23</f>
        <v>3.8689849671400545E-2</v>
      </c>
      <c r="J4" s="48">
        <f>[2]WACC!J$23</f>
        <v>4.0059234732884752E-2</v>
      </c>
      <c r="K4" s="48">
        <f>[2]WACC!K$23</f>
        <v>4.2026040035247014E-2</v>
      </c>
    </row>
    <row r="7" spans="2:20" x14ac:dyDescent="0.3">
      <c r="B7" s="69" t="s">
        <v>63</v>
      </c>
      <c r="C7" s="216" t="s">
        <v>181</v>
      </c>
      <c r="D7" s="217"/>
      <c r="E7" s="217"/>
      <c r="F7" s="218"/>
      <c r="G7" s="219" t="s">
        <v>182</v>
      </c>
      <c r="H7" s="220"/>
      <c r="I7" s="220"/>
      <c r="J7" s="220"/>
      <c r="K7" s="221"/>
    </row>
    <row r="8" spans="2:20" x14ac:dyDescent="0.3">
      <c r="B8" t="s">
        <v>50</v>
      </c>
      <c r="C8" s="7" t="s">
        <v>53</v>
      </c>
      <c r="D8" s="7" t="s">
        <v>54</v>
      </c>
      <c r="E8" s="7" t="s">
        <v>55</v>
      </c>
      <c r="F8" s="7" t="s">
        <v>56</v>
      </c>
      <c r="G8" s="7" t="s">
        <v>108</v>
      </c>
      <c r="H8" s="7" t="s">
        <v>109</v>
      </c>
      <c r="I8" s="7" t="s">
        <v>110</v>
      </c>
      <c r="J8" s="7" t="s">
        <v>111</v>
      </c>
      <c r="K8" s="7" t="s">
        <v>112</v>
      </c>
      <c r="L8" s="7" t="s">
        <v>113</v>
      </c>
      <c r="M8" s="7" t="s">
        <v>114</v>
      </c>
      <c r="N8" s="7" t="s">
        <v>115</v>
      </c>
      <c r="O8" s="7" t="s">
        <v>116</v>
      </c>
      <c r="P8" s="7" t="s">
        <v>167</v>
      </c>
      <c r="Q8" s="7" t="s">
        <v>168</v>
      </c>
      <c r="R8" s="7" t="s">
        <v>169</v>
      </c>
      <c r="S8" s="7"/>
      <c r="T8" s="7"/>
    </row>
    <row r="9" spans="2:20" x14ac:dyDescent="0.3">
      <c r="B9" t="s">
        <v>51</v>
      </c>
      <c r="C9" s="7"/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7">
        <v>9</v>
      </c>
      <c r="M9" s="7">
        <v>10</v>
      </c>
      <c r="N9" s="7">
        <v>11</v>
      </c>
      <c r="O9" s="7">
        <v>12</v>
      </c>
      <c r="P9" s="7">
        <v>13</v>
      </c>
      <c r="Q9" s="7">
        <v>14</v>
      </c>
      <c r="R9" s="7">
        <v>15</v>
      </c>
      <c r="S9" s="7"/>
      <c r="T9" s="7"/>
    </row>
    <row r="10" spans="2:20" x14ac:dyDescent="0.3">
      <c r="B10" t="s">
        <v>57</v>
      </c>
      <c r="C10" s="48">
        <f>[3]WACC!$H$23</f>
        <v>2.90650455713517E-2</v>
      </c>
      <c r="D10" s="48">
        <f>[3]WACC!$I$23</f>
        <v>2.9594161296080834E-2</v>
      </c>
      <c r="E10" s="48">
        <f>[3]WACC!$J$23</f>
        <v>3.0143509551080916E-2</v>
      </c>
      <c r="F10" s="57">
        <f>[3]WACC!$K$23</f>
        <v>2.2606306049514524E-2</v>
      </c>
      <c r="G10" s="129">
        <f>G4</f>
        <v>3.6741074177814692E-2</v>
      </c>
      <c r="H10" s="129">
        <f t="shared" ref="H10:K10" si="0">H4</f>
        <v>3.7636170370022093E-2</v>
      </c>
      <c r="I10" s="129">
        <f t="shared" si="0"/>
        <v>3.8689849671400545E-2</v>
      </c>
      <c r="J10" s="129">
        <f t="shared" si="0"/>
        <v>4.0059234732884752E-2</v>
      </c>
      <c r="K10" s="129">
        <f t="shared" si="0"/>
        <v>4.2026040035247014E-2</v>
      </c>
      <c r="L10" s="47">
        <f>$K$10</f>
        <v>4.2026040035247014E-2</v>
      </c>
      <c r="M10" s="47">
        <f t="shared" ref="M10:R10" si="1">$K$10</f>
        <v>4.2026040035247014E-2</v>
      </c>
      <c r="N10" s="47">
        <f t="shared" si="1"/>
        <v>4.2026040035247014E-2</v>
      </c>
      <c r="O10" s="47">
        <f t="shared" si="1"/>
        <v>4.2026040035247014E-2</v>
      </c>
      <c r="P10" s="47">
        <f t="shared" si="1"/>
        <v>4.2026040035247014E-2</v>
      </c>
      <c r="Q10" s="47">
        <f t="shared" si="1"/>
        <v>4.2026040035247014E-2</v>
      </c>
      <c r="R10" s="47">
        <f t="shared" si="1"/>
        <v>4.2026040035247014E-2</v>
      </c>
      <c r="S10" s="47"/>
      <c r="T10" s="47"/>
    </row>
    <row r="11" spans="2:20" x14ac:dyDescent="0.3">
      <c r="B11" t="s">
        <v>59</v>
      </c>
      <c r="C11" s="52"/>
      <c r="D11" s="52">
        <f>1/(1+D10)</f>
        <v>0.97125647909771851</v>
      </c>
      <c r="E11" s="52">
        <f t="shared" ref="E11:F11" si="2">D11/(1+E10)</f>
        <v>0.94283609040159422</v>
      </c>
      <c r="F11" s="52">
        <f t="shared" si="2"/>
        <v>0.92199322928480176</v>
      </c>
      <c r="G11" s="52">
        <f>F11/(1+G10)</f>
        <v>0.88931870478459296</v>
      </c>
      <c r="H11" s="52">
        <f>G11/(1+H10)</f>
        <v>0.85706216704787863</v>
      </c>
      <c r="I11" s="52">
        <f t="shared" ref="I11:R11" si="3">H11/(1+I10)</f>
        <v>0.82513771297468486</v>
      </c>
      <c r="J11" s="52">
        <f t="shared" si="3"/>
        <v>0.79335646030449647</v>
      </c>
      <c r="K11" s="52">
        <f t="shared" si="3"/>
        <v>0.76135953404548395</v>
      </c>
      <c r="L11" s="52">
        <f t="shared" si="3"/>
        <v>0.73065307851589834</v>
      </c>
      <c r="M11" s="52">
        <f>L11/(1+M10)</f>
        <v>0.70118504763199929</v>
      </c>
      <c r="N11" s="52">
        <f t="shared" si="3"/>
        <v>0.67290549438503611</v>
      </c>
      <c r="O11" s="52">
        <f t="shared" si="3"/>
        <v>0.64576648618327692</v>
      </c>
      <c r="P11" s="52">
        <f t="shared" si="3"/>
        <v>0.61972202360838657</v>
      </c>
      <c r="Q11" s="52">
        <f t="shared" si="3"/>
        <v>0.59472796244844728</v>
      </c>
      <c r="R11" s="52">
        <f t="shared" si="3"/>
        <v>0.5707419388754722</v>
      </c>
      <c r="S11" s="52"/>
      <c r="T11" s="52"/>
    </row>
    <row r="13" spans="2:20" x14ac:dyDescent="0.3">
      <c r="B13" t="s">
        <v>347</v>
      </c>
      <c r="C13" s="139"/>
      <c r="D13" s="139"/>
      <c r="E13" s="139"/>
    </row>
    <row r="16" spans="2:20" x14ac:dyDescent="0.3">
      <c r="B16" s="5" t="s">
        <v>61</v>
      </c>
      <c r="C16" s="216" t="s">
        <v>181</v>
      </c>
      <c r="D16" s="217"/>
      <c r="E16" s="217"/>
      <c r="F16" s="218"/>
      <c r="G16" s="219" t="s">
        <v>182</v>
      </c>
      <c r="H16" s="220"/>
      <c r="I16" s="220"/>
      <c r="J16" s="220"/>
      <c r="K16" s="221"/>
    </row>
    <row r="17" spans="2:20" x14ac:dyDescent="0.3">
      <c r="C17" s="7" t="s">
        <v>53</v>
      </c>
      <c r="D17" s="7" t="s">
        <v>54</v>
      </c>
      <c r="E17" s="7" t="s">
        <v>55</v>
      </c>
      <c r="F17" s="7" t="s">
        <v>56</v>
      </c>
      <c r="G17" s="7" t="s">
        <v>108</v>
      </c>
      <c r="H17" s="7" t="s">
        <v>109</v>
      </c>
      <c r="I17" s="7" t="s">
        <v>110</v>
      </c>
      <c r="J17" s="7" t="s">
        <v>111</v>
      </c>
      <c r="K17" s="7" t="s">
        <v>112</v>
      </c>
      <c r="L17" s="7"/>
      <c r="M17" s="7"/>
      <c r="N17" s="7"/>
      <c r="O17" s="7"/>
      <c r="P17" s="7"/>
      <c r="Q17" s="7"/>
      <c r="R17" s="7"/>
      <c r="S17" s="7"/>
      <c r="T17" s="7"/>
    </row>
    <row r="18" spans="2:20" x14ac:dyDescent="0.3">
      <c r="B18" t="s">
        <v>62</v>
      </c>
      <c r="C18" s="204" cm="1">
        <f t="array" ref="C18">[3]!X_02_RevCap</f>
        <v>1.5391125969004228E-2</v>
      </c>
      <c r="D18" s="204" cm="1">
        <f t="array" ref="D18">[3]!X_03_RevCap</f>
        <v>5.8807718978155224E-3</v>
      </c>
      <c r="E18" s="204" cm="1">
        <f t="array" ref="E18">[3]!X_04_RevCap</f>
        <v>-4.2143892331377008E-3</v>
      </c>
      <c r="F18" s="212">
        <f>E18</f>
        <v>-4.2143892331377008E-3</v>
      </c>
      <c r="G18" s="130" cm="1">
        <f t="array" ref="G18">[2]!P_0_RevCap</f>
        <v>1.4999999999999999E-2</v>
      </c>
      <c r="H18" s="130" cm="1">
        <f t="array" ref="H18">[2]!X_02_RevCap</f>
        <v>-5.4992159067304446E-2</v>
      </c>
      <c r="I18" s="130" cm="1">
        <f t="array" ref="I18">[2]!X_03_RevCap</f>
        <v>-5.4992159067304446E-2</v>
      </c>
      <c r="J18" s="130" cm="1">
        <f t="array" ref="J18">[2]!X_04_RevCap</f>
        <v>-5.4992159067304446E-2</v>
      </c>
      <c r="K18" s="130" cm="1">
        <f t="array" ref="K18">[2]!X_05_RevCap</f>
        <v>-5.4992159067304446E-2</v>
      </c>
    </row>
    <row r="19" spans="2:20" x14ac:dyDescent="0.3">
      <c r="F19" s="47"/>
      <c r="G19" s="77"/>
      <c r="H19" s="77"/>
      <c r="I19" s="77"/>
      <c r="J19" s="77"/>
      <c r="K19" s="77"/>
    </row>
    <row r="20" spans="2:20" x14ac:dyDescent="0.3">
      <c r="B20" t="s">
        <v>348</v>
      </c>
      <c r="C20" s="139"/>
      <c r="D20" s="139"/>
      <c r="E20" s="139"/>
    </row>
    <row r="23" spans="2:20" x14ac:dyDescent="0.3">
      <c r="C23" s="7" t="s">
        <v>53</v>
      </c>
      <c r="D23" s="7" t="s">
        <v>54</v>
      </c>
      <c r="E23" s="7" t="s">
        <v>55</v>
      </c>
      <c r="F23" s="7" t="s">
        <v>56</v>
      </c>
      <c r="G23" s="7" t="str">
        <f t="shared" ref="G23:R23" si="4">G8</f>
        <v>2026-27</v>
      </c>
      <c r="H23" s="7" t="str">
        <f t="shared" si="4"/>
        <v>2027-28</v>
      </c>
      <c r="I23" s="7" t="str">
        <f t="shared" si="4"/>
        <v>2028-29</v>
      </c>
      <c r="J23" s="7" t="str">
        <f t="shared" si="4"/>
        <v>2029-30</v>
      </c>
      <c r="K23" s="7" t="str">
        <f t="shared" si="4"/>
        <v>2030-31</v>
      </c>
      <c r="L23" s="7" t="str">
        <f t="shared" si="4"/>
        <v>2031-32</v>
      </c>
      <c r="M23" s="7" t="str">
        <f t="shared" si="4"/>
        <v>2032-33</v>
      </c>
      <c r="N23" s="7" t="str">
        <f t="shared" si="4"/>
        <v>2033-34</v>
      </c>
      <c r="O23" s="7" t="str">
        <f t="shared" si="4"/>
        <v>2034-35</v>
      </c>
      <c r="P23" s="7" t="str">
        <f t="shared" si="4"/>
        <v>2035-36</v>
      </c>
      <c r="Q23" s="7" t="str">
        <f t="shared" si="4"/>
        <v>2036-37</v>
      </c>
      <c r="R23" s="7" t="str">
        <f t="shared" si="4"/>
        <v>2037-38</v>
      </c>
      <c r="S23" s="7"/>
      <c r="T23" s="7"/>
    </row>
    <row r="24" spans="2:20" x14ac:dyDescent="0.3">
      <c r="B24" t="s">
        <v>183</v>
      </c>
      <c r="D24">
        <v>1</v>
      </c>
      <c r="E24" s="46">
        <f>D24*(1-E18)</f>
        <v>1.0042143892331377</v>
      </c>
      <c r="F24" s="46">
        <f>E24*(1-F18)</f>
        <v>1.0084465395428837</v>
      </c>
      <c r="G24" s="46">
        <f>F24*(1-G18)</f>
        <v>0.99331984144974039</v>
      </c>
      <c r="H24" s="46">
        <f t="shared" ref="H24:K24" si="5">G24*(1-H18)</f>
        <v>1.0479446441754541</v>
      </c>
      <c r="I24" s="46">
        <f t="shared" si="5"/>
        <v>1.1055733827416803</v>
      </c>
      <c r="J24" s="46">
        <f t="shared" si="5"/>
        <v>1.1663712500659886</v>
      </c>
      <c r="K24" s="46">
        <f t="shared" si="5"/>
        <v>1.230512523381148</v>
      </c>
      <c r="L24" s="53">
        <f>$K$24</f>
        <v>1.230512523381148</v>
      </c>
      <c r="M24" s="53">
        <f t="shared" ref="M24:R24" si="6">$K$24</f>
        <v>1.230512523381148</v>
      </c>
      <c r="N24" s="53">
        <f t="shared" si="6"/>
        <v>1.230512523381148</v>
      </c>
      <c r="O24" s="53">
        <f t="shared" si="6"/>
        <v>1.230512523381148</v>
      </c>
      <c r="P24" s="53">
        <f t="shared" si="6"/>
        <v>1.230512523381148</v>
      </c>
      <c r="Q24" s="53">
        <f t="shared" si="6"/>
        <v>1.230512523381148</v>
      </c>
      <c r="R24" s="53">
        <f t="shared" si="6"/>
        <v>1.230512523381148</v>
      </c>
      <c r="S24" s="53"/>
      <c r="T24" s="53"/>
    </row>
  </sheetData>
  <mergeCells count="5">
    <mergeCell ref="C16:F16"/>
    <mergeCell ref="G16:K16"/>
    <mergeCell ref="G7:K7"/>
    <mergeCell ref="G2:K2"/>
    <mergeCell ref="C7:F7"/>
  </mergeCells>
  <pageMargins left="0.7" right="0.7" top="0.75" bottom="0.75" header="0.3" footer="0.3"/>
  <headerFooter>
    <oddFooter>&amp;C_x000D_&amp;1#&amp;"Century Gothic"&amp;7&amp;K7F7F7F BUSINESS USE ONLY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61"/>
  <sheetViews>
    <sheetView zoomScale="85" zoomScaleNormal="85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AT45" sqref="AT45"/>
    </sheetView>
  </sheetViews>
  <sheetFormatPr defaultRowHeight="14.65" outlineLevelCol="1" x14ac:dyDescent="0.3"/>
  <cols>
    <col min="1" max="1" width="4.6640625" customWidth="1"/>
    <col min="3" max="3" width="11.33203125" customWidth="1"/>
    <col min="4" max="4" width="41.33203125" bestFit="1" customWidth="1"/>
    <col min="6" max="7" width="12.5546875" customWidth="1"/>
    <col min="8" max="8" width="11.33203125" customWidth="1"/>
    <col min="9" max="9" width="11.5546875" customWidth="1"/>
    <col min="10" max="10" width="10.109375" customWidth="1"/>
    <col min="11" max="11" width="9.6640625" customWidth="1"/>
    <col min="12" max="12" width="11" customWidth="1"/>
    <col min="13" max="13" width="37.6640625" customWidth="1"/>
    <col min="14" max="14" width="16.5546875" customWidth="1"/>
    <col min="15" max="15" width="21.6640625" bestFit="1" customWidth="1" outlineLevel="1"/>
    <col min="16" max="16" width="13.33203125" bestFit="1" customWidth="1" outlineLevel="1"/>
    <col min="17" max="17" width="11.109375" customWidth="1" outlineLevel="1"/>
    <col min="18" max="18" width="22.33203125" customWidth="1" outlineLevel="1"/>
    <col min="19" max="19" width="11.33203125" customWidth="1" outlineLevel="1"/>
    <col min="20" max="20" width="12.33203125" customWidth="1" outlineLevel="1"/>
    <col min="21" max="21" width="12.88671875" customWidth="1" outlineLevel="1"/>
    <col min="22" max="22" width="12.33203125" customWidth="1" outlineLevel="1"/>
    <col min="23" max="23" width="12" customWidth="1" outlineLevel="1"/>
    <col min="24" max="25" width="13.5546875" customWidth="1" outlineLevel="1"/>
    <col min="26" max="26" width="13.33203125" customWidth="1"/>
    <col min="27" max="27" width="13.109375" customWidth="1"/>
    <col min="28" max="28" width="11.6640625" hidden="1" customWidth="1" outlineLevel="1"/>
    <col min="29" max="29" width="17.109375" customWidth="1" collapsed="1"/>
    <col min="30" max="30" width="11.6640625" customWidth="1"/>
    <col min="31" max="31" width="12.6640625" customWidth="1"/>
    <col min="32" max="32" width="12.33203125" customWidth="1"/>
    <col min="33" max="33" width="11.6640625" customWidth="1"/>
    <col min="34" max="34" width="11.5546875" customWidth="1"/>
    <col min="35" max="35" width="2.6640625" customWidth="1"/>
    <col min="36" max="37" width="11.33203125" customWidth="1"/>
    <col min="38" max="38" width="11.6640625" customWidth="1"/>
    <col min="39" max="39" width="10.88671875" customWidth="1"/>
    <col min="40" max="40" width="3.5546875" customWidth="1"/>
    <col min="41" max="41" width="10.33203125" customWidth="1"/>
    <col min="42" max="42" width="10.44140625" customWidth="1"/>
    <col min="44" max="44" width="9.88671875" customWidth="1"/>
    <col min="45" max="45" width="11.109375" customWidth="1"/>
    <col min="46" max="46" width="12.109375" customWidth="1"/>
  </cols>
  <sheetData>
    <row r="1" spans="1:46" x14ac:dyDescent="0.3">
      <c r="D1" s="209" t="s">
        <v>49</v>
      </c>
      <c r="H1" s="141" t="s">
        <v>172</v>
      </c>
      <c r="I1" s="141"/>
      <c r="K1" s="141"/>
      <c r="N1" s="141"/>
      <c r="AA1" s="7" t="s">
        <v>133</v>
      </c>
    </row>
    <row r="2" spans="1:46" x14ac:dyDescent="0.3">
      <c r="H2" s="187" t="s">
        <v>177</v>
      </c>
      <c r="I2" s="187"/>
      <c r="K2" s="141"/>
      <c r="Y2" s="7"/>
      <c r="Z2" s="136" t="s">
        <v>132</v>
      </c>
      <c r="AA2" s="7" t="s">
        <v>161</v>
      </c>
    </row>
    <row r="3" spans="1:46" x14ac:dyDescent="0.3">
      <c r="C3" s="5" t="s">
        <v>7</v>
      </c>
      <c r="F3" s="5" t="s">
        <v>196</v>
      </c>
      <c r="S3" s="7"/>
      <c r="T3" s="7"/>
      <c r="U3" s="7"/>
      <c r="V3" s="7"/>
      <c r="W3" s="141"/>
      <c r="Y3" s="198"/>
      <c r="Z3" s="137">
        <f>'FD PTRM Rev Summary'!Q32/'FD PTRM Rev Summary'!Q35</f>
        <v>0.3787591407885999</v>
      </c>
      <c r="AA3" s="150">
        <f>'[2]Revenue summary'!$Q$32/'[2]Revenue summary'!$Q$35</f>
        <v>0.36785837791415876</v>
      </c>
      <c r="AO3" s="5"/>
      <c r="AP3" s="5"/>
      <c r="AQ3" s="5"/>
      <c r="AR3" s="5"/>
    </row>
    <row r="4" spans="1:46" ht="29.35" x14ac:dyDescent="0.3">
      <c r="C4" s="180" t="s">
        <v>173</v>
      </c>
      <c r="D4" s="180" t="s">
        <v>173</v>
      </c>
      <c r="E4" s="180" t="s">
        <v>173</v>
      </c>
      <c r="H4" s="213" t="s">
        <v>30</v>
      </c>
      <c r="I4" s="215"/>
      <c r="J4" s="151" t="s">
        <v>189</v>
      </c>
      <c r="K4" s="180" t="s">
        <v>174</v>
      </c>
      <c r="L4" s="180" t="s">
        <v>174</v>
      </c>
      <c r="M4" s="162"/>
      <c r="N4" s="180" t="s">
        <v>202</v>
      </c>
      <c r="O4" s="187" t="s">
        <v>174</v>
      </c>
      <c r="P4" s="187" t="s">
        <v>174</v>
      </c>
      <c r="Q4" s="187" t="s">
        <v>175</v>
      </c>
      <c r="R4" s="187" t="s">
        <v>174</v>
      </c>
      <c r="S4" s="187" t="s">
        <v>174</v>
      </c>
      <c r="T4" s="187" t="s">
        <v>174</v>
      </c>
      <c r="U4" s="187" t="s">
        <v>174</v>
      </c>
      <c r="V4" s="187" t="s">
        <v>174</v>
      </c>
      <c r="W4" s="203"/>
      <c r="X4" s="147" t="s">
        <v>176</v>
      </c>
      <c r="Y4" s="147"/>
      <c r="Z4" s="180" t="s">
        <v>178</v>
      </c>
      <c r="AA4" s="7" t="s">
        <v>39</v>
      </c>
      <c r="AD4" s="7" t="s">
        <v>38</v>
      </c>
      <c r="AE4" s="7" t="s">
        <v>40</v>
      </c>
      <c r="AG4" s="180" t="s">
        <v>179</v>
      </c>
      <c r="AH4" s="7" t="s">
        <v>123</v>
      </c>
      <c r="AJ4" s="5"/>
      <c r="AK4" s="5"/>
      <c r="AL4" s="7" t="s">
        <v>124</v>
      </c>
      <c r="AM4" s="7" t="s">
        <v>125</v>
      </c>
      <c r="AO4" s="216" t="s">
        <v>43</v>
      </c>
      <c r="AP4" s="217"/>
      <c r="AQ4" s="217"/>
      <c r="AR4" s="217"/>
      <c r="AS4" s="217"/>
      <c r="AT4" s="218"/>
    </row>
    <row r="5" spans="1:46" ht="57.35" x14ac:dyDescent="0.3">
      <c r="A5" s="1" t="s">
        <v>51</v>
      </c>
      <c r="B5" s="1" t="s">
        <v>1</v>
      </c>
      <c r="C5" s="1" t="s">
        <v>0</v>
      </c>
      <c r="D5" s="1" t="s">
        <v>2</v>
      </c>
      <c r="E5" s="1" t="s">
        <v>3</v>
      </c>
      <c r="F5" s="1" t="s">
        <v>126</v>
      </c>
      <c r="G5" s="125"/>
      <c r="H5" s="33" t="s">
        <v>121</v>
      </c>
      <c r="I5" s="33" t="s">
        <v>122</v>
      </c>
      <c r="J5" s="2" t="s">
        <v>4</v>
      </c>
      <c r="K5" s="1" t="s">
        <v>193</v>
      </c>
      <c r="L5" s="1" t="s">
        <v>194</v>
      </c>
      <c r="M5" s="1" t="s">
        <v>200</v>
      </c>
      <c r="N5" s="1" t="s">
        <v>37</v>
      </c>
      <c r="O5" s="8" t="s">
        <v>234</v>
      </c>
      <c r="P5" s="8" t="s">
        <v>235</v>
      </c>
      <c r="Q5" s="8" t="s">
        <v>15</v>
      </c>
      <c r="R5" s="8" t="s">
        <v>236</v>
      </c>
      <c r="S5" s="8" t="s">
        <v>190</v>
      </c>
      <c r="T5" s="8" t="s">
        <v>180</v>
      </c>
      <c r="U5" s="8" t="s">
        <v>288</v>
      </c>
      <c r="V5" s="8" t="s">
        <v>204</v>
      </c>
      <c r="W5" s="8" t="s">
        <v>18</v>
      </c>
      <c r="X5" s="8" t="s">
        <v>29</v>
      </c>
      <c r="Y5" s="8" t="s">
        <v>206</v>
      </c>
      <c r="Z5" s="34" t="s">
        <v>46</v>
      </c>
      <c r="AA5" s="34" t="s">
        <v>134</v>
      </c>
      <c r="AB5" s="123" t="s">
        <v>31</v>
      </c>
      <c r="AC5" s="34" t="s">
        <v>35</v>
      </c>
      <c r="AD5" s="34" t="s">
        <v>32</v>
      </c>
      <c r="AE5" s="34" t="s">
        <v>33</v>
      </c>
      <c r="AF5" s="34" t="s">
        <v>47</v>
      </c>
      <c r="AG5" s="34" t="s">
        <v>34</v>
      </c>
      <c r="AH5" s="4" t="s">
        <v>119</v>
      </c>
      <c r="AI5" s="75"/>
      <c r="AJ5" s="4" t="s">
        <v>118</v>
      </c>
      <c r="AK5" s="4" t="s">
        <v>34</v>
      </c>
      <c r="AL5" s="4" t="s">
        <v>120</v>
      </c>
      <c r="AM5" s="42" t="s">
        <v>126</v>
      </c>
      <c r="AN5" s="73"/>
      <c r="AO5" s="4" t="s">
        <v>130</v>
      </c>
      <c r="AP5" s="4" t="s">
        <v>48</v>
      </c>
      <c r="AQ5" s="35" t="s">
        <v>129</v>
      </c>
      <c r="AR5" s="35" t="s">
        <v>9</v>
      </c>
      <c r="AS5" s="42" t="s">
        <v>127</v>
      </c>
      <c r="AT5" s="42" t="s">
        <v>128</v>
      </c>
    </row>
    <row r="6" spans="1:46" x14ac:dyDescent="0.3">
      <c r="A6" s="163">
        <v>1</v>
      </c>
      <c r="B6" s="164" t="s">
        <v>5</v>
      </c>
      <c r="C6" s="165" t="s">
        <v>197</v>
      </c>
      <c r="D6" s="208"/>
      <c r="E6" s="197" t="s">
        <v>6</v>
      </c>
      <c r="F6" s="168">
        <f t="shared" ref="F6:F33" si="0">H6+I6</f>
        <v>2000</v>
      </c>
      <c r="G6" s="169">
        <f t="shared" ref="G6:G37" si="1">F6/(-Z6+I6)</f>
        <v>0.13502208151121034</v>
      </c>
      <c r="H6" s="188">
        <v>2000</v>
      </c>
      <c r="I6" s="188">
        <v>0</v>
      </c>
      <c r="J6" s="199">
        <v>0</v>
      </c>
      <c r="K6" s="192">
        <v>68</v>
      </c>
      <c r="L6" s="192">
        <v>85</v>
      </c>
      <c r="M6" s="170"/>
      <c r="N6" s="181">
        <v>1</v>
      </c>
      <c r="O6" s="182" t="s">
        <v>45</v>
      </c>
      <c r="P6" s="183" t="s">
        <v>13</v>
      </c>
      <c r="Q6" s="183" t="s">
        <v>16</v>
      </c>
      <c r="R6" s="182" t="s">
        <v>12</v>
      </c>
      <c r="S6" s="179">
        <v>2000</v>
      </c>
      <c r="T6" s="184" t="s">
        <v>11</v>
      </c>
      <c r="U6" s="184" t="s">
        <v>11</v>
      </c>
      <c r="V6" s="184">
        <v>1</v>
      </c>
      <c r="W6" s="171" t="str">
        <f>IF(AND(U6="N",L6&gt;=Lookups!$C$25),"Y",IF(AND(U6="Y",L6&gt;=Lookups!$C$23),"Y","N"))</f>
        <v>Y</v>
      </c>
      <c r="X6" s="171">
        <v>15</v>
      </c>
      <c r="Y6" s="172">
        <v>14812.392000000002</v>
      </c>
      <c r="Z6" s="179">
        <f>Y6*-1</f>
        <v>-14812.392000000002</v>
      </c>
      <c r="AA6" s="172">
        <f>IF(W6="N",'Duos revenue'!C219*(1-$AA$3)-MCR!Q4,'Duos revenue'!C219*(1-$AA$3))</f>
        <v>121377.72938870655</v>
      </c>
      <c r="AB6" s="172" t="e">
        <f>-#REF!</f>
        <v>#REF!</v>
      </c>
      <c r="AC6" s="172">
        <f>IF(W6="N",0,-MCR!Q4)</f>
        <v>-31258</v>
      </c>
      <c r="AD6" s="173">
        <f>Z6+AC6</f>
        <v>-46070.392</v>
      </c>
      <c r="AE6" s="173">
        <f>AA6+AD6</f>
        <v>75307.337388706539</v>
      </c>
      <c r="AF6" s="173">
        <f>IF(AE6&gt;0,0,IF(Z6&lt;AE6,-AE6,-Z6))</f>
        <v>0</v>
      </c>
      <c r="AG6" s="179">
        <v>3267</v>
      </c>
      <c r="AH6" s="143">
        <f t="shared" ref="AH6:AH37" si="2">IF(AND(AL6&gt;0,AF6=0),0,MAX(AF6-AG6,S6))</f>
        <v>2000</v>
      </c>
      <c r="AI6" s="76"/>
      <c r="AJ6" s="178">
        <v>0</v>
      </c>
      <c r="AK6" s="178">
        <v>0</v>
      </c>
      <c r="AL6" s="145">
        <f t="shared" ref="AL6:AL14" si="3">-AJ6-AK6</f>
        <v>0</v>
      </c>
      <c r="AM6" s="145">
        <f>AH6+AL6</f>
        <v>2000</v>
      </c>
      <c r="AN6" s="38"/>
      <c r="AO6" s="143">
        <f t="shared" ref="AO6:AO37" si="4">AH6-H6</f>
        <v>0</v>
      </c>
      <c r="AP6" s="158">
        <f t="shared" ref="AP6:AP37" si="5">IF(H6=0,0,AO6/H6)</f>
        <v>0</v>
      </c>
      <c r="AQ6" s="145">
        <f t="shared" ref="AQ6:AQ37" si="6">AL6-I6</f>
        <v>0</v>
      </c>
      <c r="AR6" s="161">
        <f t="shared" ref="AR6:AR37" si="7">IF(I6=0,0,AQ6/I6)</f>
        <v>0</v>
      </c>
      <c r="AS6" s="145">
        <f t="shared" ref="AS6:AS37" si="8">AM6-F6</f>
        <v>0</v>
      </c>
      <c r="AT6" s="161">
        <f t="shared" ref="AT6:AT37" si="9">IF(F6=0,0,AS6/F6)</f>
        <v>0</v>
      </c>
    </row>
    <row r="7" spans="1:46" ht="44" x14ac:dyDescent="0.3">
      <c r="A7" s="163">
        <v>2</v>
      </c>
      <c r="B7" s="164" t="s">
        <v>5</v>
      </c>
      <c r="C7" s="165" t="s">
        <v>199</v>
      </c>
      <c r="D7" s="208"/>
      <c r="E7" s="197" t="s">
        <v>6</v>
      </c>
      <c r="F7" s="168">
        <f t="shared" si="0"/>
        <v>34005</v>
      </c>
      <c r="G7" s="169">
        <f t="shared" si="1"/>
        <v>0.40665010699256704</v>
      </c>
      <c r="H7" s="188">
        <v>34005</v>
      </c>
      <c r="I7" s="188">
        <v>0</v>
      </c>
      <c r="J7" s="199" t="s">
        <v>303</v>
      </c>
      <c r="K7" s="192">
        <v>88</v>
      </c>
      <c r="L7" s="192">
        <v>45</v>
      </c>
      <c r="M7" s="174" t="s">
        <v>201</v>
      </c>
      <c r="N7" s="181">
        <v>1</v>
      </c>
      <c r="O7" s="182" t="s">
        <v>45</v>
      </c>
      <c r="P7" s="183" t="s">
        <v>13</v>
      </c>
      <c r="Q7" s="183" t="s">
        <v>16</v>
      </c>
      <c r="R7" s="183" t="s">
        <v>17</v>
      </c>
      <c r="S7" s="179">
        <v>1500</v>
      </c>
      <c r="T7" s="184" t="s">
        <v>11</v>
      </c>
      <c r="U7" s="184" t="s">
        <v>11</v>
      </c>
      <c r="V7" s="184">
        <v>1</v>
      </c>
      <c r="W7" s="171" t="str">
        <f>IF(AND(U7="N",L7&gt;=Lookups!$C$25),"Y",IF(AND(U7="Y",L7&gt;=Lookups!$C$23),"Y","N"))</f>
        <v>Y</v>
      </c>
      <c r="X7" s="171">
        <v>15</v>
      </c>
      <c r="Y7" s="172">
        <v>83622.257599999997</v>
      </c>
      <c r="Z7" s="179">
        <f t="shared" ref="Z7:Z55" si="10">Y7*-1</f>
        <v>-83622.257599999997</v>
      </c>
      <c r="AA7" s="172">
        <f>IF(W7="N",'Duos revenue'!C220*(1-$AA$3)-MCR!Q5,'Duos revenue'!C220*(1-$AA$3))</f>
        <v>67052.375322723339</v>
      </c>
      <c r="AB7" s="172" t="e">
        <f>-#REF!</f>
        <v>#REF!</v>
      </c>
      <c r="AC7" s="172">
        <f>IF(W7="N",0,-MCR!Q5)</f>
        <v>-25556</v>
      </c>
      <c r="AD7" s="173">
        <f t="shared" ref="AD7:AD34" si="11">Z7+AC7</f>
        <v>-109178.2576</v>
      </c>
      <c r="AE7" s="173">
        <f t="shared" ref="AE7:AE34" si="12">AA7+AD7</f>
        <v>-42125.882277276658</v>
      </c>
      <c r="AF7" s="173">
        <f t="shared" ref="AF7:AF34" si="13">IF(AE7&gt;0,0,IF(Z7&lt;AE7,-AE7,-Z7))</f>
        <v>42125.882277276658</v>
      </c>
      <c r="AG7" s="179">
        <v>5970</v>
      </c>
      <c r="AH7" s="143">
        <f t="shared" si="2"/>
        <v>36155.882277276658</v>
      </c>
      <c r="AI7" s="76"/>
      <c r="AJ7" s="178">
        <v>0</v>
      </c>
      <c r="AK7" s="178">
        <v>0</v>
      </c>
      <c r="AL7" s="145">
        <f t="shared" si="3"/>
        <v>0</v>
      </c>
      <c r="AM7" s="145">
        <f t="shared" ref="AM7:AM32" si="14">AH7+AL7</f>
        <v>36155.882277276658</v>
      </c>
      <c r="AN7" s="38"/>
      <c r="AO7" s="143">
        <f>AH7-H7</f>
        <v>2150.882277276658</v>
      </c>
      <c r="AP7" s="158">
        <f t="shared" si="5"/>
        <v>6.3251941693182115E-2</v>
      </c>
      <c r="AQ7" s="145">
        <f t="shared" si="6"/>
        <v>0</v>
      </c>
      <c r="AR7" s="161">
        <f t="shared" si="7"/>
        <v>0</v>
      </c>
      <c r="AS7" s="145">
        <f t="shared" si="8"/>
        <v>2150.882277276658</v>
      </c>
      <c r="AT7" s="161">
        <f t="shared" si="9"/>
        <v>6.3251941693182115E-2</v>
      </c>
    </row>
    <row r="8" spans="1:46" x14ac:dyDescent="0.3">
      <c r="A8" s="163">
        <v>3</v>
      </c>
      <c r="B8" s="164" t="s">
        <v>5</v>
      </c>
      <c r="C8" s="165" t="s">
        <v>203</v>
      </c>
      <c r="D8" s="208"/>
      <c r="E8" s="197" t="s">
        <v>6</v>
      </c>
      <c r="F8" s="168">
        <f t="shared" si="0"/>
        <v>40363</v>
      </c>
      <c r="G8" s="169">
        <f t="shared" si="1"/>
        <v>0.297969950797567</v>
      </c>
      <c r="H8" s="188">
        <v>40363</v>
      </c>
      <c r="I8" s="188">
        <v>0</v>
      </c>
      <c r="J8" s="199" t="s">
        <v>304</v>
      </c>
      <c r="K8" s="193">
        <v>230</v>
      </c>
      <c r="L8" s="192">
        <v>287.5</v>
      </c>
      <c r="M8" s="170"/>
      <c r="N8" s="181">
        <v>1</v>
      </c>
      <c r="O8" s="182" t="s">
        <v>45</v>
      </c>
      <c r="P8" s="183" t="s">
        <v>13</v>
      </c>
      <c r="Q8" s="182" t="s">
        <v>36</v>
      </c>
      <c r="R8" s="183" t="s">
        <v>12</v>
      </c>
      <c r="S8" s="179">
        <v>2000</v>
      </c>
      <c r="T8" s="184" t="s">
        <v>11</v>
      </c>
      <c r="U8" s="184" t="s">
        <v>11</v>
      </c>
      <c r="V8" s="184">
        <f>4/12</f>
        <v>0.33333333333333331</v>
      </c>
      <c r="W8" s="171" t="str">
        <f>IF(AND(U8="N",L8&gt;=Lookups!$C$25),"Y",IF(AND(U8="Y",L8&gt;=Lookups!$C$23),"Y","N"))</f>
        <v>Y</v>
      </c>
      <c r="X8" s="171">
        <v>15</v>
      </c>
      <c r="Y8" s="172">
        <v>135459.96799999999</v>
      </c>
      <c r="Z8" s="179">
        <f t="shared" si="10"/>
        <v>-135459.96799999999</v>
      </c>
      <c r="AA8" s="172">
        <f>IF(W8="N",'Duos revenue'!C221*(1-$AA$3)-MCR!Q6,'Duos revenue'!C221*(1-$AA$3))</f>
        <v>110769.73009112499</v>
      </c>
      <c r="AB8" s="172" t="e">
        <f>-#REF!</f>
        <v>#REF!</v>
      </c>
      <c r="AC8" s="172">
        <f>IF(W8="N",0,-MCR!Q6)</f>
        <v>-105726</v>
      </c>
      <c r="AD8" s="173">
        <f>Z8+AC8</f>
        <v>-241185.96799999999</v>
      </c>
      <c r="AE8" s="173">
        <f t="shared" si="12"/>
        <v>-130416.237908875</v>
      </c>
      <c r="AF8" s="173">
        <f t="shared" si="13"/>
        <v>130416.237908875</v>
      </c>
      <c r="AG8" s="179">
        <v>1904</v>
      </c>
      <c r="AH8" s="143">
        <f t="shared" si="2"/>
        <v>128512.237908875</v>
      </c>
      <c r="AI8" s="76"/>
      <c r="AJ8" s="178">
        <v>0</v>
      </c>
      <c r="AK8" s="178">
        <v>0</v>
      </c>
      <c r="AL8" s="145">
        <f t="shared" si="3"/>
        <v>0</v>
      </c>
      <c r="AM8" s="145">
        <f t="shared" si="14"/>
        <v>128512.237908875</v>
      </c>
      <c r="AN8" s="38"/>
      <c r="AO8" s="143">
        <f t="shared" si="4"/>
        <v>88149.237908875002</v>
      </c>
      <c r="AP8" s="158">
        <f t="shared" si="5"/>
        <v>2.1839119468046233</v>
      </c>
      <c r="AQ8" s="145">
        <f t="shared" si="6"/>
        <v>0</v>
      </c>
      <c r="AR8" s="161">
        <f t="shared" si="7"/>
        <v>0</v>
      </c>
      <c r="AS8" s="145">
        <f t="shared" si="8"/>
        <v>88149.237908875002</v>
      </c>
      <c r="AT8" s="161">
        <f t="shared" si="9"/>
        <v>2.1839119468046233</v>
      </c>
    </row>
    <row r="9" spans="1:46" x14ac:dyDescent="0.3">
      <c r="A9" s="163">
        <v>4</v>
      </c>
      <c r="B9" s="164" t="s">
        <v>5</v>
      </c>
      <c r="C9" s="165" t="s">
        <v>280</v>
      </c>
      <c r="D9" s="208"/>
      <c r="E9" s="197" t="s">
        <v>6</v>
      </c>
      <c r="F9" s="168">
        <f t="shared" ref="F9" si="15">H9+I9</f>
        <v>13903</v>
      </c>
      <c r="G9" s="169">
        <f t="shared" ref="G9" si="16">F9/(-Z9+I9)</f>
        <v>0.10071757567204201</v>
      </c>
      <c r="H9" s="188">
        <v>13903</v>
      </c>
      <c r="I9" s="188"/>
      <c r="J9" s="199" t="s">
        <v>305</v>
      </c>
      <c r="K9" s="193">
        <v>350</v>
      </c>
      <c r="L9" s="192">
        <v>437.5</v>
      </c>
      <c r="M9" s="174"/>
      <c r="N9" s="181">
        <v>1</v>
      </c>
      <c r="O9" s="182" t="s">
        <v>230</v>
      </c>
      <c r="P9" s="183" t="s">
        <v>13</v>
      </c>
      <c r="Q9" s="183" t="s">
        <v>273</v>
      </c>
      <c r="R9" s="183" t="s">
        <v>17</v>
      </c>
      <c r="S9" s="179">
        <v>2000</v>
      </c>
      <c r="T9" s="184" t="s">
        <v>11</v>
      </c>
      <c r="U9" s="184" t="s">
        <v>11</v>
      </c>
      <c r="V9" s="184">
        <v>1</v>
      </c>
      <c r="W9" s="171" t="str">
        <f>IF(AND(U9="N",L9&gt;=Lookups!$C$25),"Y",IF(AND(U9="Y",L9&gt;=Lookups!$C$23),"Y","N"))</f>
        <v>Y</v>
      </c>
      <c r="X9" s="171">
        <v>15</v>
      </c>
      <c r="Y9" s="172">
        <v>138039.46240000002</v>
      </c>
      <c r="Z9" s="179">
        <f t="shared" si="10"/>
        <v>-138039.46240000002</v>
      </c>
      <c r="AA9" s="172">
        <f>IF(W9="N",'Duos revenue'!C222*(1-$AA$3)-MCR!Q7,'Duos revenue'!C222*(1-$AA$3))</f>
        <v>494466.57721106429</v>
      </c>
      <c r="AB9" s="172" t="e">
        <f>-#REF!</f>
        <v>#REF!</v>
      </c>
      <c r="AC9" s="172">
        <f>IF(W9="N",0,-MCR!Q7)</f>
        <v>-248460</v>
      </c>
      <c r="AD9" s="173">
        <f t="shared" si="11"/>
        <v>-386499.46240000002</v>
      </c>
      <c r="AE9" s="173">
        <f t="shared" si="12"/>
        <v>107967.11481106427</v>
      </c>
      <c r="AF9" s="173">
        <f t="shared" si="13"/>
        <v>0</v>
      </c>
      <c r="AG9" s="179">
        <v>113104</v>
      </c>
      <c r="AH9" s="143">
        <f t="shared" si="2"/>
        <v>2000</v>
      </c>
      <c r="AI9" s="76"/>
      <c r="AJ9" s="178">
        <v>0</v>
      </c>
      <c r="AK9" s="178">
        <v>0</v>
      </c>
      <c r="AL9" s="145">
        <f t="shared" si="3"/>
        <v>0</v>
      </c>
      <c r="AM9" s="145">
        <f t="shared" si="14"/>
        <v>2000</v>
      </c>
      <c r="AN9" s="38"/>
      <c r="AO9" s="143">
        <f t="shared" si="4"/>
        <v>-11903</v>
      </c>
      <c r="AP9" s="158">
        <f t="shared" si="5"/>
        <v>-0.85614615550600592</v>
      </c>
      <c r="AQ9" s="145">
        <f t="shared" si="6"/>
        <v>0</v>
      </c>
      <c r="AR9" s="161">
        <f t="shared" si="7"/>
        <v>0</v>
      </c>
      <c r="AS9" s="145">
        <f t="shared" si="8"/>
        <v>-11903</v>
      </c>
      <c r="AT9" s="161">
        <f t="shared" si="9"/>
        <v>-0.85614615550600592</v>
      </c>
    </row>
    <row r="10" spans="1:46" x14ac:dyDescent="0.3">
      <c r="A10" s="163">
        <v>5</v>
      </c>
      <c r="B10" s="164" t="s">
        <v>5</v>
      </c>
      <c r="C10" s="165" t="s">
        <v>302</v>
      </c>
      <c r="D10" s="208"/>
      <c r="E10" s="197" t="s">
        <v>6</v>
      </c>
      <c r="F10" s="168">
        <f t="shared" si="0"/>
        <v>2000</v>
      </c>
      <c r="G10" s="169">
        <f t="shared" si="1"/>
        <v>2.2571837717587771E-2</v>
      </c>
      <c r="H10" s="188">
        <v>2000</v>
      </c>
      <c r="I10" s="188">
        <v>0</v>
      </c>
      <c r="J10" s="199" t="s">
        <v>306</v>
      </c>
      <c r="K10" s="193">
        <v>351</v>
      </c>
      <c r="L10" s="192">
        <v>288.8</v>
      </c>
      <c r="M10" s="170"/>
      <c r="N10" s="181">
        <v>1</v>
      </c>
      <c r="O10" s="182" t="s">
        <v>230</v>
      </c>
      <c r="P10" s="183" t="s">
        <v>13</v>
      </c>
      <c r="Q10" s="183" t="s">
        <v>273</v>
      </c>
      <c r="R10" s="183" t="s">
        <v>12</v>
      </c>
      <c r="S10" s="179">
        <v>2000</v>
      </c>
      <c r="T10" s="184" t="s">
        <v>11</v>
      </c>
      <c r="U10" s="184" t="s">
        <v>11</v>
      </c>
      <c r="V10" s="184">
        <v>1</v>
      </c>
      <c r="W10" s="171" t="str">
        <f>IF(AND(U10="N",L10&gt;=Lookups!$C$25),"Y",IF(AND(U10="Y",L10&gt;=Lookups!$C$23),"Y","N"))</f>
        <v>Y</v>
      </c>
      <c r="X10" s="171">
        <v>15</v>
      </c>
      <c r="Y10" s="172">
        <v>88605.988800000021</v>
      </c>
      <c r="Z10" s="179">
        <f t="shared" si="10"/>
        <v>-88605.988800000021</v>
      </c>
      <c r="AA10" s="172">
        <f>IF(W10="N",'Duos revenue'!C223*(1-$AA$3)-MCR!Q8,'Duos revenue'!C223*(1-$AA$3))</f>
        <v>616689.7894430845</v>
      </c>
      <c r="AB10" s="172" t="e">
        <f>-#REF!</f>
        <v>#REF!</v>
      </c>
      <c r="AC10" s="172">
        <f>IF(W10="N",0,-MCR!Q8)</f>
        <v>-106204</v>
      </c>
      <c r="AD10" s="173">
        <f t="shared" si="11"/>
        <v>-194809.98880000002</v>
      </c>
      <c r="AE10" s="173">
        <f t="shared" si="12"/>
        <v>421879.80064308445</v>
      </c>
      <c r="AF10" s="173">
        <f t="shared" si="13"/>
        <v>0</v>
      </c>
      <c r="AG10" s="179">
        <v>8619</v>
      </c>
      <c r="AH10" s="143">
        <f t="shared" si="2"/>
        <v>2000</v>
      </c>
      <c r="AI10" s="76"/>
      <c r="AJ10" s="178">
        <v>0</v>
      </c>
      <c r="AK10" s="178">
        <v>0</v>
      </c>
      <c r="AL10" s="145">
        <f t="shared" si="3"/>
        <v>0</v>
      </c>
      <c r="AM10" s="145">
        <f t="shared" si="14"/>
        <v>2000</v>
      </c>
      <c r="AN10" s="38"/>
      <c r="AO10" s="143">
        <f t="shared" si="4"/>
        <v>0</v>
      </c>
      <c r="AP10" s="158">
        <f t="shared" si="5"/>
        <v>0</v>
      </c>
      <c r="AQ10" s="145">
        <f t="shared" si="6"/>
        <v>0</v>
      </c>
      <c r="AR10" s="161">
        <f t="shared" si="7"/>
        <v>0</v>
      </c>
      <c r="AS10" s="145">
        <f t="shared" si="8"/>
        <v>0</v>
      </c>
      <c r="AT10" s="161">
        <f t="shared" si="9"/>
        <v>0</v>
      </c>
    </row>
    <row r="11" spans="1:46" x14ac:dyDescent="0.3">
      <c r="A11" s="163">
        <v>6</v>
      </c>
      <c r="B11" s="164" t="s">
        <v>5</v>
      </c>
      <c r="C11" s="165" t="s">
        <v>294</v>
      </c>
      <c r="D11" s="208"/>
      <c r="E11" s="197" t="s">
        <v>6</v>
      </c>
      <c r="F11" s="168">
        <f t="shared" si="0"/>
        <v>2000</v>
      </c>
      <c r="G11" s="169">
        <f t="shared" si="1"/>
        <v>0.1332124545758851</v>
      </c>
      <c r="H11" s="188">
        <v>2000</v>
      </c>
      <c r="I11" s="188"/>
      <c r="J11" s="199" t="s">
        <v>307</v>
      </c>
      <c r="K11" s="193">
        <v>40</v>
      </c>
      <c r="L11" s="192">
        <v>50</v>
      </c>
      <c r="M11" s="174"/>
      <c r="N11" s="181">
        <v>1</v>
      </c>
      <c r="O11" s="182" t="s">
        <v>216</v>
      </c>
      <c r="P11" s="183" t="s">
        <v>13</v>
      </c>
      <c r="Q11" s="182" t="s">
        <v>16</v>
      </c>
      <c r="R11" s="183" t="s">
        <v>17</v>
      </c>
      <c r="S11" s="179">
        <v>2000</v>
      </c>
      <c r="T11" s="184" t="s">
        <v>11</v>
      </c>
      <c r="U11" s="184" t="s">
        <v>11</v>
      </c>
      <c r="V11" s="184">
        <v>1</v>
      </c>
      <c r="W11" s="171" t="str">
        <f>IF(AND(U11="N",L11&gt;=Lookups!$C$25),"Y",IF(AND(U11="Y",L11&gt;=Lookups!$C$23),"Y","N"))</f>
        <v>Y</v>
      </c>
      <c r="X11" s="171">
        <v>15</v>
      </c>
      <c r="Y11" s="172">
        <v>15013.611200000001</v>
      </c>
      <c r="Z11" s="179">
        <f t="shared" si="10"/>
        <v>-15013.611200000001</v>
      </c>
      <c r="AA11" s="172">
        <f>IF(W11="N",'Duos revenue'!C224*(1-$AA$3)-MCR!Q9,'Duos revenue'!C224*(1-$AA$3))</f>
        <v>55593.17066625788</v>
      </c>
      <c r="AB11" s="172" t="e">
        <f>-#REF!</f>
        <v>#REF!</v>
      </c>
      <c r="AC11" s="172">
        <f>IF(W11="N",0,-MCR!Q9)</f>
        <v>-28395</v>
      </c>
      <c r="AD11" s="173">
        <f t="shared" si="11"/>
        <v>-43408.611199999999</v>
      </c>
      <c r="AE11" s="173">
        <f t="shared" si="12"/>
        <v>12184.559466257881</v>
      </c>
      <c r="AF11" s="173">
        <f t="shared" si="13"/>
        <v>0</v>
      </c>
      <c r="AG11" s="179">
        <v>0</v>
      </c>
      <c r="AH11" s="143">
        <f t="shared" si="2"/>
        <v>2000</v>
      </c>
      <c r="AI11" s="76"/>
      <c r="AJ11" s="178">
        <v>0</v>
      </c>
      <c r="AK11" s="178">
        <v>0</v>
      </c>
      <c r="AL11" s="145">
        <f t="shared" si="3"/>
        <v>0</v>
      </c>
      <c r="AM11" s="145">
        <f t="shared" si="14"/>
        <v>2000</v>
      </c>
      <c r="AN11" s="38"/>
      <c r="AO11" s="143">
        <f t="shared" si="4"/>
        <v>0</v>
      </c>
      <c r="AP11" s="159">
        <f t="shared" si="5"/>
        <v>0</v>
      </c>
      <c r="AQ11" s="145">
        <f t="shared" si="6"/>
        <v>0</v>
      </c>
      <c r="AR11" s="161">
        <f t="shared" si="7"/>
        <v>0</v>
      </c>
      <c r="AS11" s="145">
        <f t="shared" si="8"/>
        <v>0</v>
      </c>
      <c r="AT11" s="161">
        <f t="shared" si="9"/>
        <v>0</v>
      </c>
    </row>
    <row r="12" spans="1:46" x14ac:dyDescent="0.3">
      <c r="A12" s="163">
        <v>7</v>
      </c>
      <c r="B12" s="164" t="s">
        <v>5</v>
      </c>
      <c r="C12" s="165" t="s">
        <v>237</v>
      </c>
      <c r="D12" s="208"/>
      <c r="E12" s="197" t="s">
        <v>6</v>
      </c>
      <c r="F12" s="168">
        <f t="shared" si="0"/>
        <v>1500</v>
      </c>
      <c r="G12" s="169">
        <f t="shared" si="1"/>
        <v>5.3646168413261926E-2</v>
      </c>
      <c r="H12" s="188">
        <v>1500</v>
      </c>
      <c r="I12" s="188">
        <v>0</v>
      </c>
      <c r="J12" s="199" t="s">
        <v>308</v>
      </c>
      <c r="K12" s="193">
        <v>78</v>
      </c>
      <c r="L12" s="192">
        <v>72.5</v>
      </c>
      <c r="M12" s="170"/>
      <c r="N12" s="181">
        <v>1</v>
      </c>
      <c r="O12" s="182" t="s">
        <v>267</v>
      </c>
      <c r="P12" s="183" t="s">
        <v>13</v>
      </c>
      <c r="Q12" s="182" t="s">
        <v>16</v>
      </c>
      <c r="R12" s="183" t="s">
        <v>12</v>
      </c>
      <c r="S12" s="179">
        <v>1500</v>
      </c>
      <c r="T12" s="184" t="s">
        <v>11</v>
      </c>
      <c r="U12" s="184" t="s">
        <v>11</v>
      </c>
      <c r="V12" s="184">
        <v>1</v>
      </c>
      <c r="W12" s="171" t="str">
        <f>IF(AND(U12="N",L12&gt;=Lookups!$C$25),"Y",IF(AND(U12="Y",L12&gt;=Lookups!$C$23),"Y","N"))</f>
        <v>Y</v>
      </c>
      <c r="X12" s="171">
        <v>15</v>
      </c>
      <c r="Y12" s="172">
        <v>27960.990400000002</v>
      </c>
      <c r="Z12" s="179">
        <f t="shared" si="10"/>
        <v>-27960.990400000002</v>
      </c>
      <c r="AA12" s="172">
        <f>IF(W12="N",'Duos revenue'!C225*(1-$AA$3)-MCR!Q10,'Duos revenue'!C225*(1-$AA$3))</f>
        <v>102640.6867075426</v>
      </c>
      <c r="AB12" s="173" t="e">
        <f>-#REF!</f>
        <v>#REF!</v>
      </c>
      <c r="AC12" s="172">
        <f>IF(W12="N",0,-MCR!Q10)</f>
        <v>-26661</v>
      </c>
      <c r="AD12" s="173">
        <f t="shared" si="11"/>
        <v>-54621.990400000002</v>
      </c>
      <c r="AE12" s="173">
        <f t="shared" si="12"/>
        <v>48018.696307542596</v>
      </c>
      <c r="AF12" s="173">
        <f t="shared" si="13"/>
        <v>0</v>
      </c>
      <c r="AG12" s="179">
        <v>9005</v>
      </c>
      <c r="AH12" s="143">
        <f t="shared" si="2"/>
        <v>1500</v>
      </c>
      <c r="AI12" s="76"/>
      <c r="AJ12" s="178">
        <v>0</v>
      </c>
      <c r="AK12" s="178">
        <v>0</v>
      </c>
      <c r="AL12" s="145">
        <f t="shared" si="3"/>
        <v>0</v>
      </c>
      <c r="AM12" s="145">
        <f t="shared" si="14"/>
        <v>1500</v>
      </c>
      <c r="AN12" s="38"/>
      <c r="AO12" s="143">
        <f t="shared" si="4"/>
        <v>0</v>
      </c>
      <c r="AP12" s="158">
        <f t="shared" si="5"/>
        <v>0</v>
      </c>
      <c r="AQ12" s="145">
        <f t="shared" si="6"/>
        <v>0</v>
      </c>
      <c r="AR12" s="161">
        <f t="shared" si="7"/>
        <v>0</v>
      </c>
      <c r="AS12" s="145">
        <f t="shared" si="8"/>
        <v>0</v>
      </c>
      <c r="AT12" s="161">
        <f t="shared" si="9"/>
        <v>0</v>
      </c>
    </row>
    <row r="13" spans="1:46" x14ac:dyDescent="0.3">
      <c r="A13" s="163">
        <v>8</v>
      </c>
      <c r="B13" s="164" t="s">
        <v>5</v>
      </c>
      <c r="C13" s="165" t="s">
        <v>238</v>
      </c>
      <c r="D13" s="208"/>
      <c r="E13" s="197" t="s">
        <v>6</v>
      </c>
      <c r="F13" s="168">
        <f t="shared" si="0"/>
        <v>9394</v>
      </c>
      <c r="G13" s="169">
        <f t="shared" si="1"/>
        <v>0.33658879744196524</v>
      </c>
      <c r="H13" s="188">
        <v>9394</v>
      </c>
      <c r="I13" s="188">
        <v>0</v>
      </c>
      <c r="J13" s="199" t="s">
        <v>309</v>
      </c>
      <c r="K13" s="193">
        <v>90</v>
      </c>
      <c r="L13" s="192">
        <v>12.5</v>
      </c>
      <c r="M13" s="170"/>
      <c r="N13" s="181">
        <v>1</v>
      </c>
      <c r="O13" s="182" t="s">
        <v>45</v>
      </c>
      <c r="P13" s="183" t="s">
        <v>13</v>
      </c>
      <c r="Q13" s="182" t="s">
        <v>16</v>
      </c>
      <c r="R13" s="183" t="s">
        <v>12</v>
      </c>
      <c r="S13" s="179">
        <v>500</v>
      </c>
      <c r="T13" s="184" t="s">
        <v>11</v>
      </c>
      <c r="U13" s="184" t="s">
        <v>11</v>
      </c>
      <c r="V13" s="184">
        <v>1</v>
      </c>
      <c r="W13" s="171" t="str">
        <f>IF(AND(U13="N",L13&gt;=Lookups!$C$25),"Y",IF(AND(U13="Y",L13&gt;=Lookups!$C$23),"Y","N"))</f>
        <v>N</v>
      </c>
      <c r="X13" s="171">
        <v>15</v>
      </c>
      <c r="Y13" s="172">
        <v>27909.425600000002</v>
      </c>
      <c r="Z13" s="179">
        <f t="shared" si="10"/>
        <v>-27909.425600000002</v>
      </c>
      <c r="AA13" s="172">
        <f>IF(W13="N",'Duos revenue'!C226*(1-$AA$3)-MCR!Q11,'Duos revenue'!C226*(1-$AA$3))</f>
        <v>164124.60528849621</v>
      </c>
      <c r="AB13" s="173" t="e">
        <f>-#REF!</f>
        <v>#REF!</v>
      </c>
      <c r="AC13" s="172">
        <f>IF(W13="N",0,-MCR!Q11)</f>
        <v>0</v>
      </c>
      <c r="AD13" s="173">
        <f t="shared" si="11"/>
        <v>-27909.425600000002</v>
      </c>
      <c r="AE13" s="173">
        <f t="shared" si="12"/>
        <v>136215.17968849622</v>
      </c>
      <c r="AF13" s="173">
        <f t="shared" si="13"/>
        <v>0</v>
      </c>
      <c r="AG13" s="179">
        <v>0</v>
      </c>
      <c r="AH13" s="143">
        <f t="shared" si="2"/>
        <v>500</v>
      </c>
      <c r="AI13" s="76"/>
      <c r="AJ13" s="178">
        <v>0</v>
      </c>
      <c r="AK13" s="178">
        <v>0</v>
      </c>
      <c r="AL13" s="145">
        <f t="shared" si="3"/>
        <v>0</v>
      </c>
      <c r="AM13" s="145">
        <f t="shared" si="14"/>
        <v>500</v>
      </c>
      <c r="AN13" s="38"/>
      <c r="AO13" s="143">
        <f t="shared" si="4"/>
        <v>-8894</v>
      </c>
      <c r="AP13" s="159">
        <f t="shared" si="5"/>
        <v>-0.94677453693847136</v>
      </c>
      <c r="AQ13" s="145">
        <f t="shared" si="6"/>
        <v>0</v>
      </c>
      <c r="AR13" s="161">
        <f t="shared" si="7"/>
        <v>0</v>
      </c>
      <c r="AS13" s="145">
        <f t="shared" si="8"/>
        <v>-8894</v>
      </c>
      <c r="AT13" s="161">
        <f t="shared" si="9"/>
        <v>-0.94677453693847136</v>
      </c>
    </row>
    <row r="14" spans="1:46" x14ac:dyDescent="0.3">
      <c r="A14" s="163">
        <v>9</v>
      </c>
      <c r="B14" s="164" t="s">
        <v>5</v>
      </c>
      <c r="C14" s="165" t="s">
        <v>239</v>
      </c>
      <c r="D14" s="208"/>
      <c r="E14" s="197" t="s">
        <v>6</v>
      </c>
      <c r="F14" s="168">
        <f t="shared" si="0"/>
        <v>19173</v>
      </c>
      <c r="G14" s="169">
        <f t="shared" si="1"/>
        <v>0.54278088345941533</v>
      </c>
      <c r="H14" s="188">
        <v>19173</v>
      </c>
      <c r="I14" s="188"/>
      <c r="J14" s="199" t="s">
        <v>310</v>
      </c>
      <c r="K14" s="193">
        <v>2</v>
      </c>
      <c r="L14" s="192">
        <v>2.5</v>
      </c>
      <c r="M14" s="170"/>
      <c r="N14" s="181">
        <v>1</v>
      </c>
      <c r="O14" s="182" t="s">
        <v>216</v>
      </c>
      <c r="P14" s="183" t="s">
        <v>210</v>
      </c>
      <c r="Q14" s="183" t="s">
        <v>281</v>
      </c>
      <c r="R14" s="183" t="s">
        <v>19</v>
      </c>
      <c r="S14" s="179">
        <v>1500</v>
      </c>
      <c r="T14" s="184" t="s">
        <v>11</v>
      </c>
      <c r="U14" s="184" t="s">
        <v>11</v>
      </c>
      <c r="V14" s="184">
        <v>1</v>
      </c>
      <c r="W14" s="171" t="str">
        <f>IF(AND(U14="N",L14&gt;=Lookups!$C$25),"Y",IF(AND(U14="Y",L14&gt;=Lookups!$C$23),"Y","N"))</f>
        <v>N</v>
      </c>
      <c r="X14" s="171">
        <v>15</v>
      </c>
      <c r="Y14" s="172">
        <v>35323.646400000005</v>
      </c>
      <c r="Z14" s="179">
        <f t="shared" si="10"/>
        <v>-35323.646400000005</v>
      </c>
      <c r="AA14" s="172">
        <f>IF(W14="N",'Duos revenue'!C227*(1-$AA$3)-MCR!Q12,'Duos revenue'!C227*(1-$AA$3))</f>
        <v>-831.9087499017453</v>
      </c>
      <c r="AB14" s="173" t="e">
        <f>-#REF!</f>
        <v>#REF!</v>
      </c>
      <c r="AC14" s="172">
        <f>IF(W14="N",0,-MCR!Q12)</f>
        <v>0</v>
      </c>
      <c r="AD14" s="173">
        <f t="shared" si="11"/>
        <v>-35323.646400000005</v>
      </c>
      <c r="AE14" s="173">
        <f t="shared" si="12"/>
        <v>-36155.555149901753</v>
      </c>
      <c r="AF14" s="173">
        <f t="shared" si="13"/>
        <v>35323.646400000005</v>
      </c>
      <c r="AG14" s="179">
        <v>0</v>
      </c>
      <c r="AH14" s="143">
        <f t="shared" si="2"/>
        <v>35323.646400000005</v>
      </c>
      <c r="AI14" s="76"/>
      <c r="AJ14" s="178">
        <v>0</v>
      </c>
      <c r="AK14" s="178">
        <v>0</v>
      </c>
      <c r="AL14" s="145">
        <f t="shared" si="3"/>
        <v>0</v>
      </c>
      <c r="AM14" s="145">
        <f t="shared" si="14"/>
        <v>35323.646400000005</v>
      </c>
      <c r="AN14" s="38"/>
      <c r="AO14" s="143">
        <f t="shared" si="4"/>
        <v>16150.646400000005</v>
      </c>
      <c r="AP14" s="158">
        <f t="shared" si="5"/>
        <v>0.84236407447973738</v>
      </c>
      <c r="AQ14" s="145">
        <f t="shared" si="6"/>
        <v>0</v>
      </c>
      <c r="AR14" s="161">
        <f t="shared" si="7"/>
        <v>0</v>
      </c>
      <c r="AS14" s="145">
        <f t="shared" si="8"/>
        <v>16150.646400000005</v>
      </c>
      <c r="AT14" s="161">
        <f t="shared" si="9"/>
        <v>0.84236407447973738</v>
      </c>
    </row>
    <row r="15" spans="1:46" x14ac:dyDescent="0.3">
      <c r="A15" s="163">
        <v>10</v>
      </c>
      <c r="B15" s="164" t="s">
        <v>5</v>
      </c>
      <c r="C15" s="165" t="s">
        <v>240</v>
      </c>
      <c r="D15" s="208"/>
      <c r="E15" s="197" t="s">
        <v>6</v>
      </c>
      <c r="F15" s="168">
        <f t="shared" si="0"/>
        <v>91935</v>
      </c>
      <c r="G15" s="169">
        <f t="shared" si="1"/>
        <v>0.49091760932245759</v>
      </c>
      <c r="H15" s="190">
        <v>91935</v>
      </c>
      <c r="I15" s="188"/>
      <c r="J15" s="199" t="s">
        <v>311</v>
      </c>
      <c r="K15" s="193">
        <v>135</v>
      </c>
      <c r="L15" s="192">
        <v>168.8</v>
      </c>
      <c r="M15" s="170"/>
      <c r="N15" s="181">
        <v>1</v>
      </c>
      <c r="O15" s="182" t="s">
        <v>218</v>
      </c>
      <c r="P15" s="183" t="s">
        <v>210</v>
      </c>
      <c r="Q15" s="182" t="s">
        <v>281</v>
      </c>
      <c r="R15" s="182" t="s">
        <v>12</v>
      </c>
      <c r="S15" s="179">
        <v>500</v>
      </c>
      <c r="T15" s="184" t="s">
        <v>11</v>
      </c>
      <c r="U15" s="184" t="s">
        <v>11</v>
      </c>
      <c r="V15" s="184">
        <v>1</v>
      </c>
      <c r="W15" s="171" t="str">
        <f>IF(AND(U15="N",L15&gt;=Lookups!$C$25),"Y",IF(AND(U15="Y",L15&gt;=Lookups!$C$23),"Y","N"))</f>
        <v>Y</v>
      </c>
      <c r="X15" s="171">
        <v>15</v>
      </c>
      <c r="Y15" s="172">
        <v>187271.75040000002</v>
      </c>
      <c r="Z15" s="179">
        <f t="shared" si="10"/>
        <v>-187271.75040000002</v>
      </c>
      <c r="AA15" s="172">
        <f>IF(W15="N",'Duos revenue'!C228*(1-$AA$3)-MCR!Q13,'Duos revenue'!C228*(1-$AA$3))</f>
        <v>77191.320546077957</v>
      </c>
      <c r="AB15" s="172" t="e">
        <f>-#REF!</f>
        <v>#REF!</v>
      </c>
      <c r="AC15" s="172">
        <f>IF(W15="N",0,-MCR!Q13)</f>
        <v>-62075</v>
      </c>
      <c r="AD15" s="173">
        <f t="shared" si="11"/>
        <v>-249346.75040000002</v>
      </c>
      <c r="AE15" s="173">
        <f t="shared" si="12"/>
        <v>-172155.42985392205</v>
      </c>
      <c r="AF15" s="173">
        <f t="shared" si="13"/>
        <v>172155.42985392205</v>
      </c>
      <c r="AG15" s="179">
        <v>0</v>
      </c>
      <c r="AH15" s="143">
        <f t="shared" si="2"/>
        <v>172155.42985392205</v>
      </c>
      <c r="AI15" s="76"/>
      <c r="AJ15" s="178">
        <v>0</v>
      </c>
      <c r="AK15" s="178">
        <v>0</v>
      </c>
      <c r="AL15" s="145">
        <f>-AJ15-AK15</f>
        <v>0</v>
      </c>
      <c r="AM15" s="145">
        <f t="shared" si="14"/>
        <v>172155.42985392205</v>
      </c>
      <c r="AN15" s="38"/>
      <c r="AO15" s="143">
        <f t="shared" si="4"/>
        <v>80220.429853922047</v>
      </c>
      <c r="AP15" s="158">
        <f t="shared" si="5"/>
        <v>0.87257768917084944</v>
      </c>
      <c r="AQ15" s="145">
        <f t="shared" si="6"/>
        <v>0</v>
      </c>
      <c r="AR15" s="161">
        <f t="shared" si="7"/>
        <v>0</v>
      </c>
      <c r="AS15" s="145">
        <f t="shared" si="8"/>
        <v>80220.429853922047</v>
      </c>
      <c r="AT15" s="161">
        <f t="shared" si="9"/>
        <v>0.87257768917084944</v>
      </c>
    </row>
    <row r="16" spans="1:46" x14ac:dyDescent="0.3">
      <c r="A16" s="163">
        <v>11</v>
      </c>
      <c r="B16" s="164" t="s">
        <v>5</v>
      </c>
      <c r="C16" s="165" t="s">
        <v>241</v>
      </c>
      <c r="D16" s="208"/>
      <c r="E16" s="197" t="s">
        <v>6</v>
      </c>
      <c r="F16" s="168">
        <f t="shared" si="0"/>
        <v>8660</v>
      </c>
      <c r="G16" s="169">
        <f t="shared" si="1"/>
        <v>0.43191454691385978</v>
      </c>
      <c r="H16" s="188">
        <v>8660</v>
      </c>
      <c r="I16" s="188"/>
      <c r="J16" s="199" t="s">
        <v>312</v>
      </c>
      <c r="K16" s="193">
        <v>34</v>
      </c>
      <c r="L16" s="192">
        <v>10</v>
      </c>
      <c r="M16" s="170"/>
      <c r="N16" s="181">
        <v>1</v>
      </c>
      <c r="O16" s="182" t="s">
        <v>45</v>
      </c>
      <c r="P16" s="183" t="s">
        <v>13</v>
      </c>
      <c r="Q16" s="183" t="s">
        <v>16</v>
      </c>
      <c r="R16" s="183" t="s">
        <v>12</v>
      </c>
      <c r="S16" s="179">
        <v>1500</v>
      </c>
      <c r="T16" s="184" t="s">
        <v>11</v>
      </c>
      <c r="U16" s="184" t="s">
        <v>11</v>
      </c>
      <c r="V16" s="184">
        <f>6/12</f>
        <v>0.5</v>
      </c>
      <c r="W16" s="171" t="str">
        <f>IF(AND(U16="N",L16&gt;=Lookups!$C$25),"Y",IF(AND(U16="Y",L16&gt;=Lookups!$C$23),"Y","N"))</f>
        <v>N</v>
      </c>
      <c r="X16" s="171">
        <v>15</v>
      </c>
      <c r="Y16" s="172">
        <v>20050.262400000003</v>
      </c>
      <c r="Z16" s="179">
        <f t="shared" si="10"/>
        <v>-20050.262400000003</v>
      </c>
      <c r="AA16" s="172">
        <f>IF(W16="N",'Duos revenue'!C229*(1-$AA$3)-MCR!Q14,'Duos revenue'!C229*(1-$AA$3))</f>
        <v>2643.4741752420377</v>
      </c>
      <c r="AB16" s="172" t="e">
        <f>-#REF!</f>
        <v>#REF!</v>
      </c>
      <c r="AC16" s="172">
        <f>IF(W16="N",0,-MCR!Q14)</f>
        <v>0</v>
      </c>
      <c r="AD16" s="173">
        <f t="shared" si="11"/>
        <v>-20050.262400000003</v>
      </c>
      <c r="AE16" s="173">
        <f t="shared" si="12"/>
        <v>-17406.788224757966</v>
      </c>
      <c r="AF16" s="173">
        <f t="shared" si="13"/>
        <v>17406.788224757966</v>
      </c>
      <c r="AG16" s="179">
        <v>13748</v>
      </c>
      <c r="AH16" s="143">
        <f t="shared" si="2"/>
        <v>3658.7882247579655</v>
      </c>
      <c r="AI16" s="76"/>
      <c r="AJ16" s="178">
        <v>0</v>
      </c>
      <c r="AK16" s="178">
        <v>0</v>
      </c>
      <c r="AL16" s="145">
        <f t="shared" ref="AL16:AL34" si="17">-AJ16-AK16</f>
        <v>0</v>
      </c>
      <c r="AM16" s="145">
        <f t="shared" si="14"/>
        <v>3658.7882247579655</v>
      </c>
      <c r="AN16" s="38"/>
      <c r="AO16" s="143">
        <f t="shared" si="4"/>
        <v>-5001.2117752420345</v>
      </c>
      <c r="AP16" s="158">
        <f t="shared" si="5"/>
        <v>-0.577507133399773</v>
      </c>
      <c r="AQ16" s="145">
        <f t="shared" si="6"/>
        <v>0</v>
      </c>
      <c r="AR16" s="161">
        <f t="shared" si="7"/>
        <v>0</v>
      </c>
      <c r="AS16" s="145">
        <f t="shared" si="8"/>
        <v>-5001.2117752420345</v>
      </c>
      <c r="AT16" s="161">
        <f t="shared" si="9"/>
        <v>-0.577507133399773</v>
      </c>
    </row>
    <row r="17" spans="1:46" x14ac:dyDescent="0.3">
      <c r="A17" s="163">
        <v>12</v>
      </c>
      <c r="B17" s="164" t="s">
        <v>5</v>
      </c>
      <c r="C17" s="165" t="s">
        <v>242</v>
      </c>
      <c r="D17" s="208"/>
      <c r="E17" s="197" t="s">
        <v>6</v>
      </c>
      <c r="F17" s="168">
        <f t="shared" si="0"/>
        <v>2000</v>
      </c>
      <c r="G17" s="169">
        <f t="shared" si="1"/>
        <v>2.5197318182904872E-2</v>
      </c>
      <c r="H17" s="188">
        <v>2000</v>
      </c>
      <c r="I17" s="188"/>
      <c r="J17" s="199" t="s">
        <v>313</v>
      </c>
      <c r="K17" s="193">
        <v>87</v>
      </c>
      <c r="L17" s="192">
        <v>108.8</v>
      </c>
      <c r="M17" s="170"/>
      <c r="N17" s="181">
        <v>1</v>
      </c>
      <c r="O17" s="182" t="s">
        <v>216</v>
      </c>
      <c r="P17" s="183" t="s">
        <v>13</v>
      </c>
      <c r="Q17" s="182" t="s">
        <v>16</v>
      </c>
      <c r="R17" s="183" t="s">
        <v>12</v>
      </c>
      <c r="S17" s="179">
        <v>1500</v>
      </c>
      <c r="T17" s="184" t="s">
        <v>11</v>
      </c>
      <c r="U17" s="184" t="s">
        <v>11</v>
      </c>
      <c r="V17" s="184">
        <v>1</v>
      </c>
      <c r="W17" s="171" t="str">
        <f>IF(AND(U17="N",L17&gt;=Lookups!$C$25),"Y",IF(AND(U17="Y",L17&gt;=Lookups!$C$23),"Y","N"))</f>
        <v>Y</v>
      </c>
      <c r="X17" s="171">
        <v>15</v>
      </c>
      <c r="Y17" s="172">
        <v>79373.526400000002</v>
      </c>
      <c r="Z17" s="179">
        <f t="shared" si="10"/>
        <v>-79373.526400000002</v>
      </c>
      <c r="AA17" s="172">
        <f>IF(W17="N",'Duos revenue'!C230*(1-$AA$3)-MCR!Q15,'Duos revenue'!C230*(1-$AA$3))</f>
        <v>174248.08544420518</v>
      </c>
      <c r="AB17" s="172" t="e">
        <f>-#REF!</f>
        <v>#REF!</v>
      </c>
      <c r="AC17" s="172">
        <f>IF(W17="N",0,-MCR!Q15)</f>
        <v>-40010</v>
      </c>
      <c r="AD17" s="173">
        <f t="shared" si="11"/>
        <v>-119383.5264</v>
      </c>
      <c r="AE17" s="173">
        <f t="shared" si="12"/>
        <v>54864.559044205176</v>
      </c>
      <c r="AF17" s="173">
        <f t="shared" si="13"/>
        <v>0</v>
      </c>
      <c r="AG17" s="179">
        <v>9383</v>
      </c>
      <c r="AH17" s="143">
        <f t="shared" si="2"/>
        <v>1500</v>
      </c>
      <c r="AI17" s="76"/>
      <c r="AJ17" s="178">
        <v>0</v>
      </c>
      <c r="AK17" s="178">
        <v>0</v>
      </c>
      <c r="AL17" s="145">
        <f t="shared" si="17"/>
        <v>0</v>
      </c>
      <c r="AM17" s="145">
        <f t="shared" si="14"/>
        <v>1500</v>
      </c>
      <c r="AN17" s="38"/>
      <c r="AO17" s="143">
        <f t="shared" si="4"/>
        <v>-500</v>
      </c>
      <c r="AP17" s="158">
        <f t="shared" si="5"/>
        <v>-0.25</v>
      </c>
      <c r="AQ17" s="145">
        <f t="shared" si="6"/>
        <v>0</v>
      </c>
      <c r="AR17" s="161">
        <f t="shared" si="7"/>
        <v>0</v>
      </c>
      <c r="AS17" s="145">
        <f t="shared" si="8"/>
        <v>-500</v>
      </c>
      <c r="AT17" s="161">
        <f t="shared" si="9"/>
        <v>-0.25</v>
      </c>
    </row>
    <row r="18" spans="1:46" x14ac:dyDescent="0.3">
      <c r="A18" s="163">
        <v>13</v>
      </c>
      <c r="B18" s="164" t="s">
        <v>5</v>
      </c>
      <c r="C18" s="165" t="s">
        <v>243</v>
      </c>
      <c r="D18" s="208"/>
      <c r="E18" s="197" t="s">
        <v>6</v>
      </c>
      <c r="F18" s="168">
        <f t="shared" si="0"/>
        <v>2000</v>
      </c>
      <c r="G18" s="169">
        <f t="shared" si="1"/>
        <v>1.1730415091342301E-2</v>
      </c>
      <c r="H18" s="188">
        <v>2000</v>
      </c>
      <c r="I18" s="188"/>
      <c r="J18" s="199" t="s">
        <v>314</v>
      </c>
      <c r="K18" s="193">
        <v>1730</v>
      </c>
      <c r="L18" s="192">
        <v>922.2</v>
      </c>
      <c r="M18" s="170"/>
      <c r="N18" s="181">
        <v>1</v>
      </c>
      <c r="O18" s="182" t="s">
        <v>233</v>
      </c>
      <c r="P18" s="183" t="s">
        <v>211</v>
      </c>
      <c r="Q18" s="183" t="s">
        <v>289</v>
      </c>
      <c r="R18" s="183" t="s">
        <v>12</v>
      </c>
      <c r="S18" s="179">
        <v>2000</v>
      </c>
      <c r="T18" s="184" t="s">
        <v>11</v>
      </c>
      <c r="U18" s="184" t="s">
        <v>11</v>
      </c>
      <c r="V18" s="184">
        <v>1</v>
      </c>
      <c r="W18" s="171" t="str">
        <f>IF(AND(U18="N",L18&gt;=Lookups!$C$25),"Y",IF(AND(U18="Y",L18&gt;=Lookups!$C$23),"Y","N"))</f>
        <v>Y</v>
      </c>
      <c r="X18" s="171">
        <v>15</v>
      </c>
      <c r="Y18" s="172">
        <v>170496.95040000003</v>
      </c>
      <c r="Z18" s="179">
        <f t="shared" si="10"/>
        <v>-170496.95040000003</v>
      </c>
      <c r="AA18" s="172">
        <f>IF(W18="N",'Duos revenue'!C231*(1-$AA$3)-MCR!Q16,'Duos revenue'!C231*(1-$AA$3))</f>
        <v>730340.09412292961</v>
      </c>
      <c r="AB18" s="173" t="e">
        <f>-#REF!</f>
        <v>#REF!</v>
      </c>
      <c r="AC18" s="172">
        <f>IF(W18="N",0,-MCR!Q16)</f>
        <v>-339131</v>
      </c>
      <c r="AD18" s="173">
        <f t="shared" si="11"/>
        <v>-509627.95040000003</v>
      </c>
      <c r="AE18" s="173">
        <f t="shared" si="12"/>
        <v>220712.14372292958</v>
      </c>
      <c r="AF18" s="173">
        <f t="shared" si="13"/>
        <v>0</v>
      </c>
      <c r="AG18" s="179">
        <v>24624</v>
      </c>
      <c r="AH18" s="143">
        <f t="shared" si="2"/>
        <v>2000</v>
      </c>
      <c r="AI18" s="76"/>
      <c r="AJ18" s="178">
        <v>0</v>
      </c>
      <c r="AK18" s="178">
        <v>0</v>
      </c>
      <c r="AL18" s="145">
        <f t="shared" si="17"/>
        <v>0</v>
      </c>
      <c r="AM18" s="145">
        <f t="shared" si="14"/>
        <v>2000</v>
      </c>
      <c r="AN18" s="38"/>
      <c r="AO18" s="143">
        <f t="shared" si="4"/>
        <v>0</v>
      </c>
      <c r="AP18" s="158">
        <f t="shared" si="5"/>
        <v>0</v>
      </c>
      <c r="AQ18" s="145">
        <f t="shared" si="6"/>
        <v>0</v>
      </c>
      <c r="AR18" s="161">
        <f t="shared" si="7"/>
        <v>0</v>
      </c>
      <c r="AS18" s="145">
        <f t="shared" si="8"/>
        <v>0</v>
      </c>
      <c r="AT18" s="161">
        <f t="shared" si="9"/>
        <v>0</v>
      </c>
    </row>
    <row r="19" spans="1:46" x14ac:dyDescent="0.3">
      <c r="A19" s="163">
        <v>14</v>
      </c>
      <c r="B19" s="164" t="s">
        <v>5</v>
      </c>
      <c r="C19" s="165" t="s">
        <v>244</v>
      </c>
      <c r="D19" s="208"/>
      <c r="E19" s="197" t="s">
        <v>6</v>
      </c>
      <c r="F19" s="168">
        <f t="shared" si="0"/>
        <v>2000</v>
      </c>
      <c r="G19" s="169">
        <f t="shared" si="1"/>
        <v>7.6527212250182275E-2</v>
      </c>
      <c r="H19" s="188">
        <v>2000</v>
      </c>
      <c r="I19" s="188"/>
      <c r="J19" s="199" t="s">
        <v>315</v>
      </c>
      <c r="K19" s="193">
        <v>36</v>
      </c>
      <c r="L19" s="192">
        <v>45</v>
      </c>
      <c r="M19" s="170"/>
      <c r="N19" s="181">
        <v>1</v>
      </c>
      <c r="O19" s="185" t="s">
        <v>45</v>
      </c>
      <c r="P19" s="183" t="s">
        <v>13</v>
      </c>
      <c r="Q19" s="183" t="s">
        <v>16</v>
      </c>
      <c r="R19" s="182" t="s">
        <v>17</v>
      </c>
      <c r="S19" s="179">
        <v>2000</v>
      </c>
      <c r="T19" s="184" t="s">
        <v>11</v>
      </c>
      <c r="U19" s="184" t="s">
        <v>11</v>
      </c>
      <c r="V19" s="184">
        <v>1</v>
      </c>
      <c r="W19" s="171" t="str">
        <f>IF(AND(U19="N",L19&gt;=Lookups!$C$25),"Y",IF(AND(U19="Y",L19&gt;=Lookups!$C$23),"Y","N"))</f>
        <v>Y</v>
      </c>
      <c r="X19" s="171">
        <v>15</v>
      </c>
      <c r="Y19" s="172">
        <v>26134.4944</v>
      </c>
      <c r="Z19" s="179">
        <f t="shared" si="10"/>
        <v>-26134.4944</v>
      </c>
      <c r="AA19" s="172">
        <f>IF(W19="N",'Duos revenue'!C232*(1-$AA$3)-MCR!Q17,'Duos revenue'!C232*(1-$AA$3))</f>
        <v>64739.714052122043</v>
      </c>
      <c r="AB19" s="173" t="e">
        <f>-#REF!</f>
        <v>#REF!</v>
      </c>
      <c r="AC19" s="172">
        <f>IF(W19="N",0,-MCR!Q17)</f>
        <v>-25556</v>
      </c>
      <c r="AD19" s="173">
        <f>Z19+AC19</f>
        <v>-51690.494399999996</v>
      </c>
      <c r="AE19" s="173">
        <f t="shared" si="12"/>
        <v>13049.219652122047</v>
      </c>
      <c r="AF19" s="173">
        <f t="shared" si="13"/>
        <v>0</v>
      </c>
      <c r="AG19" s="179">
        <v>0</v>
      </c>
      <c r="AH19" s="143">
        <f t="shared" si="2"/>
        <v>2000</v>
      </c>
      <c r="AI19" s="76"/>
      <c r="AJ19" s="178">
        <v>0</v>
      </c>
      <c r="AK19" s="178">
        <v>0</v>
      </c>
      <c r="AL19" s="145">
        <f t="shared" si="17"/>
        <v>0</v>
      </c>
      <c r="AM19" s="145">
        <f t="shared" si="14"/>
        <v>2000</v>
      </c>
      <c r="AN19" s="38"/>
      <c r="AO19" s="143">
        <f t="shared" si="4"/>
        <v>0</v>
      </c>
      <c r="AP19" s="158">
        <f t="shared" si="5"/>
        <v>0</v>
      </c>
      <c r="AQ19" s="145">
        <f t="shared" si="6"/>
        <v>0</v>
      </c>
      <c r="AR19" s="161">
        <f t="shared" si="7"/>
        <v>0</v>
      </c>
      <c r="AS19" s="145">
        <f t="shared" si="8"/>
        <v>0</v>
      </c>
      <c r="AT19" s="161">
        <f t="shared" si="9"/>
        <v>0</v>
      </c>
    </row>
    <row r="20" spans="1:46" x14ac:dyDescent="0.3">
      <c r="A20" s="163">
        <v>15</v>
      </c>
      <c r="B20" s="164" t="s">
        <v>5</v>
      </c>
      <c r="C20" s="165" t="s">
        <v>245</v>
      </c>
      <c r="D20" s="208"/>
      <c r="E20" s="197" t="s">
        <v>6</v>
      </c>
      <c r="F20" s="168">
        <f t="shared" si="0"/>
        <v>2000</v>
      </c>
      <c r="G20" s="169">
        <f t="shared" si="1"/>
        <v>0.17682562913497893</v>
      </c>
      <c r="H20" s="188">
        <v>2000</v>
      </c>
      <c r="I20" s="188"/>
      <c r="J20" s="199" t="s">
        <v>316</v>
      </c>
      <c r="K20" s="193">
        <v>18</v>
      </c>
      <c r="L20" s="192">
        <v>22.5</v>
      </c>
      <c r="M20" s="170"/>
      <c r="N20" s="181">
        <v>1</v>
      </c>
      <c r="O20" s="185" t="s">
        <v>45</v>
      </c>
      <c r="P20" s="183" t="s">
        <v>13</v>
      </c>
      <c r="Q20" s="182" t="s">
        <v>205</v>
      </c>
      <c r="R20" s="183" t="s">
        <v>19</v>
      </c>
      <c r="S20" s="179">
        <v>2000</v>
      </c>
      <c r="T20" s="184" t="s">
        <v>11</v>
      </c>
      <c r="U20" s="184" t="s">
        <v>11</v>
      </c>
      <c r="V20" s="184">
        <v>1</v>
      </c>
      <c r="W20" s="171" t="str">
        <f>IF(AND(U20="N",L20&gt;=Lookups!$C$25),"Y",IF(AND(U20="Y",L20&gt;=Lookups!$C$23),"Y","N"))</f>
        <v>N</v>
      </c>
      <c r="X20" s="171">
        <v>15</v>
      </c>
      <c r="Y20" s="172">
        <v>11310.577600000001</v>
      </c>
      <c r="Z20" s="179">
        <f t="shared" si="10"/>
        <v>-11310.577600000001</v>
      </c>
      <c r="AA20" s="172">
        <f>IF(W20="N",'Duos revenue'!C233*(1-$AA$3)-MCR!Q18,'Duos revenue'!C233*(1-$AA$3))</f>
        <v>9856.6221309964385</v>
      </c>
      <c r="AB20" s="172" t="e">
        <f>-#REF!</f>
        <v>#REF!</v>
      </c>
      <c r="AC20" s="172">
        <f>IF(W20="N",0,-MCR!Q18)</f>
        <v>0</v>
      </c>
      <c r="AD20" s="173">
        <f t="shared" si="11"/>
        <v>-11310.577600000001</v>
      </c>
      <c r="AE20" s="173">
        <f t="shared" si="12"/>
        <v>-1453.955469003562</v>
      </c>
      <c r="AF20" s="173">
        <f t="shared" si="13"/>
        <v>1453.955469003562</v>
      </c>
      <c r="AG20" s="179">
        <v>0</v>
      </c>
      <c r="AH20" s="143">
        <f t="shared" si="2"/>
        <v>2000</v>
      </c>
      <c r="AI20" s="76"/>
      <c r="AJ20" s="178">
        <v>0</v>
      </c>
      <c r="AK20" s="178">
        <v>0</v>
      </c>
      <c r="AL20" s="145">
        <f t="shared" si="17"/>
        <v>0</v>
      </c>
      <c r="AM20" s="145">
        <f t="shared" si="14"/>
        <v>2000</v>
      </c>
      <c r="AN20" s="38"/>
      <c r="AO20" s="143">
        <f t="shared" si="4"/>
        <v>0</v>
      </c>
      <c r="AP20" s="159">
        <f t="shared" si="5"/>
        <v>0</v>
      </c>
      <c r="AQ20" s="145">
        <f t="shared" si="6"/>
        <v>0</v>
      </c>
      <c r="AR20" s="161">
        <f t="shared" si="7"/>
        <v>0</v>
      </c>
      <c r="AS20" s="145">
        <f t="shared" si="8"/>
        <v>0</v>
      </c>
      <c r="AT20" s="161">
        <f t="shared" si="9"/>
        <v>0</v>
      </c>
    </row>
    <row r="21" spans="1:46" x14ac:dyDescent="0.3">
      <c r="A21" s="163">
        <v>16</v>
      </c>
      <c r="B21" s="164" t="s">
        <v>5</v>
      </c>
      <c r="C21" s="165" t="s">
        <v>301</v>
      </c>
      <c r="D21" s="208"/>
      <c r="E21" s="197" t="s">
        <v>6</v>
      </c>
      <c r="F21" s="168">
        <f t="shared" si="0"/>
        <v>2000</v>
      </c>
      <c r="G21" s="169">
        <f t="shared" si="1"/>
        <v>1.0867868034417128E-2</v>
      </c>
      <c r="H21" s="188">
        <v>2000</v>
      </c>
      <c r="I21" s="188"/>
      <c r="J21" s="199" t="s">
        <v>317</v>
      </c>
      <c r="K21" s="193">
        <v>800</v>
      </c>
      <c r="L21" s="192">
        <v>670</v>
      </c>
      <c r="M21" s="170"/>
      <c r="N21" s="181">
        <v>1</v>
      </c>
      <c r="O21" s="185" t="s">
        <v>233</v>
      </c>
      <c r="P21" s="183" t="s">
        <v>13</v>
      </c>
      <c r="Q21" s="182" t="s">
        <v>273</v>
      </c>
      <c r="R21" s="183" t="s">
        <v>17</v>
      </c>
      <c r="S21" s="179">
        <v>2000</v>
      </c>
      <c r="T21" s="184" t="s">
        <v>11</v>
      </c>
      <c r="U21" s="184" t="s">
        <v>11</v>
      </c>
      <c r="V21" s="184">
        <v>1</v>
      </c>
      <c r="W21" s="171" t="str">
        <f>IF(AND(U21="N",L21&gt;=Lookups!$C$25),"Y",IF(AND(U21="Y",L21&gt;=Lookups!$C$23),"Y","N"))</f>
        <v>Y</v>
      </c>
      <c r="X21" s="171">
        <v>15</v>
      </c>
      <c r="Y21" s="172">
        <v>184028.73440000002</v>
      </c>
      <c r="Z21" s="179">
        <f t="shared" si="10"/>
        <v>-184028.73440000002</v>
      </c>
      <c r="AA21" s="172">
        <f>IF(W21="N",'Duos revenue'!C234*(1-$AA$3)-MCR!Q19,'Duos revenue'!C234*(1-$AA$3))</f>
        <v>804744.04789110553</v>
      </c>
      <c r="AB21" s="172" t="e">
        <f>-#REF!</f>
        <v>#REF!</v>
      </c>
      <c r="AC21" s="172">
        <f>IF(W21="N",0,-MCR!Q19)</f>
        <v>-380498</v>
      </c>
      <c r="AD21" s="173">
        <f t="shared" si="11"/>
        <v>-564526.73439999996</v>
      </c>
      <c r="AE21" s="173">
        <f t="shared" si="12"/>
        <v>240217.31349110557</v>
      </c>
      <c r="AF21" s="173">
        <f>IF(AE21&gt;0,0,IF(Z21&lt;AE21,-AE21,-Z21))</f>
        <v>0</v>
      </c>
      <c r="AG21" s="179">
        <v>21901</v>
      </c>
      <c r="AH21" s="143">
        <f>IF(AND(AL21&gt;0,AF21=0),0,MAX(AF21-AG21,S21))</f>
        <v>2000</v>
      </c>
      <c r="AI21" s="76"/>
      <c r="AJ21" s="178">
        <v>0</v>
      </c>
      <c r="AK21" s="178">
        <v>0</v>
      </c>
      <c r="AL21" s="145">
        <f t="shared" si="17"/>
        <v>0</v>
      </c>
      <c r="AM21" s="145">
        <f>AH21+AL21</f>
        <v>2000</v>
      </c>
      <c r="AN21" s="38"/>
      <c r="AO21" s="143">
        <f t="shared" si="4"/>
        <v>0</v>
      </c>
      <c r="AP21" s="158">
        <f t="shared" si="5"/>
        <v>0</v>
      </c>
      <c r="AQ21" s="145">
        <f t="shared" si="6"/>
        <v>0</v>
      </c>
      <c r="AR21" s="161">
        <f t="shared" si="7"/>
        <v>0</v>
      </c>
      <c r="AS21" s="145">
        <f t="shared" si="8"/>
        <v>0</v>
      </c>
      <c r="AT21" s="161">
        <f t="shared" si="9"/>
        <v>0</v>
      </c>
    </row>
    <row r="22" spans="1:46" x14ac:dyDescent="0.3">
      <c r="A22" s="163">
        <v>17</v>
      </c>
      <c r="B22" s="164" t="s">
        <v>5</v>
      </c>
      <c r="C22" s="165" t="s">
        <v>246</v>
      </c>
      <c r="D22" s="208"/>
      <c r="E22" s="197" t="s">
        <v>6</v>
      </c>
      <c r="F22" s="168">
        <f t="shared" si="0"/>
        <v>9784</v>
      </c>
      <c r="G22" s="169">
        <f t="shared" si="1"/>
        <v>0.1579421269569036</v>
      </c>
      <c r="H22" s="188">
        <v>9784</v>
      </c>
      <c r="I22" s="188"/>
      <c r="J22" s="175">
        <v>0</v>
      </c>
      <c r="K22" s="193">
        <v>36</v>
      </c>
      <c r="L22" s="192">
        <v>45</v>
      </c>
      <c r="M22" s="170"/>
      <c r="N22" s="181">
        <v>2</v>
      </c>
      <c r="O22" s="182" t="s">
        <v>45</v>
      </c>
      <c r="P22" s="183" t="s">
        <v>13</v>
      </c>
      <c r="Q22" s="182" t="s">
        <v>16</v>
      </c>
      <c r="R22" s="183" t="s">
        <v>19</v>
      </c>
      <c r="S22" s="179">
        <v>2000</v>
      </c>
      <c r="T22" s="184" t="s">
        <v>11</v>
      </c>
      <c r="U22" s="184" t="s">
        <v>11</v>
      </c>
      <c r="V22" s="184">
        <v>1</v>
      </c>
      <c r="W22" s="171" t="str">
        <f>IF(AND(U22="N",L22&gt;=Lookups!$C$25),"Y",IF(AND(U22="Y",L22&gt;=Lookups!$C$23),"Y","N"))</f>
        <v>Y</v>
      </c>
      <c r="X22" s="171">
        <v>15</v>
      </c>
      <c r="Y22" s="172">
        <v>61946.7408</v>
      </c>
      <c r="Z22" s="179">
        <f t="shared" si="10"/>
        <v>-61946.7408</v>
      </c>
      <c r="AA22" s="172">
        <f>IF(W22="N",'Duos revenue'!C235*(1-$AA$3)-MCR!Q20,'Duos revenue'!C235*(1-$AA$3))</f>
        <v>158915.03251916371</v>
      </c>
      <c r="AB22" s="172" t="e">
        <f>-#REF!</f>
        <v>#REF!</v>
      </c>
      <c r="AC22" s="172">
        <f>IF(W22="N",0,-MCR!Q20)</f>
        <v>-61245</v>
      </c>
      <c r="AD22" s="173">
        <f t="shared" si="11"/>
        <v>-123191.7408</v>
      </c>
      <c r="AE22" s="173">
        <f t="shared" si="12"/>
        <v>35723.29171916371</v>
      </c>
      <c r="AF22" s="173">
        <f t="shared" si="13"/>
        <v>0</v>
      </c>
      <c r="AG22" s="179">
        <v>0</v>
      </c>
      <c r="AH22" s="143">
        <f t="shared" si="2"/>
        <v>2000</v>
      </c>
      <c r="AI22" s="76"/>
      <c r="AJ22" s="178">
        <v>0</v>
      </c>
      <c r="AK22" s="178">
        <v>0</v>
      </c>
      <c r="AL22" s="145">
        <f t="shared" si="17"/>
        <v>0</v>
      </c>
      <c r="AM22" s="145">
        <f t="shared" si="14"/>
        <v>2000</v>
      </c>
      <c r="AN22" s="38"/>
      <c r="AO22" s="143">
        <f t="shared" si="4"/>
        <v>-7784</v>
      </c>
      <c r="AP22" s="158">
        <f t="shared" si="5"/>
        <v>-0.79558462796402285</v>
      </c>
      <c r="AQ22" s="145">
        <f t="shared" si="6"/>
        <v>0</v>
      </c>
      <c r="AR22" s="161">
        <f t="shared" si="7"/>
        <v>0</v>
      </c>
      <c r="AS22" s="145">
        <f t="shared" si="8"/>
        <v>-7784</v>
      </c>
      <c r="AT22" s="161">
        <f t="shared" si="9"/>
        <v>-0.79558462796402285</v>
      </c>
    </row>
    <row r="23" spans="1:46" x14ac:dyDescent="0.3">
      <c r="A23" s="163">
        <v>18</v>
      </c>
      <c r="B23" s="164" t="s">
        <v>5</v>
      </c>
      <c r="C23" s="165" t="s">
        <v>247</v>
      </c>
      <c r="D23" s="208"/>
      <c r="E23" s="197" t="s">
        <v>6</v>
      </c>
      <c r="F23" s="168">
        <f t="shared" si="0"/>
        <v>13278</v>
      </c>
      <c r="G23" s="169">
        <f t="shared" si="1"/>
        <v>0.28722002990722362</v>
      </c>
      <c r="H23" s="188">
        <v>13278</v>
      </c>
      <c r="I23" s="188"/>
      <c r="J23" s="175" t="s">
        <v>318</v>
      </c>
      <c r="K23" s="193">
        <v>252</v>
      </c>
      <c r="L23" s="192">
        <v>37</v>
      </c>
      <c r="M23" s="170"/>
      <c r="N23" s="181">
        <v>1</v>
      </c>
      <c r="O23" s="182" t="s">
        <v>216</v>
      </c>
      <c r="P23" s="183" t="s">
        <v>13</v>
      </c>
      <c r="Q23" s="182" t="s">
        <v>205</v>
      </c>
      <c r="R23" s="183" t="s">
        <v>17</v>
      </c>
      <c r="S23" s="179">
        <v>2000</v>
      </c>
      <c r="T23" s="184" t="s">
        <v>11</v>
      </c>
      <c r="U23" s="184" t="s">
        <v>11</v>
      </c>
      <c r="V23" s="184">
        <v>1</v>
      </c>
      <c r="W23" s="171" t="str">
        <f>IF(AND(U23="N",L23&gt;=Lookups!$C$25),"Y",IF(AND(U23="Y",L23&gt;=Lookups!$C$23),"Y","N"))</f>
        <v>Y</v>
      </c>
      <c r="X23" s="171">
        <v>15</v>
      </c>
      <c r="Y23" s="172">
        <v>46229.366400000006</v>
      </c>
      <c r="Z23" s="179">
        <f t="shared" si="10"/>
        <v>-46229.366400000006</v>
      </c>
      <c r="AA23" s="172">
        <f>IF(W23="N",'Duos revenue'!C236*(1-$AA$3)-MCR!Q21,'Duos revenue'!C236*(1-$AA$3))</f>
        <v>18394.889986930441</v>
      </c>
      <c r="AB23" s="172" t="e">
        <f>-#REF!</f>
        <v>#REF!</v>
      </c>
      <c r="AC23" s="172">
        <f>IF(W23="N",0,-MCR!Q21)</f>
        <v>-21012</v>
      </c>
      <c r="AD23" s="173">
        <f t="shared" si="11"/>
        <v>-67241.366399999999</v>
      </c>
      <c r="AE23" s="173">
        <f t="shared" si="12"/>
        <v>-48846.476413069555</v>
      </c>
      <c r="AF23" s="173">
        <f t="shared" si="13"/>
        <v>46229.366400000006</v>
      </c>
      <c r="AG23" s="179">
        <v>16882</v>
      </c>
      <c r="AH23" s="143">
        <f t="shared" si="2"/>
        <v>29347.366400000006</v>
      </c>
      <c r="AI23" s="76"/>
      <c r="AJ23" s="178">
        <v>0</v>
      </c>
      <c r="AK23" s="178">
        <v>0</v>
      </c>
      <c r="AL23" s="145">
        <f t="shared" si="17"/>
        <v>0</v>
      </c>
      <c r="AM23" s="145">
        <f t="shared" si="14"/>
        <v>29347.366400000006</v>
      </c>
      <c r="AN23" s="38"/>
      <c r="AO23" s="143">
        <f t="shared" si="4"/>
        <v>16069.366400000006</v>
      </c>
      <c r="AP23" s="158">
        <f t="shared" si="5"/>
        <v>1.2102249133905714</v>
      </c>
      <c r="AQ23" s="145">
        <f t="shared" si="6"/>
        <v>0</v>
      </c>
      <c r="AR23" s="161">
        <f t="shared" si="7"/>
        <v>0</v>
      </c>
      <c r="AS23" s="145">
        <f t="shared" si="8"/>
        <v>16069.366400000006</v>
      </c>
      <c r="AT23" s="161">
        <f t="shared" si="9"/>
        <v>1.2102249133905714</v>
      </c>
    </row>
    <row r="24" spans="1:46" x14ac:dyDescent="0.3">
      <c r="A24" s="163">
        <v>19</v>
      </c>
      <c r="B24" s="164" t="s">
        <v>5</v>
      </c>
      <c r="C24" s="165" t="s">
        <v>248</v>
      </c>
      <c r="D24" s="208"/>
      <c r="E24" s="197" t="s">
        <v>6</v>
      </c>
      <c r="F24" s="168">
        <f t="shared" si="0"/>
        <v>2000</v>
      </c>
      <c r="G24" s="169">
        <f t="shared" si="1"/>
        <v>0.87704834641304763</v>
      </c>
      <c r="H24" s="188">
        <v>2000</v>
      </c>
      <c r="I24" s="188"/>
      <c r="J24" s="175" t="s">
        <v>319</v>
      </c>
      <c r="K24" s="193">
        <v>43</v>
      </c>
      <c r="L24" s="194">
        <v>33.799999999999997</v>
      </c>
      <c r="M24" s="176"/>
      <c r="N24" s="181">
        <v>1</v>
      </c>
      <c r="O24" s="182" t="s">
        <v>45</v>
      </c>
      <c r="P24" s="183" t="s">
        <v>210</v>
      </c>
      <c r="Q24" s="183" t="s">
        <v>281</v>
      </c>
      <c r="R24" s="183" t="s">
        <v>19</v>
      </c>
      <c r="S24" s="179">
        <v>2000</v>
      </c>
      <c r="T24" s="184" t="s">
        <v>11</v>
      </c>
      <c r="U24" s="184" t="s">
        <v>11</v>
      </c>
      <c r="V24" s="184">
        <v>1</v>
      </c>
      <c r="W24" s="171" t="str">
        <f>IF(AND(U24="N",L24&gt;=Lookups!$C$25),"Y",IF(AND(U24="Y",L24&gt;=Lookups!$C$23),"Y","N"))</f>
        <v>Y</v>
      </c>
      <c r="X24" s="171">
        <v>15</v>
      </c>
      <c r="Y24" s="172">
        <v>2280.3760000000002</v>
      </c>
      <c r="Z24" s="179">
        <f t="shared" si="10"/>
        <v>-2280.3760000000002</v>
      </c>
      <c r="AA24" s="172">
        <f>IF(W24="N",'Duos revenue'!C237*(1-$AA$3)-MCR!Q22,'Duos revenue'!C237*(1-$AA$3))</f>
        <v>40256.639108680785</v>
      </c>
      <c r="AB24" s="172" t="e">
        <f>-#REF!</f>
        <v>#REF!</v>
      </c>
      <c r="AC24" s="172">
        <f>IF(W24="N",0,-MCR!Q22)</f>
        <v>-23001</v>
      </c>
      <c r="AD24" s="173">
        <f t="shared" si="11"/>
        <v>-25281.376</v>
      </c>
      <c r="AE24" s="173">
        <f t="shared" si="12"/>
        <v>14975.263108680785</v>
      </c>
      <c r="AF24" s="173">
        <f t="shared" si="13"/>
        <v>0</v>
      </c>
      <c r="AG24" s="179">
        <v>0</v>
      </c>
      <c r="AH24" s="143">
        <f t="shared" si="2"/>
        <v>2000</v>
      </c>
      <c r="AI24" s="76"/>
      <c r="AJ24" s="178">
        <v>0</v>
      </c>
      <c r="AK24" s="178">
        <v>0</v>
      </c>
      <c r="AL24" s="145">
        <f t="shared" si="17"/>
        <v>0</v>
      </c>
      <c r="AM24" s="145">
        <f t="shared" si="14"/>
        <v>2000</v>
      </c>
      <c r="AN24" s="38"/>
      <c r="AO24" s="143">
        <f t="shared" si="4"/>
        <v>0</v>
      </c>
      <c r="AP24" s="158">
        <f t="shared" si="5"/>
        <v>0</v>
      </c>
      <c r="AQ24" s="145">
        <f t="shared" si="6"/>
        <v>0</v>
      </c>
      <c r="AR24" s="161">
        <f t="shared" si="7"/>
        <v>0</v>
      </c>
      <c r="AS24" s="145">
        <f t="shared" si="8"/>
        <v>0</v>
      </c>
      <c r="AT24" s="161">
        <f t="shared" si="9"/>
        <v>0</v>
      </c>
    </row>
    <row r="25" spans="1:46" x14ac:dyDescent="0.3">
      <c r="A25" s="163">
        <v>20</v>
      </c>
      <c r="B25" s="164" t="s">
        <v>5</v>
      </c>
      <c r="C25" s="165" t="s">
        <v>249</v>
      </c>
      <c r="D25" s="208"/>
      <c r="E25" s="197" t="s">
        <v>6</v>
      </c>
      <c r="F25" s="168">
        <f t="shared" si="0"/>
        <v>2500</v>
      </c>
      <c r="G25" s="169">
        <f t="shared" si="1"/>
        <v>0.22783314710555663</v>
      </c>
      <c r="H25" s="188">
        <v>2500</v>
      </c>
      <c r="I25" s="188"/>
      <c r="J25" s="175" t="s">
        <v>320</v>
      </c>
      <c r="K25" s="193">
        <v>7</v>
      </c>
      <c r="L25" s="195">
        <v>8.8000000000000007</v>
      </c>
      <c r="M25" s="177"/>
      <c r="N25" s="181">
        <v>2</v>
      </c>
      <c r="O25" s="185" t="s">
        <v>45</v>
      </c>
      <c r="P25" s="183" t="s">
        <v>13</v>
      </c>
      <c r="Q25" s="182" t="s">
        <v>205</v>
      </c>
      <c r="R25" s="183" t="s">
        <v>17</v>
      </c>
      <c r="S25" s="179">
        <v>2500</v>
      </c>
      <c r="T25" s="184" t="s">
        <v>11</v>
      </c>
      <c r="U25" s="184" t="s">
        <v>11</v>
      </c>
      <c r="V25" s="184">
        <v>1</v>
      </c>
      <c r="W25" s="171" t="str">
        <f>IF(AND(U25="N",L25&gt;=Lookups!$C$25),"Y",IF(AND(U25="Y",L25&gt;=Lookups!$C$23),"Y","N"))</f>
        <v>N</v>
      </c>
      <c r="X25" s="171">
        <v>15</v>
      </c>
      <c r="Y25" s="172">
        <v>10972.942400000002</v>
      </c>
      <c r="Z25" s="179">
        <f t="shared" si="10"/>
        <v>-10972.942400000002</v>
      </c>
      <c r="AA25" s="172">
        <f>IF(W25="N",'Duos revenue'!C238*(1-$AA$3)-MCR!Q23,'Duos revenue'!C238*(1-$AA$3))</f>
        <v>10911.854635060317</v>
      </c>
      <c r="AB25" s="172" t="e">
        <f>-#REF!</f>
        <v>#REF!</v>
      </c>
      <c r="AC25" s="172">
        <f>IF(W25="N",0,-MCR!Q23)</f>
        <v>0</v>
      </c>
      <c r="AD25" s="173">
        <f t="shared" si="11"/>
        <v>-10972.942400000002</v>
      </c>
      <c r="AE25" s="173">
        <f t="shared" si="12"/>
        <v>-61.087764939684348</v>
      </c>
      <c r="AF25" s="173">
        <f t="shared" si="13"/>
        <v>61.087764939684348</v>
      </c>
      <c r="AG25" s="179">
        <v>0</v>
      </c>
      <c r="AH25" s="143">
        <f t="shared" si="2"/>
        <v>2500</v>
      </c>
      <c r="AI25" s="76"/>
      <c r="AJ25" s="178">
        <v>0</v>
      </c>
      <c r="AK25" s="178">
        <v>0</v>
      </c>
      <c r="AL25" s="145">
        <f t="shared" si="17"/>
        <v>0</v>
      </c>
      <c r="AM25" s="145">
        <f t="shared" si="14"/>
        <v>2500</v>
      </c>
      <c r="AN25" s="38"/>
      <c r="AO25" s="143">
        <f t="shared" si="4"/>
        <v>0</v>
      </c>
      <c r="AP25" s="158">
        <f t="shared" si="5"/>
        <v>0</v>
      </c>
      <c r="AQ25" s="145">
        <f t="shared" si="6"/>
        <v>0</v>
      </c>
      <c r="AR25" s="161">
        <f t="shared" si="7"/>
        <v>0</v>
      </c>
      <c r="AS25" s="145">
        <f t="shared" si="8"/>
        <v>0</v>
      </c>
      <c r="AT25" s="161">
        <f t="shared" si="9"/>
        <v>0</v>
      </c>
    </row>
    <row r="26" spans="1:46" x14ac:dyDescent="0.3">
      <c r="A26" s="163">
        <v>21</v>
      </c>
      <c r="B26" s="164" t="s">
        <v>5</v>
      </c>
      <c r="C26" s="163" t="s">
        <v>250</v>
      </c>
      <c r="D26" s="208"/>
      <c r="E26" s="197" t="s">
        <v>6</v>
      </c>
      <c r="F26" s="168">
        <f t="shared" si="0"/>
        <v>2000</v>
      </c>
      <c r="G26" s="169">
        <f t="shared" si="1"/>
        <v>5.9398360187094372E-2</v>
      </c>
      <c r="H26" s="188">
        <v>2000</v>
      </c>
      <c r="I26" s="189"/>
      <c r="J26" s="175" t="s">
        <v>321</v>
      </c>
      <c r="K26" s="196">
        <v>80</v>
      </c>
      <c r="L26" s="195">
        <v>75</v>
      </c>
      <c r="M26" s="177"/>
      <c r="N26" s="181">
        <v>1</v>
      </c>
      <c r="O26" s="182" t="s">
        <v>216</v>
      </c>
      <c r="P26" s="183" t="s">
        <v>13</v>
      </c>
      <c r="Q26" s="183" t="s">
        <v>290</v>
      </c>
      <c r="R26" s="183" t="s">
        <v>12</v>
      </c>
      <c r="S26" s="179">
        <v>2000</v>
      </c>
      <c r="T26" s="184" t="s">
        <v>11</v>
      </c>
      <c r="U26" s="184" t="s">
        <v>11</v>
      </c>
      <c r="V26" s="184">
        <v>1</v>
      </c>
      <c r="W26" s="171" t="str">
        <f>IF(AND(U26="N",L26&gt;=Lookups!$C$25),"Y",IF(AND(U26="Y",L26&gt;=Lookups!$C$23),"Y","N"))</f>
        <v>Y</v>
      </c>
      <c r="X26" s="171">
        <v>15</v>
      </c>
      <c r="Y26" s="172">
        <v>33670.963200000006</v>
      </c>
      <c r="Z26" s="179">
        <f t="shared" si="10"/>
        <v>-33670.963200000006</v>
      </c>
      <c r="AA26" s="172">
        <f>IF(W26="N",'Duos revenue'!C239*(1-$AA$3)-MCR!Q24,'Duos revenue'!C239*(1-$AA$3))</f>
        <v>150095.94547662867</v>
      </c>
      <c r="AB26" s="172" t="e">
        <f>-#REF!</f>
        <v>#REF!</v>
      </c>
      <c r="AC26" s="172">
        <f>IF(W26="N",0,-MCR!Q24)</f>
        <v>-27581</v>
      </c>
      <c r="AD26" s="173">
        <f t="shared" si="11"/>
        <v>-61251.963200000006</v>
      </c>
      <c r="AE26" s="173">
        <f t="shared" si="12"/>
        <v>88843.982276628667</v>
      </c>
      <c r="AF26" s="173">
        <f t="shared" si="13"/>
        <v>0</v>
      </c>
      <c r="AG26" s="179">
        <v>10370</v>
      </c>
      <c r="AH26" s="143">
        <f t="shared" si="2"/>
        <v>2000</v>
      </c>
      <c r="AI26" s="76"/>
      <c r="AJ26" s="178">
        <v>0</v>
      </c>
      <c r="AK26" s="178">
        <v>0</v>
      </c>
      <c r="AL26" s="145">
        <f t="shared" si="17"/>
        <v>0</v>
      </c>
      <c r="AM26" s="145">
        <f t="shared" si="14"/>
        <v>2000</v>
      </c>
      <c r="AN26" s="38"/>
      <c r="AO26" s="143">
        <f t="shared" si="4"/>
        <v>0</v>
      </c>
      <c r="AP26" s="158">
        <f t="shared" si="5"/>
        <v>0</v>
      </c>
      <c r="AQ26" s="145">
        <f t="shared" si="6"/>
        <v>0</v>
      </c>
      <c r="AR26" s="161">
        <f t="shared" si="7"/>
        <v>0</v>
      </c>
      <c r="AS26" s="145">
        <f t="shared" si="8"/>
        <v>0</v>
      </c>
      <c r="AT26" s="161">
        <f t="shared" si="9"/>
        <v>0</v>
      </c>
    </row>
    <row r="27" spans="1:46" x14ac:dyDescent="0.3">
      <c r="A27" s="163">
        <v>22</v>
      </c>
      <c r="B27" s="164" t="s">
        <v>5</v>
      </c>
      <c r="C27" s="163" t="s">
        <v>251</v>
      </c>
      <c r="D27" s="208"/>
      <c r="E27" s="197" t="s">
        <v>6</v>
      </c>
      <c r="F27" s="168">
        <f t="shared" si="0"/>
        <v>2000</v>
      </c>
      <c r="G27" s="169">
        <f t="shared" si="1"/>
        <v>2.2959097412860532E-2</v>
      </c>
      <c r="H27" s="188">
        <v>2000</v>
      </c>
      <c r="I27" s="190"/>
      <c r="J27" s="175" t="s">
        <v>322</v>
      </c>
      <c r="K27" s="196">
        <v>140</v>
      </c>
      <c r="L27" s="195">
        <v>175</v>
      </c>
      <c r="M27" s="177"/>
      <c r="N27" s="181">
        <v>1</v>
      </c>
      <c r="O27" s="183" t="s">
        <v>216</v>
      </c>
      <c r="P27" s="183" t="s">
        <v>13</v>
      </c>
      <c r="Q27" s="183" t="s">
        <v>16</v>
      </c>
      <c r="R27" s="183" t="s">
        <v>12</v>
      </c>
      <c r="S27" s="179">
        <v>2000</v>
      </c>
      <c r="T27" s="184" t="s">
        <v>11</v>
      </c>
      <c r="U27" s="184" t="s">
        <v>11</v>
      </c>
      <c r="V27" s="184">
        <v>1</v>
      </c>
      <c r="W27" s="171" t="str">
        <f>IF(AND(U27="N",L27&gt;=Lookups!$C$25),"Y",IF(AND(U27="Y",L27&gt;=Lookups!$C$23),"Y","N"))</f>
        <v>Y</v>
      </c>
      <c r="X27" s="171">
        <v>15</v>
      </c>
      <c r="Y27" s="172">
        <v>87111.438400000014</v>
      </c>
      <c r="Z27" s="179">
        <f t="shared" si="10"/>
        <v>-87111.438400000014</v>
      </c>
      <c r="AA27" s="172">
        <f>IF(W27="N",'Duos revenue'!C240*(1-$AA$3)-MCR!Q25,'Duos revenue'!C240*(1-$AA$3))</f>
        <v>182675.15650630998</v>
      </c>
      <c r="AB27" s="172" t="e">
        <f>-#REF!</f>
        <v>#REF!</v>
      </c>
      <c r="AC27" s="172">
        <f>IF(W27="N",0,-MCR!Q25)</f>
        <v>-64355</v>
      </c>
      <c r="AD27" s="173">
        <f t="shared" si="11"/>
        <v>-151466.43840000001</v>
      </c>
      <c r="AE27" s="173">
        <f t="shared" si="12"/>
        <v>31208.718106309971</v>
      </c>
      <c r="AF27" s="173">
        <f t="shared" si="13"/>
        <v>0</v>
      </c>
      <c r="AG27" s="179">
        <v>4102</v>
      </c>
      <c r="AH27" s="143">
        <f t="shared" si="2"/>
        <v>2000</v>
      </c>
      <c r="AI27" s="76"/>
      <c r="AJ27" s="178">
        <v>0</v>
      </c>
      <c r="AK27" s="178">
        <v>0</v>
      </c>
      <c r="AL27" s="145">
        <f t="shared" si="17"/>
        <v>0</v>
      </c>
      <c r="AM27" s="145">
        <f t="shared" si="14"/>
        <v>2000</v>
      </c>
      <c r="AN27" s="38"/>
      <c r="AO27" s="143">
        <f t="shared" si="4"/>
        <v>0</v>
      </c>
      <c r="AP27" s="158">
        <f t="shared" si="5"/>
        <v>0</v>
      </c>
      <c r="AQ27" s="145">
        <f t="shared" si="6"/>
        <v>0</v>
      </c>
      <c r="AR27" s="161">
        <f t="shared" si="7"/>
        <v>0</v>
      </c>
      <c r="AS27" s="145">
        <f t="shared" si="8"/>
        <v>0</v>
      </c>
      <c r="AT27" s="161">
        <f t="shared" si="9"/>
        <v>0</v>
      </c>
    </row>
    <row r="28" spans="1:46" x14ac:dyDescent="0.3">
      <c r="A28" s="163">
        <v>23</v>
      </c>
      <c r="B28" s="164" t="s">
        <v>5</v>
      </c>
      <c r="C28" s="163" t="s">
        <v>252</v>
      </c>
      <c r="D28" s="208"/>
      <c r="E28" s="197" t="s">
        <v>6</v>
      </c>
      <c r="F28" s="168">
        <f t="shared" si="0"/>
        <v>2000</v>
      </c>
      <c r="G28" s="169">
        <f t="shared" si="1"/>
        <v>6.5259273003345553E-2</v>
      </c>
      <c r="H28" s="189">
        <v>2000</v>
      </c>
      <c r="I28" s="190"/>
      <c r="J28" s="175" t="s">
        <v>323</v>
      </c>
      <c r="K28" s="195">
        <v>143</v>
      </c>
      <c r="L28" s="195">
        <v>84.8</v>
      </c>
      <c r="M28" s="177"/>
      <c r="N28" s="186">
        <v>1</v>
      </c>
      <c r="O28" s="183" t="s">
        <v>268</v>
      </c>
      <c r="P28" s="183" t="s">
        <v>13</v>
      </c>
      <c r="Q28" s="183" t="s">
        <v>36</v>
      </c>
      <c r="R28" s="183" t="s">
        <v>12</v>
      </c>
      <c r="S28" s="179">
        <v>2000</v>
      </c>
      <c r="T28" s="184" t="s">
        <v>11</v>
      </c>
      <c r="U28" s="184" t="s">
        <v>11</v>
      </c>
      <c r="V28" s="184">
        <v>1</v>
      </c>
      <c r="W28" s="171" t="str">
        <f>IF(AND(U28="N",L28&gt;=Lookups!$C$25),"Y",IF(AND(U28="Y",L28&gt;=Lookups!$C$23),"Y","N"))</f>
        <v>Y</v>
      </c>
      <c r="X28" s="171">
        <v>15</v>
      </c>
      <c r="Y28" s="172">
        <v>30646.985600000004</v>
      </c>
      <c r="Z28" s="179">
        <f t="shared" si="10"/>
        <v>-30646.985600000004</v>
      </c>
      <c r="AA28" s="172">
        <f>IF(W28="N",'Duos revenue'!C241*(1-$AA$3)-MCR!Q26,'Duos revenue'!C241*(1-$AA$3))</f>
        <v>239428.68144585774</v>
      </c>
      <c r="AB28" s="172" t="e">
        <f>-#REF!</f>
        <v>#REF!</v>
      </c>
      <c r="AC28" s="172">
        <f>IF(W28="N",0,-MCR!Q26)</f>
        <v>-31184</v>
      </c>
      <c r="AD28" s="173">
        <f t="shared" si="11"/>
        <v>-61830.9856</v>
      </c>
      <c r="AE28" s="173">
        <f t="shared" si="12"/>
        <v>177597.69584585773</v>
      </c>
      <c r="AF28" s="173">
        <f t="shared" si="13"/>
        <v>0</v>
      </c>
      <c r="AG28" s="179">
        <v>0</v>
      </c>
      <c r="AH28" s="143">
        <f t="shared" si="2"/>
        <v>2000</v>
      </c>
      <c r="AI28" s="76"/>
      <c r="AJ28" s="178">
        <v>0</v>
      </c>
      <c r="AK28" s="178">
        <v>0</v>
      </c>
      <c r="AL28" s="145">
        <f t="shared" si="17"/>
        <v>0</v>
      </c>
      <c r="AM28" s="145">
        <f t="shared" si="14"/>
        <v>2000</v>
      </c>
      <c r="AN28" s="38"/>
      <c r="AO28" s="143">
        <f t="shared" si="4"/>
        <v>0</v>
      </c>
      <c r="AP28" s="158">
        <f t="shared" si="5"/>
        <v>0</v>
      </c>
      <c r="AQ28" s="145">
        <f t="shared" si="6"/>
        <v>0</v>
      </c>
      <c r="AR28" s="161">
        <f t="shared" si="7"/>
        <v>0</v>
      </c>
      <c r="AS28" s="145">
        <f t="shared" si="8"/>
        <v>0</v>
      </c>
      <c r="AT28" s="161">
        <f t="shared" si="9"/>
        <v>0</v>
      </c>
    </row>
    <row r="29" spans="1:46" x14ac:dyDescent="0.3">
      <c r="A29" s="163">
        <v>24</v>
      </c>
      <c r="B29" s="164" t="s">
        <v>5</v>
      </c>
      <c r="C29" s="163" t="s">
        <v>253</v>
      </c>
      <c r="D29" s="208"/>
      <c r="E29" s="197" t="s">
        <v>6</v>
      </c>
      <c r="F29" s="168">
        <f t="shared" si="0"/>
        <v>32960</v>
      </c>
      <c r="G29" s="169">
        <f t="shared" si="1"/>
        <v>0.53347160088534529</v>
      </c>
      <c r="H29" s="189">
        <v>32960</v>
      </c>
      <c r="I29" s="191"/>
      <c r="J29" s="175" t="s">
        <v>324</v>
      </c>
      <c r="K29" s="195">
        <v>10</v>
      </c>
      <c r="L29" s="195">
        <v>12.5</v>
      </c>
      <c r="M29" s="177"/>
      <c r="N29" s="186">
        <v>1</v>
      </c>
      <c r="O29" s="183" t="s">
        <v>45</v>
      </c>
      <c r="P29" s="183" t="s">
        <v>13</v>
      </c>
      <c r="Q29" s="183" t="s">
        <v>205</v>
      </c>
      <c r="R29" s="183" t="s">
        <v>19</v>
      </c>
      <c r="S29" s="179">
        <v>2500</v>
      </c>
      <c r="T29" s="184" t="s">
        <v>11</v>
      </c>
      <c r="U29" s="184" t="s">
        <v>11</v>
      </c>
      <c r="V29" s="184">
        <v>1</v>
      </c>
      <c r="W29" s="171" t="str">
        <f>IF(AND(U29="N",L29&gt;=Lookups!$C$25),"Y",IF(AND(U29="Y",L29&gt;=Lookups!$C$23),"Y","N"))</f>
        <v>N</v>
      </c>
      <c r="X29" s="171">
        <v>15</v>
      </c>
      <c r="Y29" s="172">
        <v>61783.982400000001</v>
      </c>
      <c r="Z29" s="179">
        <f t="shared" si="10"/>
        <v>-61783.982400000001</v>
      </c>
      <c r="AA29" s="172">
        <f>IF(W29="N",'Duos revenue'!C242*(1-$AA$3)-MCR!Q27,'Duos revenue'!C242*(1-$AA$3))</f>
        <v>5960.753175748232</v>
      </c>
      <c r="AB29" s="172" t="e">
        <f>-#REF!</f>
        <v>#REF!</v>
      </c>
      <c r="AC29" s="172">
        <f>IF(W29="N",0,-MCR!Q27)</f>
        <v>0</v>
      </c>
      <c r="AD29" s="173">
        <f t="shared" si="11"/>
        <v>-61783.982400000001</v>
      </c>
      <c r="AE29" s="173">
        <f t="shared" si="12"/>
        <v>-55823.229224251772</v>
      </c>
      <c r="AF29" s="173">
        <f t="shared" si="13"/>
        <v>55823.229224251772</v>
      </c>
      <c r="AG29" s="179">
        <v>18869</v>
      </c>
      <c r="AH29" s="143">
        <f t="shared" si="2"/>
        <v>36954.229224251772</v>
      </c>
      <c r="AI29" s="76"/>
      <c r="AJ29" s="178">
        <v>0</v>
      </c>
      <c r="AK29" s="178">
        <v>0</v>
      </c>
      <c r="AL29" s="145">
        <f t="shared" si="17"/>
        <v>0</v>
      </c>
      <c r="AM29" s="145">
        <f t="shared" si="14"/>
        <v>36954.229224251772</v>
      </c>
      <c r="AN29" s="38"/>
      <c r="AO29" s="143">
        <f t="shared" si="4"/>
        <v>3994.2292242517724</v>
      </c>
      <c r="AP29" s="158">
        <f t="shared" si="5"/>
        <v>0.12118413908530863</v>
      </c>
      <c r="AQ29" s="145">
        <f t="shared" si="6"/>
        <v>0</v>
      </c>
      <c r="AR29" s="161">
        <f t="shared" si="7"/>
        <v>0</v>
      </c>
      <c r="AS29" s="145">
        <f t="shared" si="8"/>
        <v>3994.2292242517724</v>
      </c>
      <c r="AT29" s="161">
        <f t="shared" si="9"/>
        <v>0.12118413908530863</v>
      </c>
    </row>
    <row r="30" spans="1:46" x14ac:dyDescent="0.3">
      <c r="A30" s="163">
        <v>25</v>
      </c>
      <c r="B30" s="164" t="s">
        <v>5</v>
      </c>
      <c r="C30" s="163" t="s">
        <v>254</v>
      </c>
      <c r="D30" s="208"/>
      <c r="E30" s="197" t="s">
        <v>6</v>
      </c>
      <c r="F30" s="168">
        <f t="shared" si="0"/>
        <v>2500</v>
      </c>
      <c r="G30" s="169">
        <f t="shared" si="1"/>
        <v>4.2302256376635351E-2</v>
      </c>
      <c r="H30" s="190">
        <v>2500</v>
      </c>
      <c r="I30" s="191"/>
      <c r="J30" s="175" t="s">
        <v>325</v>
      </c>
      <c r="K30" s="195">
        <v>7</v>
      </c>
      <c r="L30" s="195">
        <v>8.8000000000000007</v>
      </c>
      <c r="M30" s="177"/>
      <c r="N30" s="186">
        <v>1</v>
      </c>
      <c r="O30" s="183" t="s">
        <v>233</v>
      </c>
      <c r="P30" s="183" t="s">
        <v>13</v>
      </c>
      <c r="Q30" s="183" t="s">
        <v>205</v>
      </c>
      <c r="R30" s="183" t="s">
        <v>12</v>
      </c>
      <c r="S30" s="179">
        <v>2500</v>
      </c>
      <c r="T30" s="184" t="s">
        <v>11</v>
      </c>
      <c r="U30" s="184" t="s">
        <v>11</v>
      </c>
      <c r="V30" s="184">
        <v>1</v>
      </c>
      <c r="W30" s="171" t="str">
        <f>IF(AND(U30="N",L30&gt;=Lookups!$C$25),"Y",IF(AND(U30="Y",L30&gt;=Lookups!$C$23),"Y","N"))</f>
        <v>N</v>
      </c>
      <c r="X30" s="171">
        <v>15</v>
      </c>
      <c r="Y30" s="172">
        <v>59098.502400000005</v>
      </c>
      <c r="Z30" s="179">
        <f t="shared" si="10"/>
        <v>-59098.502400000005</v>
      </c>
      <c r="AA30" s="172">
        <f>IF(W30="N",'Duos revenue'!C243*(1-$AA$3)-MCR!Q28,'Duos revenue'!C243*(1-$AA$3))</f>
        <v>438195.17503483698</v>
      </c>
      <c r="AB30" s="172" t="e">
        <f>-#REF!</f>
        <v>#REF!</v>
      </c>
      <c r="AC30" s="172">
        <f>IF(W30="N",0,-MCR!Q28)</f>
        <v>0</v>
      </c>
      <c r="AD30" s="173">
        <f t="shared" si="11"/>
        <v>-59098.502400000005</v>
      </c>
      <c r="AE30" s="173">
        <f t="shared" si="12"/>
        <v>379096.67263483698</v>
      </c>
      <c r="AF30" s="173">
        <f t="shared" si="13"/>
        <v>0</v>
      </c>
      <c r="AG30" s="179">
        <v>0</v>
      </c>
      <c r="AH30" s="143">
        <f t="shared" si="2"/>
        <v>2500</v>
      </c>
      <c r="AI30" s="76"/>
      <c r="AJ30" s="178">
        <v>0</v>
      </c>
      <c r="AK30" s="178">
        <v>0</v>
      </c>
      <c r="AL30" s="145">
        <f t="shared" si="17"/>
        <v>0</v>
      </c>
      <c r="AM30" s="145">
        <f>AH30+AL30</f>
        <v>2500</v>
      </c>
      <c r="AN30" s="74"/>
      <c r="AO30" s="143">
        <f t="shared" si="4"/>
        <v>0</v>
      </c>
      <c r="AP30" s="158">
        <f t="shared" si="5"/>
        <v>0</v>
      </c>
      <c r="AQ30" s="145">
        <f t="shared" si="6"/>
        <v>0</v>
      </c>
      <c r="AR30" s="161">
        <f t="shared" si="7"/>
        <v>0</v>
      </c>
      <c r="AS30" s="145">
        <f t="shared" si="8"/>
        <v>0</v>
      </c>
      <c r="AT30" s="161">
        <f t="shared" si="9"/>
        <v>0</v>
      </c>
    </row>
    <row r="31" spans="1:46" x14ac:dyDescent="0.3">
      <c r="A31" s="163">
        <v>26</v>
      </c>
      <c r="B31" s="164" t="s">
        <v>5</v>
      </c>
      <c r="C31" s="163" t="s">
        <v>255</v>
      </c>
      <c r="D31" s="208"/>
      <c r="E31" s="197" t="s">
        <v>6</v>
      </c>
      <c r="F31" s="168">
        <f t="shared" si="0"/>
        <v>6553</v>
      </c>
      <c r="G31" s="169">
        <f t="shared" si="1"/>
        <v>0.42615266589870304</v>
      </c>
      <c r="H31" s="190">
        <v>6553</v>
      </c>
      <c r="I31" s="191"/>
      <c r="J31" s="175" t="s">
        <v>326</v>
      </c>
      <c r="K31" s="195">
        <v>15</v>
      </c>
      <c r="L31" s="195">
        <v>18.8</v>
      </c>
      <c r="M31" s="177"/>
      <c r="N31" s="186">
        <v>1</v>
      </c>
      <c r="O31" s="183" t="s">
        <v>45</v>
      </c>
      <c r="P31" s="183" t="s">
        <v>13</v>
      </c>
      <c r="Q31" s="183" t="s">
        <v>205</v>
      </c>
      <c r="R31" s="183" t="s">
        <v>19</v>
      </c>
      <c r="S31" s="179">
        <v>500</v>
      </c>
      <c r="T31" s="184" t="s">
        <v>11</v>
      </c>
      <c r="U31" s="184" t="s">
        <v>11</v>
      </c>
      <c r="V31" s="184">
        <v>1</v>
      </c>
      <c r="W31" s="171" t="str">
        <f>IF(AND(U31="N",L31&gt;=Lookups!$C$25),"Y",IF(AND(U31="Y",L31&gt;=Lookups!$C$23),"Y","N"))</f>
        <v>N</v>
      </c>
      <c r="X31" s="171">
        <v>15</v>
      </c>
      <c r="Y31" s="172">
        <v>15377.118400000001</v>
      </c>
      <c r="Z31" s="179">
        <f t="shared" si="10"/>
        <v>-15377.118400000001</v>
      </c>
      <c r="AA31" s="172">
        <f>IF(W31="N",'Duos revenue'!C244*(1-$AA$3)-MCR!Q29,'Duos revenue'!C244*(1-$AA$3))</f>
        <v>8361.7962727783706</v>
      </c>
      <c r="AB31" s="172" t="e">
        <f>-#REF!</f>
        <v>#REF!</v>
      </c>
      <c r="AC31" s="172">
        <f>IF(W31="N",0,-MCR!Q29)</f>
        <v>0</v>
      </c>
      <c r="AD31" s="173">
        <f t="shared" si="11"/>
        <v>-15377.118400000001</v>
      </c>
      <c r="AE31" s="173">
        <f t="shared" si="12"/>
        <v>-7015.3221272216306</v>
      </c>
      <c r="AF31" s="173">
        <f t="shared" si="13"/>
        <v>7015.3221272216306</v>
      </c>
      <c r="AG31" s="179">
        <v>10242</v>
      </c>
      <c r="AH31" s="143">
        <f t="shared" si="2"/>
        <v>500</v>
      </c>
      <c r="AI31" s="76"/>
      <c r="AJ31" s="178">
        <v>0</v>
      </c>
      <c r="AK31" s="178">
        <v>0</v>
      </c>
      <c r="AL31" s="146">
        <f t="shared" si="17"/>
        <v>0</v>
      </c>
      <c r="AM31" s="145">
        <f t="shared" si="14"/>
        <v>500</v>
      </c>
      <c r="AN31" s="74"/>
      <c r="AO31" s="143">
        <f t="shared" si="4"/>
        <v>-6053</v>
      </c>
      <c r="AP31" s="158">
        <f t="shared" si="5"/>
        <v>-0.92369906912864341</v>
      </c>
      <c r="AQ31" s="145">
        <f t="shared" si="6"/>
        <v>0</v>
      </c>
      <c r="AR31" s="161">
        <f t="shared" si="7"/>
        <v>0</v>
      </c>
      <c r="AS31" s="145">
        <f t="shared" si="8"/>
        <v>-6053</v>
      </c>
      <c r="AT31" s="161">
        <f t="shared" si="9"/>
        <v>-0.92369906912864341</v>
      </c>
    </row>
    <row r="32" spans="1:46" x14ac:dyDescent="0.3">
      <c r="A32" s="163">
        <v>27</v>
      </c>
      <c r="B32" s="164" t="s">
        <v>5</v>
      </c>
      <c r="C32" s="163" t="s">
        <v>256</v>
      </c>
      <c r="D32" s="208"/>
      <c r="E32" s="197" t="s">
        <v>6</v>
      </c>
      <c r="F32" s="168">
        <f t="shared" si="0"/>
        <v>2000</v>
      </c>
      <c r="G32" s="169">
        <f t="shared" si="1"/>
        <v>6.0393291745063193E-2</v>
      </c>
      <c r="H32" s="190">
        <v>2000</v>
      </c>
      <c r="I32" s="191"/>
      <c r="J32" s="175" t="s">
        <v>327</v>
      </c>
      <c r="K32" s="195">
        <v>189</v>
      </c>
      <c r="L32" s="195">
        <v>206.3</v>
      </c>
      <c r="M32" s="177"/>
      <c r="N32" s="186">
        <v>1</v>
      </c>
      <c r="O32" s="183" t="s">
        <v>45</v>
      </c>
      <c r="P32" s="183" t="s">
        <v>13</v>
      </c>
      <c r="Q32" s="183" t="s">
        <v>273</v>
      </c>
      <c r="R32" s="182" t="s">
        <v>12</v>
      </c>
      <c r="S32" s="179">
        <v>2000</v>
      </c>
      <c r="T32" s="184" t="s">
        <v>11</v>
      </c>
      <c r="U32" s="184" t="s">
        <v>11</v>
      </c>
      <c r="V32" s="184">
        <v>1</v>
      </c>
      <c r="W32" s="171" t="str">
        <f>IF(AND(U32="N",L32&gt;=Lookups!$C$25),"Y",IF(AND(U32="Y",L32&gt;=Lookups!$C$23),"Y","N"))</f>
        <v>Y</v>
      </c>
      <c r="X32" s="171">
        <v>15</v>
      </c>
      <c r="Y32" s="172">
        <v>33116.260800000004</v>
      </c>
      <c r="Z32" s="179">
        <f t="shared" si="10"/>
        <v>-33116.260800000004</v>
      </c>
      <c r="AA32" s="172">
        <f>IF(W32="N",'Duos revenue'!C245*(1-$AA$3)-MCR!Q30,'Duos revenue'!C245*(1-$AA$3))</f>
        <v>415684.72196813126</v>
      </c>
      <c r="AB32" s="172" t="e">
        <f>-#REF!</f>
        <v>#REF!</v>
      </c>
      <c r="AC32" s="172">
        <f>IF(W32="N",0,-MCR!Q30)</f>
        <v>-75865</v>
      </c>
      <c r="AD32" s="173">
        <f t="shared" si="11"/>
        <v>-108981.2608</v>
      </c>
      <c r="AE32" s="173">
        <f>AA32+AD32</f>
        <v>306703.46116813127</v>
      </c>
      <c r="AF32" s="173">
        <f t="shared" si="13"/>
        <v>0</v>
      </c>
      <c r="AG32" s="179">
        <v>15893</v>
      </c>
      <c r="AH32" s="143">
        <f t="shared" si="2"/>
        <v>2000</v>
      </c>
      <c r="AI32" s="76"/>
      <c r="AJ32" s="178">
        <v>0</v>
      </c>
      <c r="AK32" s="178">
        <v>0</v>
      </c>
      <c r="AL32" s="146">
        <f t="shared" si="17"/>
        <v>0</v>
      </c>
      <c r="AM32" s="145">
        <f t="shared" si="14"/>
        <v>2000</v>
      </c>
      <c r="AN32" s="74"/>
      <c r="AO32" s="143">
        <f t="shared" si="4"/>
        <v>0</v>
      </c>
      <c r="AP32" s="158">
        <f t="shared" si="5"/>
        <v>0</v>
      </c>
      <c r="AQ32" s="145">
        <f t="shared" si="6"/>
        <v>0</v>
      </c>
      <c r="AR32" s="161">
        <f t="shared" si="7"/>
        <v>0</v>
      </c>
      <c r="AS32" s="145">
        <f t="shared" si="8"/>
        <v>0</v>
      </c>
      <c r="AT32" s="161">
        <f t="shared" si="9"/>
        <v>0</v>
      </c>
    </row>
    <row r="33" spans="1:46" x14ac:dyDescent="0.3">
      <c r="A33" s="163">
        <v>28</v>
      </c>
      <c r="B33" s="166" t="s">
        <v>5</v>
      </c>
      <c r="C33" s="167" t="s">
        <v>257</v>
      </c>
      <c r="D33" s="208"/>
      <c r="E33" s="197" t="s">
        <v>6</v>
      </c>
      <c r="F33" s="168">
        <f t="shared" si="0"/>
        <v>2000</v>
      </c>
      <c r="G33" s="169">
        <f t="shared" si="1"/>
        <v>9.6420024757576911E-2</v>
      </c>
      <c r="H33" s="190">
        <v>2000</v>
      </c>
      <c r="I33" s="191"/>
      <c r="J33" s="175" t="s">
        <v>323</v>
      </c>
      <c r="K33" s="195">
        <v>12</v>
      </c>
      <c r="L33" s="195">
        <v>15</v>
      </c>
      <c r="M33" s="177"/>
      <c r="N33" s="186">
        <v>1</v>
      </c>
      <c r="O33" s="183" t="s">
        <v>45</v>
      </c>
      <c r="P33" s="183" t="s">
        <v>13</v>
      </c>
      <c r="Q33" s="183" t="s">
        <v>205</v>
      </c>
      <c r="R33" s="183" t="s">
        <v>12</v>
      </c>
      <c r="S33" s="179">
        <v>2000</v>
      </c>
      <c r="T33" s="184" t="s">
        <v>11</v>
      </c>
      <c r="U33" s="184" t="s">
        <v>11</v>
      </c>
      <c r="V33" s="184">
        <v>1</v>
      </c>
      <c r="W33" s="171" t="str">
        <f>IF(AND(U33="N",L33&gt;=Lookups!$C$25),"Y",IF(AND(U33="Y",L33&gt;=Lookups!$C$23),"Y","N"))</f>
        <v>N</v>
      </c>
      <c r="X33" s="171">
        <v>15</v>
      </c>
      <c r="Y33" s="172">
        <v>20742.5792</v>
      </c>
      <c r="Z33" s="179">
        <f t="shared" si="10"/>
        <v>-20742.5792</v>
      </c>
      <c r="AA33" s="172">
        <f>IF(W33="N",'Duos revenue'!C246*(1-$AA$3)-MCR!Q31,'Duos revenue'!C246*(1-$AA$3))</f>
        <v>11625.970414560285</v>
      </c>
      <c r="AB33" s="172" t="e">
        <f>-#REF!</f>
        <v>#REF!</v>
      </c>
      <c r="AC33" s="172">
        <f>IF(W33="N",0,-MCR!Q31)</f>
        <v>0</v>
      </c>
      <c r="AD33" s="173">
        <f t="shared" si="11"/>
        <v>-20742.5792</v>
      </c>
      <c r="AE33" s="173">
        <f t="shared" si="12"/>
        <v>-9116.6087854397156</v>
      </c>
      <c r="AF33" s="173">
        <f t="shared" si="13"/>
        <v>9116.6087854397156</v>
      </c>
      <c r="AG33" s="179">
        <v>11071</v>
      </c>
      <c r="AH33" s="143">
        <f t="shared" si="2"/>
        <v>2000</v>
      </c>
      <c r="AI33" s="76"/>
      <c r="AJ33" s="178">
        <v>0</v>
      </c>
      <c r="AK33" s="178">
        <v>0</v>
      </c>
      <c r="AL33" s="145">
        <f t="shared" si="17"/>
        <v>0</v>
      </c>
      <c r="AM33" s="145">
        <f t="shared" ref="AM33:AM34" si="18">AH33+AL33</f>
        <v>2000</v>
      </c>
      <c r="AN33" s="38"/>
      <c r="AO33" s="143">
        <f t="shared" si="4"/>
        <v>0</v>
      </c>
      <c r="AP33" s="158">
        <f t="shared" si="5"/>
        <v>0</v>
      </c>
      <c r="AQ33" s="145">
        <f t="shared" si="6"/>
        <v>0</v>
      </c>
      <c r="AR33" s="161">
        <f t="shared" si="7"/>
        <v>0</v>
      </c>
      <c r="AS33" s="145">
        <f t="shared" si="8"/>
        <v>0</v>
      </c>
      <c r="AT33" s="161">
        <f t="shared" si="9"/>
        <v>0</v>
      </c>
    </row>
    <row r="34" spans="1:46" x14ac:dyDescent="0.3">
      <c r="A34" s="163">
        <v>29</v>
      </c>
      <c r="B34" s="166" t="s">
        <v>5</v>
      </c>
      <c r="C34" s="167" t="s">
        <v>258</v>
      </c>
      <c r="D34" s="208"/>
      <c r="E34" s="197" t="s">
        <v>6</v>
      </c>
      <c r="F34" s="168">
        <f>H34+I34</f>
        <v>108675</v>
      </c>
      <c r="G34" s="169">
        <f t="shared" si="1"/>
        <v>0.39163674402176407</v>
      </c>
      <c r="H34" s="191">
        <v>108675</v>
      </c>
      <c r="I34" s="191"/>
      <c r="J34" s="175" t="s">
        <v>328</v>
      </c>
      <c r="K34" s="195">
        <v>10</v>
      </c>
      <c r="L34" s="195">
        <v>12.5</v>
      </c>
      <c r="M34" s="177"/>
      <c r="N34" s="186">
        <v>1</v>
      </c>
      <c r="O34" s="185" t="s">
        <v>233</v>
      </c>
      <c r="P34" s="183" t="s">
        <v>13</v>
      </c>
      <c r="Q34" s="183" t="s">
        <v>205</v>
      </c>
      <c r="R34" s="183" t="s">
        <v>12</v>
      </c>
      <c r="S34" s="179">
        <v>2000</v>
      </c>
      <c r="T34" s="184" t="s">
        <v>11</v>
      </c>
      <c r="U34" s="184" t="s">
        <v>11</v>
      </c>
      <c r="V34" s="184">
        <v>1</v>
      </c>
      <c r="W34" s="171" t="str">
        <f>IF(AND(U34="N",L34&gt;=Lookups!$C$25),"Y",IF(AND(U34="Y",L34&gt;=Lookups!$C$23),"Y","N"))</f>
        <v>N</v>
      </c>
      <c r="X34" s="171">
        <v>15</v>
      </c>
      <c r="Y34" s="172">
        <v>277489.28480000002</v>
      </c>
      <c r="Z34" s="179">
        <f t="shared" si="10"/>
        <v>-277489.28480000002</v>
      </c>
      <c r="AA34" s="172">
        <f>IF(W34="N",'Duos revenue'!C247*(1-$AA$3)-MCR!Q32,'Duos revenue'!C247*(1-$AA$3))</f>
        <v>24404.653149129008</v>
      </c>
      <c r="AB34" s="172" t="e">
        <f>-#REF!</f>
        <v>#REF!</v>
      </c>
      <c r="AC34" s="172">
        <f>IF(W34="N",0,-MCR!Q32)</f>
        <v>0</v>
      </c>
      <c r="AD34" s="173">
        <f t="shared" si="11"/>
        <v>-277489.28480000002</v>
      </c>
      <c r="AE34" s="173">
        <f t="shared" si="12"/>
        <v>-253084.63165087102</v>
      </c>
      <c r="AF34" s="173">
        <f t="shared" si="13"/>
        <v>253084.63165087102</v>
      </c>
      <c r="AG34" s="179">
        <v>124280</v>
      </c>
      <c r="AH34" s="143">
        <f t="shared" si="2"/>
        <v>128804.63165087102</v>
      </c>
      <c r="AI34" s="76"/>
      <c r="AJ34" s="178">
        <v>0</v>
      </c>
      <c r="AK34" s="178">
        <v>0</v>
      </c>
      <c r="AL34" s="145">
        <f t="shared" si="17"/>
        <v>0</v>
      </c>
      <c r="AM34" s="145">
        <f t="shared" si="18"/>
        <v>128804.63165087102</v>
      </c>
      <c r="AN34" s="38"/>
      <c r="AO34" s="143">
        <f t="shared" si="4"/>
        <v>20129.631650871015</v>
      </c>
      <c r="AP34" s="158">
        <f t="shared" si="5"/>
        <v>0.18522780447086282</v>
      </c>
      <c r="AQ34" s="145">
        <f t="shared" si="6"/>
        <v>0</v>
      </c>
      <c r="AR34" s="161">
        <f t="shared" si="7"/>
        <v>0</v>
      </c>
      <c r="AS34" s="145">
        <f t="shared" si="8"/>
        <v>20129.631650871015</v>
      </c>
      <c r="AT34" s="161">
        <f t="shared" si="9"/>
        <v>0.18522780447086282</v>
      </c>
    </row>
    <row r="35" spans="1:46" x14ac:dyDescent="0.3">
      <c r="A35" s="163">
        <v>30</v>
      </c>
      <c r="B35" s="166" t="s">
        <v>5</v>
      </c>
      <c r="C35" s="163" t="s">
        <v>259</v>
      </c>
      <c r="D35" s="208"/>
      <c r="E35" s="197" t="s">
        <v>6</v>
      </c>
      <c r="F35" s="168">
        <f t="shared" ref="F35:F55" si="19">H35+I35</f>
        <v>2000</v>
      </c>
      <c r="G35" s="169">
        <f t="shared" si="1"/>
        <v>9.7955726675938215E-2</v>
      </c>
      <c r="H35" s="191">
        <v>2000</v>
      </c>
      <c r="I35" s="191"/>
      <c r="J35" s="175" t="s">
        <v>329</v>
      </c>
      <c r="K35" s="195">
        <v>27</v>
      </c>
      <c r="L35" s="195">
        <v>29.5</v>
      </c>
      <c r="M35" s="177"/>
      <c r="N35" s="186">
        <v>1</v>
      </c>
      <c r="O35" s="185" t="s">
        <v>268</v>
      </c>
      <c r="P35" s="183" t="s">
        <v>13</v>
      </c>
      <c r="Q35" s="183" t="s">
        <v>16</v>
      </c>
      <c r="R35" s="183" t="s">
        <v>17</v>
      </c>
      <c r="S35" s="179">
        <v>2000</v>
      </c>
      <c r="T35" s="184" t="s">
        <v>14</v>
      </c>
      <c r="U35" s="184" t="s">
        <v>11</v>
      </c>
      <c r="V35" s="184">
        <v>1</v>
      </c>
      <c r="W35" s="171" t="str">
        <f>IF(AND(U35="N",L35&gt;=Lookups!$C$25),"Y",IF(AND(U35="Y",L35&gt;=Lookups!$C$23),"Y","N"))</f>
        <v>Y</v>
      </c>
      <c r="X35" s="171">
        <v>15</v>
      </c>
      <c r="Y35" s="172">
        <v>20417.387200000005</v>
      </c>
      <c r="Z35" s="179">
        <f t="shared" si="10"/>
        <v>-20417.387200000005</v>
      </c>
      <c r="AA35" s="172">
        <f>IF(W35="N",'Duos revenue'!C248*(1-$AA$3)-MCR!Q33,'Duos revenue'!C248*(1-$AA$3))</f>
        <v>55274.284149966763</v>
      </c>
      <c r="AB35" s="172" t="e">
        <f>-#REF!</f>
        <v>#REF!</v>
      </c>
      <c r="AC35" s="172">
        <f>IF(W35="N",0,-MCR!Q33)</f>
        <v>-16753</v>
      </c>
      <c r="AD35" s="173">
        <f t="shared" ref="AD35:AD55" si="20">Z35+AC35</f>
        <v>-37170.387200000005</v>
      </c>
      <c r="AE35" s="173">
        <f t="shared" ref="AE35:AE55" si="21">AA35+AD35</f>
        <v>18103.896949966758</v>
      </c>
      <c r="AF35" s="173">
        <f t="shared" ref="AF35:AF55" si="22">IF(AE35&gt;0,0,IF(Z35&lt;AE35,-AE35,-Z35))</f>
        <v>0</v>
      </c>
      <c r="AG35" s="179">
        <v>15066</v>
      </c>
      <c r="AH35" s="143">
        <f t="shared" si="2"/>
        <v>2000</v>
      </c>
      <c r="AI35" s="76"/>
      <c r="AJ35" s="178">
        <v>0</v>
      </c>
      <c r="AK35" s="178">
        <v>0</v>
      </c>
      <c r="AL35" s="145">
        <f t="shared" ref="AL35:AL55" si="23">-AJ35-AK35</f>
        <v>0</v>
      </c>
      <c r="AM35" s="145">
        <f t="shared" ref="AM35:AM55" si="24">AH35+AL35</f>
        <v>2000</v>
      </c>
      <c r="AN35" s="38"/>
      <c r="AO35" s="143">
        <f t="shared" si="4"/>
        <v>0</v>
      </c>
      <c r="AP35" s="158">
        <f t="shared" si="5"/>
        <v>0</v>
      </c>
      <c r="AQ35" s="145">
        <f t="shared" si="6"/>
        <v>0</v>
      </c>
      <c r="AR35" s="161">
        <f t="shared" si="7"/>
        <v>0</v>
      </c>
      <c r="AS35" s="145">
        <f t="shared" si="8"/>
        <v>0</v>
      </c>
      <c r="AT35" s="161">
        <f t="shared" si="9"/>
        <v>0</v>
      </c>
    </row>
    <row r="36" spans="1:46" x14ac:dyDescent="0.3">
      <c r="A36" s="163">
        <v>31</v>
      </c>
      <c r="B36" s="166" t="s">
        <v>5</v>
      </c>
      <c r="C36" s="163" t="s">
        <v>260</v>
      </c>
      <c r="D36" s="208"/>
      <c r="E36" s="197" t="s">
        <v>6</v>
      </c>
      <c r="F36" s="168">
        <f t="shared" si="19"/>
        <v>2000</v>
      </c>
      <c r="G36" s="169">
        <f t="shared" si="1"/>
        <v>0.13408035038520746</v>
      </c>
      <c r="H36" s="191">
        <v>2000</v>
      </c>
      <c r="I36" s="191"/>
      <c r="J36" s="175" t="s">
        <v>330</v>
      </c>
      <c r="K36" s="195">
        <v>157</v>
      </c>
      <c r="L36" s="195">
        <v>109.3</v>
      </c>
      <c r="M36" s="177"/>
      <c r="N36" s="186">
        <v>1</v>
      </c>
      <c r="O36" s="185" t="s">
        <v>233</v>
      </c>
      <c r="P36" s="183" t="s">
        <v>13</v>
      </c>
      <c r="Q36" s="183" t="s">
        <v>273</v>
      </c>
      <c r="R36" s="183" t="s">
        <v>19</v>
      </c>
      <c r="S36" s="179">
        <v>2000</v>
      </c>
      <c r="T36" s="184" t="s">
        <v>11</v>
      </c>
      <c r="U36" s="184" t="s">
        <v>11</v>
      </c>
      <c r="V36" s="184">
        <v>1</v>
      </c>
      <c r="W36" s="171" t="str">
        <f>IF(AND(U36="N",L36&gt;=Lookups!$C$25),"Y",IF(AND(U36="Y",L36&gt;=Lookups!$C$23),"Y","N"))</f>
        <v>Y</v>
      </c>
      <c r="X36" s="171">
        <v>15</v>
      </c>
      <c r="Y36" s="172">
        <v>14916.428800000002</v>
      </c>
      <c r="Z36" s="179">
        <f t="shared" si="10"/>
        <v>-14916.428800000002</v>
      </c>
      <c r="AA36" s="172">
        <f>IF(W36="N",'Duos revenue'!C249*(1-$AA$3)-MCR!Q34,'Duos revenue'!C249*(1-$AA$3))</f>
        <v>355155.71725917119</v>
      </c>
      <c r="AB36" s="172" t="e">
        <f>-#REF!</f>
        <v>#REF!</v>
      </c>
      <c r="AC36" s="172">
        <f>IF(W36="N",0,-MCR!Q34)</f>
        <v>-74378</v>
      </c>
      <c r="AD36" s="173">
        <f t="shared" si="20"/>
        <v>-89294.428799999994</v>
      </c>
      <c r="AE36" s="173">
        <f t="shared" si="21"/>
        <v>265861.28845917119</v>
      </c>
      <c r="AF36" s="173">
        <f t="shared" si="22"/>
        <v>0</v>
      </c>
      <c r="AG36" s="179">
        <v>16350</v>
      </c>
      <c r="AH36" s="143">
        <f t="shared" si="2"/>
        <v>2000</v>
      </c>
      <c r="AI36" s="76"/>
      <c r="AJ36" s="178">
        <v>0</v>
      </c>
      <c r="AK36" s="178">
        <v>0</v>
      </c>
      <c r="AL36" s="145">
        <f t="shared" si="23"/>
        <v>0</v>
      </c>
      <c r="AM36" s="145">
        <f t="shared" si="24"/>
        <v>2000</v>
      </c>
      <c r="AN36" s="38"/>
      <c r="AO36" s="143">
        <f t="shared" si="4"/>
        <v>0</v>
      </c>
      <c r="AP36" s="158">
        <f t="shared" si="5"/>
        <v>0</v>
      </c>
      <c r="AQ36" s="145">
        <f t="shared" si="6"/>
        <v>0</v>
      </c>
      <c r="AR36" s="161">
        <f t="shared" si="7"/>
        <v>0</v>
      </c>
      <c r="AS36" s="145">
        <f t="shared" si="8"/>
        <v>0</v>
      </c>
      <c r="AT36" s="161">
        <f t="shared" si="9"/>
        <v>0</v>
      </c>
    </row>
    <row r="37" spans="1:46" x14ac:dyDescent="0.3">
      <c r="A37" s="163">
        <v>32</v>
      </c>
      <c r="B37" s="166" t="s">
        <v>5</v>
      </c>
      <c r="C37" s="163" t="s">
        <v>261</v>
      </c>
      <c r="D37" s="208"/>
      <c r="E37" s="197" t="s">
        <v>6</v>
      </c>
      <c r="F37" s="168">
        <f t="shared" si="19"/>
        <v>2000</v>
      </c>
      <c r="G37" s="169">
        <f t="shared" si="1"/>
        <v>2.8239847577117089E-2</v>
      </c>
      <c r="H37" s="191">
        <v>2000</v>
      </c>
      <c r="I37" s="191"/>
      <c r="J37" s="175" t="s">
        <v>331</v>
      </c>
      <c r="K37" s="195">
        <v>181</v>
      </c>
      <c r="L37" s="195">
        <v>146.30000000000001</v>
      </c>
      <c r="M37" s="177"/>
      <c r="N37" s="186">
        <v>1</v>
      </c>
      <c r="O37" s="185" t="s">
        <v>45</v>
      </c>
      <c r="P37" s="183" t="s">
        <v>13</v>
      </c>
      <c r="Q37" s="183" t="s">
        <v>36</v>
      </c>
      <c r="R37" s="183" t="s">
        <v>12</v>
      </c>
      <c r="S37" s="179">
        <v>2000</v>
      </c>
      <c r="T37" s="184" t="s">
        <v>11</v>
      </c>
      <c r="U37" s="184" t="s">
        <v>11</v>
      </c>
      <c r="V37" s="184">
        <v>1</v>
      </c>
      <c r="W37" s="171" t="str">
        <f>IF(AND(U37="N",L37&gt;=Lookups!$C$25),"Y",IF(AND(U37="Y",L37&gt;=Lookups!$C$23),"Y","N"))</f>
        <v>Y</v>
      </c>
      <c r="X37" s="171">
        <v>15</v>
      </c>
      <c r="Y37" s="172">
        <v>70821.912000000011</v>
      </c>
      <c r="Z37" s="179">
        <f t="shared" si="10"/>
        <v>-70821.912000000011</v>
      </c>
      <c r="AA37" s="172">
        <f>IF(W37="N",'Duos revenue'!C250*(1-$AA$3)-MCR!Q35,'Duos revenue'!C250*(1-$AA$3))</f>
        <v>286098.71824838739</v>
      </c>
      <c r="AB37" s="172" t="e">
        <f>-#REF!</f>
        <v>#REF!</v>
      </c>
      <c r="AC37" s="172">
        <f>IF(W37="N",0,-MCR!Q35)</f>
        <v>-53801</v>
      </c>
      <c r="AD37" s="173">
        <f t="shared" si="20"/>
        <v>-124622.91200000001</v>
      </c>
      <c r="AE37" s="173">
        <f t="shared" si="21"/>
        <v>161475.80624838738</v>
      </c>
      <c r="AF37" s="173">
        <f t="shared" si="22"/>
        <v>0</v>
      </c>
      <c r="AG37" s="179">
        <v>54349</v>
      </c>
      <c r="AH37" s="143">
        <f t="shared" si="2"/>
        <v>2000</v>
      </c>
      <c r="AI37" s="76"/>
      <c r="AJ37" s="178">
        <v>0</v>
      </c>
      <c r="AK37" s="178">
        <v>0</v>
      </c>
      <c r="AL37" s="145">
        <f t="shared" si="23"/>
        <v>0</v>
      </c>
      <c r="AM37" s="145">
        <f t="shared" si="24"/>
        <v>2000</v>
      </c>
      <c r="AN37" s="38"/>
      <c r="AO37" s="143">
        <f t="shared" si="4"/>
        <v>0</v>
      </c>
      <c r="AP37" s="158">
        <f t="shared" si="5"/>
        <v>0</v>
      </c>
      <c r="AQ37" s="145">
        <f t="shared" si="6"/>
        <v>0</v>
      </c>
      <c r="AR37" s="161">
        <f t="shared" si="7"/>
        <v>0</v>
      </c>
      <c r="AS37" s="145">
        <f t="shared" si="8"/>
        <v>0</v>
      </c>
      <c r="AT37" s="161">
        <f t="shared" si="9"/>
        <v>0</v>
      </c>
    </row>
    <row r="38" spans="1:46" x14ac:dyDescent="0.3">
      <c r="A38" s="163">
        <v>33</v>
      </c>
      <c r="B38" s="166" t="s">
        <v>5</v>
      </c>
      <c r="C38" s="163" t="s">
        <v>300</v>
      </c>
      <c r="D38" s="208"/>
      <c r="E38" s="197" t="s">
        <v>6</v>
      </c>
      <c r="F38" s="168">
        <f t="shared" si="19"/>
        <v>2000</v>
      </c>
      <c r="G38" s="169">
        <f t="shared" ref="G38:G55" si="25">F38/(-Z38+I38)</f>
        <v>0.17317713402372359</v>
      </c>
      <c r="H38" s="191">
        <v>2000</v>
      </c>
      <c r="I38" s="191"/>
      <c r="J38" s="175" t="s">
        <v>332</v>
      </c>
      <c r="K38" s="195">
        <v>130</v>
      </c>
      <c r="L38" s="195">
        <v>162.5</v>
      </c>
      <c r="M38" s="177"/>
      <c r="N38" s="186">
        <v>1</v>
      </c>
      <c r="O38" s="185" t="s">
        <v>230</v>
      </c>
      <c r="P38" s="183" t="s">
        <v>13</v>
      </c>
      <c r="Q38" s="183" t="s">
        <v>36</v>
      </c>
      <c r="R38" s="183" t="s">
        <v>17</v>
      </c>
      <c r="S38" s="179">
        <v>2000</v>
      </c>
      <c r="T38" s="184" t="s">
        <v>11</v>
      </c>
      <c r="U38" s="184" t="s">
        <v>11</v>
      </c>
      <c r="V38" s="184">
        <v>1</v>
      </c>
      <c r="W38" s="171" t="str">
        <f>IF(AND(U38="N",L38&gt;=Lookups!$C$25),"Y",IF(AND(U38="Y",L38&gt;=Lookups!$C$23),"Y","N"))</f>
        <v>Y</v>
      </c>
      <c r="X38" s="171">
        <v>15</v>
      </c>
      <c r="Y38" s="172">
        <v>11548.8688</v>
      </c>
      <c r="Z38" s="179">
        <f t="shared" si="10"/>
        <v>-11548.8688</v>
      </c>
      <c r="AA38" s="172">
        <f>IF(W38="N",'Duos revenue'!C251*(1-$AA$3)-MCR!Q36,'Duos revenue'!C251*(1-$AA$3))</f>
        <v>194002.71543476504</v>
      </c>
      <c r="AB38" s="172" t="e">
        <f>-#REF!</f>
        <v>#REF!</v>
      </c>
      <c r="AC38" s="172">
        <f>IF(W38="N",0,-MCR!Q36)</f>
        <v>-92285</v>
      </c>
      <c r="AD38" s="173">
        <f t="shared" si="20"/>
        <v>-103833.8688</v>
      </c>
      <c r="AE38" s="173">
        <f t="shared" si="21"/>
        <v>90168.846634765039</v>
      </c>
      <c r="AF38" s="173">
        <f t="shared" si="22"/>
        <v>0</v>
      </c>
      <c r="AG38" s="179">
        <v>0</v>
      </c>
      <c r="AH38" s="143">
        <f t="shared" ref="AH38:AH55" si="26">IF(AND(AL38&gt;0,AF38=0),0,MAX(AF38-AG38,S38))</f>
        <v>2000</v>
      </c>
      <c r="AI38" s="76"/>
      <c r="AJ38" s="178">
        <v>0</v>
      </c>
      <c r="AK38" s="178">
        <v>0</v>
      </c>
      <c r="AL38" s="145">
        <f t="shared" si="23"/>
        <v>0</v>
      </c>
      <c r="AM38" s="145">
        <f t="shared" si="24"/>
        <v>2000</v>
      </c>
      <c r="AN38" s="38"/>
      <c r="AO38" s="143">
        <f t="shared" ref="AO38:AO55" si="27">AH38-H38</f>
        <v>0</v>
      </c>
      <c r="AP38" s="158">
        <f t="shared" ref="AP38:AP55" si="28">IF(H38=0,0,AO38/H38)</f>
        <v>0</v>
      </c>
      <c r="AQ38" s="145">
        <f t="shared" ref="AQ38:AQ55" si="29">AL38-I38</f>
        <v>0</v>
      </c>
      <c r="AR38" s="161">
        <f t="shared" ref="AR38:AR55" si="30">IF(I38=0,0,AQ38/I38)</f>
        <v>0</v>
      </c>
      <c r="AS38" s="145">
        <f t="shared" ref="AS38:AS55" si="31">AM38-F38</f>
        <v>0</v>
      </c>
      <c r="AT38" s="161">
        <f t="shared" ref="AT38:AT55" si="32">IF(F38=0,0,AS38/F38)</f>
        <v>0</v>
      </c>
    </row>
    <row r="39" spans="1:46" x14ac:dyDescent="0.3">
      <c r="A39" s="163">
        <v>34</v>
      </c>
      <c r="B39" s="166" t="s">
        <v>5</v>
      </c>
      <c r="C39" s="163" t="s">
        <v>293</v>
      </c>
      <c r="D39" s="208"/>
      <c r="E39" s="197" t="s">
        <v>6</v>
      </c>
      <c r="F39" s="168">
        <f t="shared" si="19"/>
        <v>2000</v>
      </c>
      <c r="G39" s="169">
        <f>F39/(-Z39+I39)</f>
        <v>7.0384487934550308E-2</v>
      </c>
      <c r="H39" s="191">
        <v>2000</v>
      </c>
      <c r="I39" s="191"/>
      <c r="J39" s="175" t="s">
        <v>333</v>
      </c>
      <c r="K39" s="195">
        <v>52</v>
      </c>
      <c r="L39" s="195">
        <v>65</v>
      </c>
      <c r="M39" s="177"/>
      <c r="N39" s="186">
        <v>1</v>
      </c>
      <c r="O39" s="185" t="s">
        <v>226</v>
      </c>
      <c r="P39" s="183" t="s">
        <v>13</v>
      </c>
      <c r="Q39" s="183" t="s">
        <v>16</v>
      </c>
      <c r="R39" s="183" t="s">
        <v>12</v>
      </c>
      <c r="S39" s="179">
        <v>2000</v>
      </c>
      <c r="T39" s="184" t="s">
        <v>14</v>
      </c>
      <c r="U39" s="184" t="s">
        <v>11</v>
      </c>
      <c r="V39" s="184">
        <v>1</v>
      </c>
      <c r="W39" s="171" t="str">
        <f>IF(AND(U39="N",L39&gt;=Lookups!$C$25),"Y",IF(AND(U39="Y",L39&gt;=Lookups!$C$23),"Y","N"))</f>
        <v>Y</v>
      </c>
      <c r="X39" s="171">
        <v>15</v>
      </c>
      <c r="Y39" s="172">
        <v>28415.352000000003</v>
      </c>
      <c r="Z39" s="179">
        <f t="shared" si="10"/>
        <v>-28415.352000000003</v>
      </c>
      <c r="AA39" s="172">
        <f>IF(W39="N",'Duos revenue'!C252*(1-$AA$3)-MCR!Q37,'Duos revenue'!C252*(1-$AA$3))</f>
        <v>66056.201526439487</v>
      </c>
      <c r="AB39" s="172" t="e">
        <f>-#REF!</f>
        <v>#REF!</v>
      </c>
      <c r="AC39" s="172">
        <f>IF(W39="N",0,-MCR!Q37)</f>
        <v>-33077</v>
      </c>
      <c r="AD39" s="173">
        <f t="shared" si="20"/>
        <v>-61492.351999999999</v>
      </c>
      <c r="AE39" s="173">
        <f t="shared" si="21"/>
        <v>4563.8495264394878</v>
      </c>
      <c r="AF39" s="173">
        <f t="shared" si="22"/>
        <v>0</v>
      </c>
      <c r="AG39" s="179">
        <v>0</v>
      </c>
      <c r="AH39" s="143">
        <f t="shared" si="26"/>
        <v>2000</v>
      </c>
      <c r="AI39" s="76"/>
      <c r="AJ39" s="178">
        <v>0</v>
      </c>
      <c r="AK39" s="178">
        <v>0</v>
      </c>
      <c r="AL39" s="145">
        <f t="shared" si="23"/>
        <v>0</v>
      </c>
      <c r="AM39" s="145">
        <f t="shared" si="24"/>
        <v>2000</v>
      </c>
      <c r="AN39" s="38"/>
      <c r="AO39" s="143">
        <f>AH39-H39</f>
        <v>0</v>
      </c>
      <c r="AP39" s="158">
        <f>IF(H39=0,0,AO39/H39)</f>
        <v>0</v>
      </c>
      <c r="AQ39" s="145">
        <f t="shared" si="29"/>
        <v>0</v>
      </c>
      <c r="AR39" s="161">
        <f t="shared" si="30"/>
        <v>0</v>
      </c>
      <c r="AS39" s="145">
        <f t="shared" si="31"/>
        <v>0</v>
      </c>
      <c r="AT39" s="161">
        <f t="shared" si="32"/>
        <v>0</v>
      </c>
    </row>
    <row r="40" spans="1:46" x14ac:dyDescent="0.3">
      <c r="A40" s="163">
        <v>35</v>
      </c>
      <c r="B40" s="166" t="s">
        <v>5</v>
      </c>
      <c r="C40" s="163" t="s">
        <v>262</v>
      </c>
      <c r="D40" s="208"/>
      <c r="E40" s="197" t="s">
        <v>6</v>
      </c>
      <c r="F40" s="168">
        <f>H40+I40</f>
        <v>500</v>
      </c>
      <c r="G40" s="169">
        <f t="shared" si="25"/>
        <v>2.6758434596811527E-3</v>
      </c>
      <c r="H40" s="191">
        <v>500</v>
      </c>
      <c r="I40" s="191"/>
      <c r="J40" s="175" t="s">
        <v>334</v>
      </c>
      <c r="K40" s="195">
        <v>277</v>
      </c>
      <c r="L40" s="195">
        <v>346.3</v>
      </c>
      <c r="M40" s="177"/>
      <c r="N40" s="186">
        <v>1</v>
      </c>
      <c r="O40" s="185" t="s">
        <v>268</v>
      </c>
      <c r="P40" s="183" t="s">
        <v>13</v>
      </c>
      <c r="Q40" s="183" t="s">
        <v>273</v>
      </c>
      <c r="R40" s="183" t="s">
        <v>12</v>
      </c>
      <c r="S40" s="179">
        <v>500</v>
      </c>
      <c r="T40" s="184" t="s">
        <v>11</v>
      </c>
      <c r="U40" s="184" t="s">
        <v>11</v>
      </c>
      <c r="V40" s="184">
        <v>1</v>
      </c>
      <c r="W40" s="171" t="str">
        <f>IF(AND(U40="N",L40&gt;=Lookups!$C$25),"Y",IF(AND(U40="Y",L40&gt;=Lookups!$C$23),"Y","N"))</f>
        <v>Y</v>
      </c>
      <c r="X40" s="171">
        <v>15</v>
      </c>
      <c r="Y40" s="172">
        <v>186856.96960000001</v>
      </c>
      <c r="Z40" s="179">
        <f t="shared" si="10"/>
        <v>-186856.96960000001</v>
      </c>
      <c r="AA40" s="172">
        <f>IF(W40="N",'Duos revenue'!C253*(1-$AA$3)-MCR!Q38,'Duos revenue'!C253*(1-$AA$3))</f>
        <v>477982.21266079694</v>
      </c>
      <c r="AB40" s="172" t="e">
        <f>-#REF!</f>
        <v>#REF!</v>
      </c>
      <c r="AC40" s="172">
        <f>IF(W40="N",0,-MCR!Q38)</f>
        <v>-127350</v>
      </c>
      <c r="AD40" s="173">
        <f t="shared" si="20"/>
        <v>-314206.96960000001</v>
      </c>
      <c r="AE40" s="173">
        <f t="shared" si="21"/>
        <v>163775.24306079693</v>
      </c>
      <c r="AF40" s="173">
        <f t="shared" si="22"/>
        <v>0</v>
      </c>
      <c r="AG40" s="179">
        <v>0</v>
      </c>
      <c r="AH40" s="143">
        <f>IF(AND(AL40&gt;0,AF40=0),0,MAX(AF40-AG40,S40))</f>
        <v>500</v>
      </c>
      <c r="AI40" s="76"/>
      <c r="AJ40" s="178">
        <v>0</v>
      </c>
      <c r="AK40" s="178">
        <v>0</v>
      </c>
      <c r="AL40" s="145">
        <f t="shared" si="23"/>
        <v>0</v>
      </c>
      <c r="AM40" s="145">
        <f>AH40+AL40</f>
        <v>500</v>
      </c>
      <c r="AN40" s="38"/>
      <c r="AO40" s="143">
        <f t="shared" si="27"/>
        <v>0</v>
      </c>
      <c r="AP40" s="158">
        <f t="shared" si="28"/>
        <v>0</v>
      </c>
      <c r="AQ40" s="145">
        <f t="shared" si="29"/>
        <v>0</v>
      </c>
      <c r="AR40" s="161">
        <f t="shared" si="30"/>
        <v>0</v>
      </c>
      <c r="AS40" s="145">
        <f>AM40-F40</f>
        <v>0</v>
      </c>
      <c r="AT40" s="161">
        <f>IF(F40=0,0,AS40/F40)</f>
        <v>0</v>
      </c>
    </row>
    <row r="41" spans="1:46" x14ac:dyDescent="0.3">
      <c r="A41" s="163">
        <v>36</v>
      </c>
      <c r="B41" s="166" t="s">
        <v>5</v>
      </c>
      <c r="C41" s="163" t="s">
        <v>263</v>
      </c>
      <c r="D41" s="208"/>
      <c r="E41" s="197" t="s">
        <v>6</v>
      </c>
      <c r="F41" s="168">
        <f t="shared" si="19"/>
        <v>62360</v>
      </c>
      <c r="G41" s="169">
        <f t="shared" si="25"/>
        <v>0.74826943374751398</v>
      </c>
      <c r="H41" s="191">
        <v>62360</v>
      </c>
      <c r="I41" s="191"/>
      <c r="J41" s="175" t="s">
        <v>335</v>
      </c>
      <c r="K41" s="195">
        <v>200</v>
      </c>
      <c r="L41" s="195">
        <v>175</v>
      </c>
      <c r="M41" s="177"/>
      <c r="N41" s="186">
        <v>1</v>
      </c>
      <c r="O41" s="185" t="s">
        <v>216</v>
      </c>
      <c r="P41" s="183" t="s">
        <v>13</v>
      </c>
      <c r="Q41" s="183" t="s">
        <v>290</v>
      </c>
      <c r="R41" s="183" t="s">
        <v>17</v>
      </c>
      <c r="S41" s="179">
        <v>2200</v>
      </c>
      <c r="T41" s="184" t="s">
        <v>11</v>
      </c>
      <c r="U41" s="184" t="s">
        <v>11</v>
      </c>
      <c r="V41" s="184">
        <v>1</v>
      </c>
      <c r="W41" s="171" t="str">
        <f>IF(AND(U41="N",L41&gt;=Lookups!$C$25),"Y",IF(AND(U41="Y",L41&gt;=Lookups!$C$23),"Y","N"))</f>
        <v>Y</v>
      </c>
      <c r="X41" s="171">
        <v>15</v>
      </c>
      <c r="Y41" s="172">
        <v>83338.964800000002</v>
      </c>
      <c r="Z41" s="179">
        <f t="shared" si="10"/>
        <v>-83338.964800000002</v>
      </c>
      <c r="AA41" s="172">
        <f>IF(W41="N",'Duos revenue'!C254*(1-$AA$3)-MCR!Q39,'Duos revenue'!C254*(1-$AA$3))</f>
        <v>139529.49548594205</v>
      </c>
      <c r="AB41" s="172" t="e">
        <f>-#REF!</f>
        <v>#REF!</v>
      </c>
      <c r="AC41" s="172">
        <f>IF(W41="N",0,-MCR!Q39)</f>
        <v>-99384</v>
      </c>
      <c r="AD41" s="173">
        <f t="shared" si="20"/>
        <v>-182722.96480000002</v>
      </c>
      <c r="AE41" s="173">
        <f t="shared" si="21"/>
        <v>-43193.469314057962</v>
      </c>
      <c r="AF41" s="173">
        <f t="shared" si="22"/>
        <v>43193.469314057962</v>
      </c>
      <c r="AG41" s="179">
        <v>0</v>
      </c>
      <c r="AH41" s="143">
        <f t="shared" si="26"/>
        <v>43193.469314057962</v>
      </c>
      <c r="AI41" s="76"/>
      <c r="AJ41" s="178">
        <v>0</v>
      </c>
      <c r="AK41" s="178">
        <v>0</v>
      </c>
      <c r="AL41" s="145">
        <f t="shared" si="23"/>
        <v>0</v>
      </c>
      <c r="AM41" s="145">
        <f t="shared" si="24"/>
        <v>43193.469314057962</v>
      </c>
      <c r="AN41" s="38"/>
      <c r="AO41" s="143">
        <f t="shared" si="27"/>
        <v>-19166.530685942038</v>
      </c>
      <c r="AP41" s="158">
        <f t="shared" si="28"/>
        <v>-0.30735296160907694</v>
      </c>
      <c r="AQ41" s="145">
        <f t="shared" si="29"/>
        <v>0</v>
      </c>
      <c r="AR41" s="161">
        <f t="shared" si="30"/>
        <v>0</v>
      </c>
      <c r="AS41" s="145">
        <f t="shared" si="31"/>
        <v>-19166.530685942038</v>
      </c>
      <c r="AT41" s="161">
        <f t="shared" si="32"/>
        <v>-0.30735296160907694</v>
      </c>
    </row>
    <row r="42" spans="1:46" x14ac:dyDescent="0.3">
      <c r="A42" s="163">
        <v>37</v>
      </c>
      <c r="B42" s="166" t="s">
        <v>5</v>
      </c>
      <c r="C42" s="163" t="s">
        <v>264</v>
      </c>
      <c r="D42" s="208"/>
      <c r="E42" s="197" t="s">
        <v>6</v>
      </c>
      <c r="F42" s="168">
        <f t="shared" si="19"/>
        <v>2276</v>
      </c>
      <c r="G42" s="169">
        <f t="shared" si="25"/>
        <v>0.49278882794897305</v>
      </c>
      <c r="H42" s="191">
        <v>2276</v>
      </c>
      <c r="I42" s="201"/>
      <c r="J42" s="175" t="s">
        <v>336</v>
      </c>
      <c r="K42" s="195">
        <v>15</v>
      </c>
      <c r="L42" s="195">
        <v>18.8</v>
      </c>
      <c r="M42" s="177"/>
      <c r="N42" s="186">
        <v>1</v>
      </c>
      <c r="O42" s="185" t="s">
        <v>216</v>
      </c>
      <c r="P42" s="183" t="s">
        <v>13</v>
      </c>
      <c r="Q42" s="183" t="s">
        <v>205</v>
      </c>
      <c r="R42" s="183" t="s">
        <v>17</v>
      </c>
      <c r="S42" s="179">
        <v>500</v>
      </c>
      <c r="T42" s="184" t="s">
        <v>11</v>
      </c>
      <c r="U42" s="184" t="s">
        <v>11</v>
      </c>
      <c r="V42" s="184">
        <v>1</v>
      </c>
      <c r="W42" s="171" t="str">
        <f>IF(AND(U42="N",L42&gt;=Lookups!$C$25),"Y",IF(AND(U42="Y",L42&gt;=Lookups!$C$23),"Y","N"))</f>
        <v>N</v>
      </c>
      <c r="X42" s="171">
        <v>15</v>
      </c>
      <c r="Y42" s="172">
        <v>4618.6112000000003</v>
      </c>
      <c r="Z42" s="179">
        <f t="shared" si="10"/>
        <v>-4618.6112000000003</v>
      </c>
      <c r="AA42" s="172">
        <f>IF(W42="N",'Duos revenue'!C255*(1-$AA$3)-MCR!Q40,'Duos revenue'!C255*(1-$AA$3))</f>
        <v>379.63717372052633</v>
      </c>
      <c r="AB42" s="172" t="e">
        <f>-#REF!</f>
        <v>#REF!</v>
      </c>
      <c r="AC42" s="172">
        <f>IF(W42="N",0,-MCR!Q40)</f>
        <v>0</v>
      </c>
      <c r="AD42" s="173">
        <f t="shared" si="20"/>
        <v>-4618.6112000000003</v>
      </c>
      <c r="AE42" s="173">
        <f t="shared" si="21"/>
        <v>-4238.9740262794739</v>
      </c>
      <c r="AF42" s="173">
        <f t="shared" si="22"/>
        <v>4238.9740262794739</v>
      </c>
      <c r="AG42" s="179">
        <v>0</v>
      </c>
      <c r="AH42" s="143">
        <f t="shared" si="26"/>
        <v>4238.9740262794739</v>
      </c>
      <c r="AI42" s="76"/>
      <c r="AJ42" s="178">
        <v>0</v>
      </c>
      <c r="AK42" s="178">
        <v>0</v>
      </c>
      <c r="AL42" s="145">
        <f t="shared" si="23"/>
        <v>0</v>
      </c>
      <c r="AM42" s="145">
        <f t="shared" si="24"/>
        <v>4238.9740262794739</v>
      </c>
      <c r="AN42" s="38"/>
      <c r="AO42" s="143">
        <f t="shared" si="27"/>
        <v>1962.9740262794739</v>
      </c>
      <c r="AP42" s="158">
        <f t="shared" si="28"/>
        <v>0.86246661963070037</v>
      </c>
      <c r="AQ42" s="145">
        <f t="shared" si="29"/>
        <v>0</v>
      </c>
      <c r="AR42" s="161">
        <f t="shared" si="30"/>
        <v>0</v>
      </c>
      <c r="AS42" s="145">
        <f t="shared" si="31"/>
        <v>1962.9740262794739</v>
      </c>
      <c r="AT42" s="161">
        <f t="shared" si="32"/>
        <v>0.86246661963070037</v>
      </c>
    </row>
    <row r="43" spans="1:46" x14ac:dyDescent="0.3">
      <c r="A43" s="163">
        <v>38</v>
      </c>
      <c r="B43" s="166" t="s">
        <v>5</v>
      </c>
      <c r="C43" s="163" t="s">
        <v>265</v>
      </c>
      <c r="D43" s="208"/>
      <c r="E43" s="197" t="s">
        <v>6</v>
      </c>
      <c r="F43" s="168">
        <f t="shared" si="19"/>
        <v>11593</v>
      </c>
      <c r="G43" s="169">
        <f t="shared" si="25"/>
        <v>0.60870382304435355</v>
      </c>
      <c r="H43" s="191">
        <v>11593</v>
      </c>
      <c r="I43" s="191"/>
      <c r="J43" s="175" t="s">
        <v>337</v>
      </c>
      <c r="K43" s="195">
        <v>3.3</v>
      </c>
      <c r="L43" s="195">
        <v>4.0999999999999996</v>
      </c>
      <c r="M43" s="177"/>
      <c r="N43" s="186">
        <v>1</v>
      </c>
      <c r="O43" s="185" t="s">
        <v>233</v>
      </c>
      <c r="P43" s="183" t="s">
        <v>13</v>
      </c>
      <c r="Q43" s="183" t="s">
        <v>269</v>
      </c>
      <c r="R43" s="183" t="s">
        <v>12</v>
      </c>
      <c r="S43" s="179">
        <v>500</v>
      </c>
      <c r="T43" s="184" t="s">
        <v>11</v>
      </c>
      <c r="U43" s="184" t="s">
        <v>11</v>
      </c>
      <c r="V43" s="184">
        <v>1</v>
      </c>
      <c r="W43" s="171" t="str">
        <f>IF(AND(U43="N",L43&gt;=Lookups!$C$25),"Y",IF(AND(U43="Y",L43&gt;=Lookups!$C$23),"Y","N"))</f>
        <v>N</v>
      </c>
      <c r="X43" s="171">
        <v>15</v>
      </c>
      <c r="Y43" s="172">
        <v>19045.387200000005</v>
      </c>
      <c r="Z43" s="179">
        <f t="shared" si="10"/>
        <v>-19045.387200000005</v>
      </c>
      <c r="AA43" s="172">
        <f>IF(W43="N",'Duos revenue'!C256*(1-$AA$3)-MCR!Q41,'Duos revenue'!C256*(1-$AA$3))</f>
        <v>8829.7828382249918</v>
      </c>
      <c r="AB43" s="172" t="e">
        <f>-#REF!</f>
        <v>#REF!</v>
      </c>
      <c r="AC43" s="172">
        <f>IF(W43="N",0,-MCR!Q41)</f>
        <v>0</v>
      </c>
      <c r="AD43" s="173">
        <f t="shared" si="20"/>
        <v>-19045.387200000005</v>
      </c>
      <c r="AE43" s="173">
        <f t="shared" si="21"/>
        <v>-10215.604361775013</v>
      </c>
      <c r="AF43" s="173">
        <f t="shared" si="22"/>
        <v>10215.604361775013</v>
      </c>
      <c r="AG43" s="179">
        <v>0</v>
      </c>
      <c r="AH43" s="143">
        <f t="shared" si="26"/>
        <v>10215.604361775013</v>
      </c>
      <c r="AI43" s="76"/>
      <c r="AJ43" s="178">
        <v>0</v>
      </c>
      <c r="AK43" s="178">
        <v>0</v>
      </c>
      <c r="AL43" s="145">
        <f t="shared" si="23"/>
        <v>0</v>
      </c>
      <c r="AM43" s="145">
        <f t="shared" si="24"/>
        <v>10215.604361775013</v>
      </c>
      <c r="AN43" s="38"/>
      <c r="AO43" s="143">
        <f t="shared" si="27"/>
        <v>-1377.3956382249871</v>
      </c>
      <c r="AP43" s="158">
        <f t="shared" si="28"/>
        <v>-0.1188127006145939</v>
      </c>
      <c r="AQ43" s="145">
        <f t="shared" si="29"/>
        <v>0</v>
      </c>
      <c r="AR43" s="161">
        <f t="shared" si="30"/>
        <v>0</v>
      </c>
      <c r="AS43" s="145">
        <f t="shared" si="31"/>
        <v>-1377.3956382249871</v>
      </c>
      <c r="AT43" s="161">
        <f t="shared" si="32"/>
        <v>-0.1188127006145939</v>
      </c>
    </row>
    <row r="44" spans="1:46" x14ac:dyDescent="0.3">
      <c r="A44" s="163">
        <v>39</v>
      </c>
      <c r="B44" s="166" t="s">
        <v>5</v>
      </c>
      <c r="C44" s="163" t="s">
        <v>266</v>
      </c>
      <c r="D44" s="208"/>
      <c r="E44" s="197" t="s">
        <v>6</v>
      </c>
      <c r="F44" s="168">
        <f t="shared" si="19"/>
        <v>18281</v>
      </c>
      <c r="G44" s="169">
        <f t="shared" si="25"/>
        <v>0.85546847683128746</v>
      </c>
      <c r="H44" s="191">
        <v>18281</v>
      </c>
      <c r="I44" s="191"/>
      <c r="J44" s="175" t="s">
        <v>338</v>
      </c>
      <c r="K44" s="195">
        <v>70</v>
      </c>
      <c r="L44" s="195">
        <v>59.5</v>
      </c>
      <c r="M44" s="177"/>
      <c r="N44" s="186">
        <v>1</v>
      </c>
      <c r="O44" s="185" t="s">
        <v>216</v>
      </c>
      <c r="P44" s="183" t="s">
        <v>13</v>
      </c>
      <c r="Q44" s="183" t="s">
        <v>205</v>
      </c>
      <c r="R44" s="183" t="s">
        <v>19</v>
      </c>
      <c r="S44" s="179">
        <v>2000</v>
      </c>
      <c r="T44" s="184" t="s">
        <v>11</v>
      </c>
      <c r="U44" s="184" t="s">
        <v>11</v>
      </c>
      <c r="V44" s="184">
        <v>1</v>
      </c>
      <c r="W44" s="171" t="str">
        <f>IF(AND(U44="N",L44&gt;=Lookups!$C$25),"Y",IF(AND(U44="Y",L44&gt;=Lookups!$C$23),"Y","N"))</f>
        <v>Y</v>
      </c>
      <c r="X44" s="171">
        <v>15</v>
      </c>
      <c r="Y44" s="172">
        <v>21369.577600000001</v>
      </c>
      <c r="Z44" s="179">
        <f t="shared" si="10"/>
        <v>-21369.577600000001</v>
      </c>
      <c r="AA44" s="172">
        <f>IF(W44="N",'Duos revenue'!C257*(1-$AA$3)-MCR!Q42,'Duos revenue'!C257*(1-$AA$3))</f>
        <v>18392.463829524942</v>
      </c>
      <c r="AB44" s="172" t="e">
        <f>-#REF!</f>
        <v>#REF!</v>
      </c>
      <c r="AC44" s="172">
        <f>IF(W44="N",0,-MCR!Q42)</f>
        <v>-40489</v>
      </c>
      <c r="AD44" s="173">
        <f t="shared" si="20"/>
        <v>-61858.577600000004</v>
      </c>
      <c r="AE44" s="173">
        <f t="shared" si="21"/>
        <v>-43466.113770475058</v>
      </c>
      <c r="AF44" s="173">
        <f t="shared" si="22"/>
        <v>21369.577600000001</v>
      </c>
      <c r="AG44" s="179">
        <v>0</v>
      </c>
      <c r="AH44" s="143">
        <f t="shared" si="26"/>
        <v>21369.577600000001</v>
      </c>
      <c r="AI44" s="76"/>
      <c r="AJ44" s="178">
        <v>0</v>
      </c>
      <c r="AK44" s="178">
        <v>0</v>
      </c>
      <c r="AL44" s="145">
        <f t="shared" si="23"/>
        <v>0</v>
      </c>
      <c r="AM44" s="145">
        <f t="shared" si="24"/>
        <v>21369.577600000001</v>
      </c>
      <c r="AN44" s="38"/>
      <c r="AO44" s="143">
        <f t="shared" si="27"/>
        <v>3088.5776000000005</v>
      </c>
      <c r="AP44" s="158">
        <f t="shared" si="28"/>
        <v>0.16895014495924734</v>
      </c>
      <c r="AQ44" s="145">
        <f t="shared" si="29"/>
        <v>0</v>
      </c>
      <c r="AR44" s="161">
        <f t="shared" si="30"/>
        <v>0</v>
      </c>
      <c r="AS44" s="145">
        <f t="shared" si="31"/>
        <v>3088.5776000000005</v>
      </c>
      <c r="AT44" s="161">
        <f t="shared" si="32"/>
        <v>0.16895014495924734</v>
      </c>
    </row>
    <row r="45" spans="1:46" x14ac:dyDescent="0.3">
      <c r="A45" s="163">
        <v>40</v>
      </c>
      <c r="B45" s="166" t="s">
        <v>5</v>
      </c>
      <c r="C45" s="163" t="s">
        <v>270</v>
      </c>
      <c r="D45" s="208"/>
      <c r="E45" s="197" t="s">
        <v>6</v>
      </c>
      <c r="F45" s="168">
        <f t="shared" si="19"/>
        <v>151000</v>
      </c>
      <c r="G45" s="169">
        <f t="shared" si="25"/>
        <v>0.464349782255009</v>
      </c>
      <c r="H45" s="207">
        <v>151000</v>
      </c>
      <c r="I45" s="191"/>
      <c r="J45" s="175">
        <v>0</v>
      </c>
      <c r="K45" s="195">
        <v>160</v>
      </c>
      <c r="L45" s="195">
        <v>196</v>
      </c>
      <c r="M45" s="177"/>
      <c r="N45" s="186">
        <v>1</v>
      </c>
      <c r="O45" s="185" t="s">
        <v>45</v>
      </c>
      <c r="P45" s="183" t="s">
        <v>13</v>
      </c>
      <c r="Q45" s="183" t="s">
        <v>36</v>
      </c>
      <c r="R45" s="183" t="s">
        <v>12</v>
      </c>
      <c r="S45" s="179">
        <v>2000</v>
      </c>
      <c r="T45" s="184" t="s">
        <v>11</v>
      </c>
      <c r="U45" s="184" t="s">
        <v>11</v>
      </c>
      <c r="V45" s="184">
        <v>1</v>
      </c>
      <c r="W45" s="171" t="str">
        <f>IF(AND(U45="N",L45&gt;=Lookups!$C$25),"Y",IF(AND(U45="Y",L45&gt;=Lookups!$C$23),"Y","N"))</f>
        <v>Y</v>
      </c>
      <c r="X45" s="171">
        <v>15</v>
      </c>
      <c r="Y45" s="172">
        <v>325185.89600000001</v>
      </c>
      <c r="Z45" s="179">
        <f t="shared" si="10"/>
        <v>-325185.89600000001</v>
      </c>
      <c r="AA45" s="172">
        <f>IF(W45="N",'Duos revenue'!C258*(1-$AA$3)-MCR!Q43,'Duos revenue'!C258*(1-$AA$3))</f>
        <v>225300.82944102166</v>
      </c>
      <c r="AB45" s="172" t="e">
        <f>-#REF!</f>
        <v>#REF!</v>
      </c>
      <c r="AC45" s="172">
        <f>IF(W45="N",0,-MCR!Q43)</f>
        <v>-72077</v>
      </c>
      <c r="AD45" s="173">
        <f t="shared" si="20"/>
        <v>-397262.89600000001</v>
      </c>
      <c r="AE45" s="173">
        <f t="shared" si="21"/>
        <v>-171962.06655897835</v>
      </c>
      <c r="AF45" s="173">
        <f t="shared" si="22"/>
        <v>171962.06655897835</v>
      </c>
      <c r="AG45" s="179">
        <v>16000</v>
      </c>
      <c r="AH45" s="143">
        <f>IF(AND(AL45&gt;0,AF45=0),0,MAX(AF45-AG45,S45))</f>
        <v>155962.06655897835</v>
      </c>
      <c r="AI45" s="76"/>
      <c r="AJ45" s="178">
        <v>0</v>
      </c>
      <c r="AK45" s="178">
        <v>0</v>
      </c>
      <c r="AL45" s="145">
        <f t="shared" si="23"/>
        <v>0</v>
      </c>
      <c r="AM45" s="145">
        <f t="shared" si="24"/>
        <v>155962.06655897835</v>
      </c>
      <c r="AN45" s="38"/>
      <c r="AO45" s="143">
        <f t="shared" si="27"/>
        <v>4962.0665589783457</v>
      </c>
      <c r="AP45" s="158">
        <f t="shared" si="28"/>
        <v>3.2861367940253947E-2</v>
      </c>
      <c r="AQ45" s="145">
        <f t="shared" si="29"/>
        <v>0</v>
      </c>
      <c r="AR45" s="161">
        <f t="shared" si="30"/>
        <v>0</v>
      </c>
      <c r="AS45" s="145">
        <f t="shared" si="31"/>
        <v>4962.0665589783457</v>
      </c>
      <c r="AT45" s="161">
        <f t="shared" si="32"/>
        <v>3.2861367940253947E-2</v>
      </c>
    </row>
    <row r="46" spans="1:46" x14ac:dyDescent="0.3">
      <c r="A46" s="163">
        <v>41</v>
      </c>
      <c r="B46" s="166" t="s">
        <v>5</v>
      </c>
      <c r="C46" s="163" t="s">
        <v>271</v>
      </c>
      <c r="D46" s="208"/>
      <c r="E46" s="197" t="s">
        <v>6</v>
      </c>
      <c r="F46" s="168">
        <f t="shared" si="19"/>
        <v>2000</v>
      </c>
      <c r="G46" s="169">
        <f t="shared" si="25"/>
        <v>5.2453620928004423E-2</v>
      </c>
      <c r="H46" s="191">
        <v>2000</v>
      </c>
      <c r="I46" s="191"/>
      <c r="J46" s="175" t="s">
        <v>339</v>
      </c>
      <c r="K46" s="195">
        <v>40</v>
      </c>
      <c r="L46" s="195">
        <v>40</v>
      </c>
      <c r="M46" s="177"/>
      <c r="N46" s="186">
        <v>1</v>
      </c>
      <c r="O46" s="185" t="s">
        <v>233</v>
      </c>
      <c r="P46" s="183" t="s">
        <v>13</v>
      </c>
      <c r="Q46" s="183" t="s">
        <v>16</v>
      </c>
      <c r="R46" s="183" t="s">
        <v>12</v>
      </c>
      <c r="S46" s="179">
        <v>500</v>
      </c>
      <c r="T46" s="184" t="s">
        <v>11</v>
      </c>
      <c r="U46" s="184" t="s">
        <v>11</v>
      </c>
      <c r="V46" s="184">
        <v>1</v>
      </c>
      <c r="W46" s="171" t="str">
        <f>IF(AND(U46="N",L46&gt;=Lookups!$C$25),"Y",IF(AND(U46="Y",L46&gt;=Lookups!$C$23),"Y","N"))</f>
        <v>Y</v>
      </c>
      <c r="X46" s="171">
        <v>15</v>
      </c>
      <c r="Y46" s="172">
        <v>38128.921600000001</v>
      </c>
      <c r="Z46" s="179">
        <f t="shared" si="10"/>
        <v>-38128.921600000001</v>
      </c>
      <c r="AA46" s="172">
        <f>IF(W46="N",'Duos revenue'!C259*(1-$AA$3)-MCR!Q44,'Duos revenue'!C259*(1-$AA$3))</f>
        <v>140080.15208752759</v>
      </c>
      <c r="AB46" s="172" t="e">
        <f>-#REF!</f>
        <v>#REF!</v>
      </c>
      <c r="AC46" s="172">
        <f>IF(W46="N",0,-MCR!Q44)</f>
        <v>-14709</v>
      </c>
      <c r="AD46" s="173">
        <f t="shared" si="20"/>
        <v>-52837.921600000001</v>
      </c>
      <c r="AE46" s="173">
        <f t="shared" si="21"/>
        <v>87242.230487527588</v>
      </c>
      <c r="AF46" s="173">
        <f t="shared" si="22"/>
        <v>0</v>
      </c>
      <c r="AG46" s="179">
        <v>11058</v>
      </c>
      <c r="AH46" s="143">
        <f t="shared" si="26"/>
        <v>500</v>
      </c>
      <c r="AI46" s="76"/>
      <c r="AJ46" s="178">
        <v>0</v>
      </c>
      <c r="AK46" s="178">
        <v>0</v>
      </c>
      <c r="AL46" s="145">
        <f t="shared" si="23"/>
        <v>0</v>
      </c>
      <c r="AM46" s="145">
        <f t="shared" si="24"/>
        <v>500</v>
      </c>
      <c r="AN46" s="38"/>
      <c r="AO46" s="143">
        <f t="shared" si="27"/>
        <v>-1500</v>
      </c>
      <c r="AP46" s="158">
        <f t="shared" si="28"/>
        <v>-0.75</v>
      </c>
      <c r="AQ46" s="145">
        <f t="shared" si="29"/>
        <v>0</v>
      </c>
      <c r="AR46" s="161">
        <f t="shared" si="30"/>
        <v>0</v>
      </c>
      <c r="AS46" s="145">
        <f t="shared" si="31"/>
        <v>-1500</v>
      </c>
      <c r="AT46" s="161">
        <f t="shared" si="32"/>
        <v>-0.75</v>
      </c>
    </row>
    <row r="47" spans="1:46" x14ac:dyDescent="0.3">
      <c r="A47" s="163">
        <v>42</v>
      </c>
      <c r="B47" s="166" t="s">
        <v>5</v>
      </c>
      <c r="C47" s="163" t="s">
        <v>272</v>
      </c>
      <c r="D47" s="208"/>
      <c r="E47" s="197" t="s">
        <v>6</v>
      </c>
      <c r="F47" s="168">
        <f t="shared" si="19"/>
        <v>2000</v>
      </c>
      <c r="G47" s="169">
        <f t="shared" si="25"/>
        <v>7.1394844504027707E-2</v>
      </c>
      <c r="H47" s="191">
        <v>2000</v>
      </c>
      <c r="I47" s="191"/>
      <c r="J47" s="175" t="s">
        <v>336</v>
      </c>
      <c r="K47" s="195">
        <v>67</v>
      </c>
      <c r="L47" s="195">
        <v>83.8</v>
      </c>
      <c r="M47" s="177"/>
      <c r="N47" s="186">
        <v>1</v>
      </c>
      <c r="O47" s="185" t="s">
        <v>216</v>
      </c>
      <c r="P47" s="183" t="s">
        <v>13</v>
      </c>
      <c r="Q47" s="183" t="s">
        <v>273</v>
      </c>
      <c r="R47" s="183" t="s">
        <v>12</v>
      </c>
      <c r="S47" s="179">
        <v>2000</v>
      </c>
      <c r="T47" s="184" t="s">
        <v>11</v>
      </c>
      <c r="U47" s="184" t="s">
        <v>11</v>
      </c>
      <c r="V47" s="184">
        <v>1</v>
      </c>
      <c r="W47" s="171" t="str">
        <f>IF(AND(U47="N",L47&gt;=Lookups!$C$25),"Y",IF(AND(U47="Y",L47&gt;=Lookups!$C$23),"Y","N"))</f>
        <v>Y</v>
      </c>
      <c r="X47" s="171">
        <v>15</v>
      </c>
      <c r="Y47" s="172">
        <v>28013.227200000005</v>
      </c>
      <c r="Z47" s="179">
        <f t="shared" si="10"/>
        <v>-28013.227200000005</v>
      </c>
      <c r="AA47" s="172">
        <f>IF(W47="N",'Duos revenue'!C260*(1-$AA$3)-MCR!Q45,'Duos revenue'!C260*(1-$AA$3))</f>
        <v>150625.48187447296</v>
      </c>
      <c r="AB47" s="172" t="e">
        <f>-#REF!</f>
        <v>#REF!</v>
      </c>
      <c r="AC47" s="172">
        <f>IF(W47="N",0,-MCR!Q45)</f>
        <v>-30817</v>
      </c>
      <c r="AD47" s="173">
        <f t="shared" si="20"/>
        <v>-58830.227200000008</v>
      </c>
      <c r="AE47" s="173">
        <f t="shared" si="21"/>
        <v>91795.254674472948</v>
      </c>
      <c r="AF47" s="173">
        <f t="shared" si="22"/>
        <v>0</v>
      </c>
      <c r="AG47" s="179">
        <v>2574</v>
      </c>
      <c r="AH47" s="143">
        <f t="shared" si="26"/>
        <v>2000</v>
      </c>
      <c r="AI47" s="76"/>
      <c r="AJ47" s="178">
        <v>0</v>
      </c>
      <c r="AK47" s="178">
        <v>0</v>
      </c>
      <c r="AL47" s="145">
        <f t="shared" si="23"/>
        <v>0</v>
      </c>
      <c r="AM47" s="145">
        <f t="shared" si="24"/>
        <v>2000</v>
      </c>
      <c r="AN47" s="38"/>
      <c r="AO47" s="143">
        <f t="shared" si="27"/>
        <v>0</v>
      </c>
      <c r="AP47" s="158">
        <f t="shared" si="28"/>
        <v>0</v>
      </c>
      <c r="AQ47" s="145">
        <f t="shared" si="29"/>
        <v>0</v>
      </c>
      <c r="AR47" s="161">
        <f t="shared" si="30"/>
        <v>0</v>
      </c>
      <c r="AS47" s="145">
        <f t="shared" si="31"/>
        <v>0</v>
      </c>
      <c r="AT47" s="161">
        <f t="shared" si="32"/>
        <v>0</v>
      </c>
    </row>
    <row r="48" spans="1:46" x14ac:dyDescent="0.3">
      <c r="A48" s="163">
        <v>43</v>
      </c>
      <c r="B48" s="166" t="s">
        <v>5</v>
      </c>
      <c r="C48" s="163" t="s">
        <v>274</v>
      </c>
      <c r="D48" s="208"/>
      <c r="E48" s="197" t="s">
        <v>6</v>
      </c>
      <c r="F48" s="168">
        <f t="shared" si="19"/>
        <v>2000</v>
      </c>
      <c r="G48" s="169">
        <f t="shared" si="25"/>
        <v>8.3713375314586488E-2</v>
      </c>
      <c r="H48" s="191">
        <v>2000</v>
      </c>
      <c r="I48" s="191"/>
      <c r="J48" s="175" t="s">
        <v>340</v>
      </c>
      <c r="K48" s="195">
        <v>57</v>
      </c>
      <c r="L48" s="195">
        <v>71.3</v>
      </c>
      <c r="M48" s="177"/>
      <c r="N48" s="186">
        <v>1</v>
      </c>
      <c r="O48" s="185" t="s">
        <v>45</v>
      </c>
      <c r="P48" s="183" t="s">
        <v>13</v>
      </c>
      <c r="Q48" s="183" t="s">
        <v>16</v>
      </c>
      <c r="R48" s="183" t="s">
        <v>19</v>
      </c>
      <c r="S48" s="179">
        <v>2000</v>
      </c>
      <c r="T48" s="184" t="s">
        <v>11</v>
      </c>
      <c r="U48" s="184" t="s">
        <v>11</v>
      </c>
      <c r="V48" s="184">
        <v>1</v>
      </c>
      <c r="W48" s="171" t="str">
        <f>IF(AND(U48="N",L48&gt;=Lookups!$C$25),"Y",IF(AND(U48="Y",L48&gt;=Lookups!$C$23),"Y","N"))</f>
        <v>Y</v>
      </c>
      <c r="X48" s="171">
        <v>15</v>
      </c>
      <c r="Y48" s="172">
        <v>23891.044800000003</v>
      </c>
      <c r="Z48" s="179">
        <f t="shared" si="10"/>
        <v>-23891.044800000003</v>
      </c>
      <c r="AA48" s="172">
        <f>IF(W48="N",'Duos revenue'!C261*(1-$AA$3)-MCR!Q46,'Duos revenue'!C261*(1-$AA$3))</f>
        <v>107256.92790933317</v>
      </c>
      <c r="AB48" s="172" t="e">
        <f>-#REF!</f>
        <v>#REF!</v>
      </c>
      <c r="AC48" s="172">
        <f>IF(W48="N",0,-MCR!Q46)</f>
        <v>-48519</v>
      </c>
      <c r="AD48" s="173">
        <f t="shared" si="20"/>
        <v>-72410.044800000003</v>
      </c>
      <c r="AE48" s="173">
        <f t="shared" si="21"/>
        <v>34846.883109333168</v>
      </c>
      <c r="AF48" s="173">
        <f t="shared" si="22"/>
        <v>0</v>
      </c>
      <c r="AG48" s="179">
        <v>70839</v>
      </c>
      <c r="AH48" s="143">
        <f t="shared" si="26"/>
        <v>2000</v>
      </c>
      <c r="AI48" s="76"/>
      <c r="AJ48" s="178">
        <v>0</v>
      </c>
      <c r="AK48" s="178">
        <v>0</v>
      </c>
      <c r="AL48" s="145">
        <f t="shared" si="23"/>
        <v>0</v>
      </c>
      <c r="AM48" s="145">
        <f t="shared" si="24"/>
        <v>2000</v>
      </c>
      <c r="AN48" s="38"/>
      <c r="AO48" s="143">
        <f>AH48-H48</f>
        <v>0</v>
      </c>
      <c r="AP48" s="158">
        <f t="shared" si="28"/>
        <v>0</v>
      </c>
      <c r="AQ48" s="145">
        <f t="shared" si="29"/>
        <v>0</v>
      </c>
      <c r="AR48" s="161">
        <f t="shared" si="30"/>
        <v>0</v>
      </c>
      <c r="AS48" s="145">
        <f t="shared" si="31"/>
        <v>0</v>
      </c>
      <c r="AT48" s="161">
        <f t="shared" si="32"/>
        <v>0</v>
      </c>
    </row>
    <row r="49" spans="1:46" x14ac:dyDescent="0.3">
      <c r="A49" s="163">
        <v>44</v>
      </c>
      <c r="B49" s="166" t="s">
        <v>5</v>
      </c>
      <c r="C49" s="163"/>
      <c r="D49" s="208"/>
      <c r="E49" s="197" t="s">
        <v>6</v>
      </c>
      <c r="F49" s="168">
        <f t="shared" si="19"/>
        <v>0</v>
      </c>
      <c r="G49" s="169" t="e">
        <f t="shared" si="25"/>
        <v>#DIV/0!</v>
      </c>
      <c r="H49" s="191"/>
      <c r="I49" s="191"/>
      <c r="J49" s="175">
        <v>0</v>
      </c>
      <c r="K49" s="195"/>
      <c r="L49" s="195"/>
      <c r="M49" s="177"/>
      <c r="N49" s="186">
        <v>9</v>
      </c>
      <c r="O49" s="185"/>
      <c r="P49" s="183"/>
      <c r="Q49" s="183"/>
      <c r="R49" s="183"/>
      <c r="S49" s="179"/>
      <c r="T49" s="184"/>
      <c r="U49" s="184"/>
      <c r="V49" s="184"/>
      <c r="W49" s="171" t="str">
        <f>IF(AND(U49="N",L49&gt;=Lookups!$C$25),"Y",IF(AND(U49="Y",L49&gt;=Lookups!$C$23),"Y","N"))</f>
        <v>N</v>
      </c>
      <c r="X49" s="171">
        <v>15</v>
      </c>
      <c r="Y49" s="172">
        <v>0</v>
      </c>
      <c r="Z49" s="179">
        <f t="shared" si="10"/>
        <v>0</v>
      </c>
      <c r="AA49" s="172">
        <f>IF(W49="N",'Duos revenue'!C262*(1-$AA$3)-MCR!Q47,'Duos revenue'!C262*(1-$AA$3))</f>
        <v>0</v>
      </c>
      <c r="AB49" s="172" t="e">
        <f>-#REF!</f>
        <v>#REF!</v>
      </c>
      <c r="AC49" s="172">
        <f>IF(W49="N",0,-MCR!Q47)</f>
        <v>0</v>
      </c>
      <c r="AD49" s="173">
        <f t="shared" si="20"/>
        <v>0</v>
      </c>
      <c r="AE49" s="173">
        <f t="shared" si="21"/>
        <v>0</v>
      </c>
      <c r="AF49" s="173">
        <f t="shared" si="22"/>
        <v>0</v>
      </c>
      <c r="AG49" s="179">
        <v>0</v>
      </c>
      <c r="AH49" s="143">
        <f t="shared" si="26"/>
        <v>0</v>
      </c>
      <c r="AI49" s="76"/>
      <c r="AJ49" s="178">
        <v>0</v>
      </c>
      <c r="AK49" s="178">
        <v>0</v>
      </c>
      <c r="AL49" s="145">
        <f t="shared" si="23"/>
        <v>0</v>
      </c>
      <c r="AM49" s="145">
        <f t="shared" si="24"/>
        <v>0</v>
      </c>
      <c r="AN49" s="38"/>
      <c r="AO49" s="143">
        <f t="shared" si="27"/>
        <v>0</v>
      </c>
      <c r="AP49" s="158">
        <f t="shared" si="28"/>
        <v>0</v>
      </c>
      <c r="AQ49" s="145">
        <f t="shared" si="29"/>
        <v>0</v>
      </c>
      <c r="AR49" s="161">
        <f t="shared" si="30"/>
        <v>0</v>
      </c>
      <c r="AS49" s="145">
        <f t="shared" si="31"/>
        <v>0</v>
      </c>
      <c r="AT49" s="161">
        <f t="shared" si="32"/>
        <v>0</v>
      </c>
    </row>
    <row r="50" spans="1:46" x14ac:dyDescent="0.3">
      <c r="A50" s="163">
        <v>45</v>
      </c>
      <c r="B50" s="166" t="s">
        <v>5</v>
      </c>
      <c r="C50" s="163" t="s">
        <v>275</v>
      </c>
      <c r="D50" s="208"/>
      <c r="E50" s="197" t="s">
        <v>6</v>
      </c>
      <c r="F50" s="168">
        <f t="shared" si="19"/>
        <v>57893</v>
      </c>
      <c r="G50" s="169">
        <f t="shared" si="25"/>
        <v>0.31350654538286371</v>
      </c>
      <c r="H50" s="191">
        <v>57893</v>
      </c>
      <c r="I50" s="191"/>
      <c r="J50" s="175" t="s">
        <v>341</v>
      </c>
      <c r="K50" s="195">
        <v>200</v>
      </c>
      <c r="L50" s="195">
        <v>135</v>
      </c>
      <c r="M50" s="177"/>
      <c r="N50" s="186">
        <v>1</v>
      </c>
      <c r="O50" s="185" t="s">
        <v>216</v>
      </c>
      <c r="P50" s="183" t="s">
        <v>13</v>
      </c>
      <c r="Q50" s="183" t="s">
        <v>16</v>
      </c>
      <c r="R50" s="183" t="s">
        <v>12</v>
      </c>
      <c r="S50" s="179">
        <v>2000</v>
      </c>
      <c r="T50" s="184" t="s">
        <v>11</v>
      </c>
      <c r="U50" s="184" t="s">
        <v>11</v>
      </c>
      <c r="V50" s="184">
        <v>1</v>
      </c>
      <c r="W50" s="171" t="str">
        <f>IF(AND(U50="N",L50&gt;=Lookups!$C$25),"Y",IF(AND(U50="Y",L50&gt;=Lookups!$C$23),"Y","N"))</f>
        <v>Y</v>
      </c>
      <c r="X50" s="171">
        <v>15</v>
      </c>
      <c r="Y50" s="172">
        <v>184662.81120000003</v>
      </c>
      <c r="Z50" s="179">
        <f t="shared" si="10"/>
        <v>-184662.81120000003</v>
      </c>
      <c r="AA50" s="172">
        <f>IF(W50="N",'Duos revenue'!C263*(1-$AA$3)-MCR!Q48,'Duos revenue'!C263*(1-$AA$3))</f>
        <v>132049.61320827447</v>
      </c>
      <c r="AB50" s="172" t="e">
        <f>-#REF!</f>
        <v>#REF!</v>
      </c>
      <c r="AC50" s="172">
        <f>IF(W50="N",0,-MCR!Q48)</f>
        <v>-49645</v>
      </c>
      <c r="AD50" s="173">
        <f t="shared" si="20"/>
        <v>-234307.81120000003</v>
      </c>
      <c r="AE50" s="173">
        <f t="shared" si="21"/>
        <v>-102258.19799172555</v>
      </c>
      <c r="AF50" s="173">
        <f t="shared" si="22"/>
        <v>102258.19799172555</v>
      </c>
      <c r="AG50" s="179">
        <v>34189</v>
      </c>
      <c r="AH50" s="143">
        <f t="shared" si="26"/>
        <v>68069.197991725552</v>
      </c>
      <c r="AI50" s="76"/>
      <c r="AJ50" s="178">
        <v>0</v>
      </c>
      <c r="AK50" s="178">
        <v>0</v>
      </c>
      <c r="AL50" s="145">
        <f t="shared" si="23"/>
        <v>0</v>
      </c>
      <c r="AM50" s="145">
        <f t="shared" si="24"/>
        <v>68069.197991725552</v>
      </c>
      <c r="AN50" s="38"/>
      <c r="AO50" s="143">
        <f t="shared" si="27"/>
        <v>10176.197991725552</v>
      </c>
      <c r="AP50" s="158">
        <f t="shared" si="28"/>
        <v>0.17577596586332633</v>
      </c>
      <c r="AQ50" s="145">
        <f t="shared" si="29"/>
        <v>0</v>
      </c>
      <c r="AR50" s="161">
        <f t="shared" si="30"/>
        <v>0</v>
      </c>
      <c r="AS50" s="145">
        <f t="shared" si="31"/>
        <v>10176.197991725552</v>
      </c>
      <c r="AT50" s="161">
        <f t="shared" si="32"/>
        <v>0.17577596586332633</v>
      </c>
    </row>
    <row r="51" spans="1:46" x14ac:dyDescent="0.3">
      <c r="A51" s="163">
        <v>46</v>
      </c>
      <c r="B51" s="166" t="s">
        <v>5</v>
      </c>
      <c r="C51" s="163"/>
      <c r="D51" s="208"/>
      <c r="E51" s="197" t="s">
        <v>6</v>
      </c>
      <c r="F51" s="168">
        <f t="shared" ref="F51" si="33">H51+I51</f>
        <v>0</v>
      </c>
      <c r="G51" s="169" t="e">
        <f t="shared" ref="G51" si="34">F51/(-Z51+I51)</f>
        <v>#DIV/0!</v>
      </c>
      <c r="H51" s="191"/>
      <c r="I51" s="191"/>
      <c r="J51" s="175"/>
      <c r="K51" s="195"/>
      <c r="L51" s="195"/>
      <c r="M51" s="177"/>
      <c r="N51" s="186"/>
      <c r="O51" s="185"/>
      <c r="P51" s="183"/>
      <c r="Q51" s="183"/>
      <c r="R51" s="183"/>
      <c r="S51" s="179"/>
      <c r="T51" s="184"/>
      <c r="U51" s="184"/>
      <c r="V51" s="184"/>
      <c r="W51" s="171"/>
      <c r="X51" s="171"/>
      <c r="Y51" s="172">
        <v>0</v>
      </c>
      <c r="Z51" s="179">
        <f t="shared" si="10"/>
        <v>0</v>
      </c>
      <c r="AA51" s="172">
        <f>IF(W51="N",'Duos revenue'!C264*(1-$AA$3)-MCR!Q49,'Duos revenue'!C264*(1-$AA$3))</f>
        <v>0</v>
      </c>
      <c r="AB51" s="172"/>
      <c r="AC51" s="172">
        <f>IF(W51="N",0,-MCR!Q49)</f>
        <v>0</v>
      </c>
      <c r="AD51" s="173">
        <f t="shared" si="20"/>
        <v>0</v>
      </c>
      <c r="AE51" s="173">
        <f t="shared" si="21"/>
        <v>0</v>
      </c>
      <c r="AF51" s="173">
        <f t="shared" si="22"/>
        <v>0</v>
      </c>
      <c r="AG51" s="179">
        <v>0</v>
      </c>
      <c r="AH51" s="143">
        <f t="shared" si="26"/>
        <v>0</v>
      </c>
      <c r="AI51" s="76"/>
      <c r="AJ51" s="178">
        <v>0</v>
      </c>
      <c r="AK51" s="178">
        <v>0</v>
      </c>
      <c r="AL51" s="145">
        <f t="shared" ref="AL51" si="35">-AJ51-AK51</f>
        <v>0</v>
      </c>
      <c r="AM51" s="145">
        <f t="shared" ref="AM51" si="36">AH51+AL51</f>
        <v>0</v>
      </c>
      <c r="AN51" s="38"/>
      <c r="AO51" s="143">
        <f t="shared" ref="AO51" si="37">AH51-H51</f>
        <v>0</v>
      </c>
      <c r="AP51" s="158">
        <f t="shared" ref="AP51" si="38">IF(H51=0,0,AO51/H51)</f>
        <v>0</v>
      </c>
      <c r="AQ51" s="145">
        <f t="shared" ref="AQ51" si="39">AL51-I51</f>
        <v>0</v>
      </c>
      <c r="AR51" s="161">
        <f t="shared" ref="AR51" si="40">IF(I51=0,0,AQ51/I51)</f>
        <v>0</v>
      </c>
      <c r="AS51" s="145">
        <f t="shared" ref="AS51" si="41">AM51-F51</f>
        <v>0</v>
      </c>
      <c r="AT51" s="161">
        <f t="shared" ref="AT51" si="42">IF(F51=0,0,AS51/F51)</f>
        <v>0</v>
      </c>
    </row>
    <row r="52" spans="1:46" x14ac:dyDescent="0.3">
      <c r="A52" s="163">
        <v>47</v>
      </c>
      <c r="B52" s="166" t="s">
        <v>5</v>
      </c>
      <c r="C52" s="163" t="s">
        <v>276</v>
      </c>
      <c r="D52" s="208"/>
      <c r="E52" s="197" t="s">
        <v>6</v>
      </c>
      <c r="F52" s="168">
        <f t="shared" si="19"/>
        <v>2000</v>
      </c>
      <c r="G52" s="169">
        <f t="shared" si="25"/>
        <v>1.8154463959750882E-2</v>
      </c>
      <c r="H52" s="191">
        <v>2000</v>
      </c>
      <c r="I52" s="191"/>
      <c r="J52" s="175" t="s">
        <v>342</v>
      </c>
      <c r="K52" s="195">
        <v>82</v>
      </c>
      <c r="L52" s="195">
        <v>102.5</v>
      </c>
      <c r="M52" s="177"/>
      <c r="N52" s="186">
        <v>1</v>
      </c>
      <c r="O52" s="185" t="s">
        <v>45</v>
      </c>
      <c r="P52" s="183" t="s">
        <v>13</v>
      </c>
      <c r="Q52" s="183" t="s">
        <v>16</v>
      </c>
      <c r="R52" s="183" t="s">
        <v>12</v>
      </c>
      <c r="S52" s="179">
        <v>2000</v>
      </c>
      <c r="T52" s="184" t="s">
        <v>11</v>
      </c>
      <c r="U52" s="184" t="s">
        <v>11</v>
      </c>
      <c r="V52" s="184">
        <v>1</v>
      </c>
      <c r="W52" s="171" t="str">
        <f>IF(AND(U52="N",L52&gt;=Lookups!$C$25),"Y",IF(AND(U52="Y",L52&gt;=Lookups!$C$23),"Y","N"))</f>
        <v>Y</v>
      </c>
      <c r="X52" s="171">
        <v>15</v>
      </c>
      <c r="Y52" s="172">
        <v>110165.74240000002</v>
      </c>
      <c r="Z52" s="179">
        <f t="shared" si="10"/>
        <v>-110165.74240000002</v>
      </c>
      <c r="AA52" s="172">
        <f>IF(W52="N",'Duos revenue'!C265*(1-$AA$3)-MCR!Q50,'Duos revenue'!C265*(1-$AA$3))</f>
        <v>153821.0774390022</v>
      </c>
      <c r="AB52" s="172" t="e">
        <f>-#REF!</f>
        <v>#REF!</v>
      </c>
      <c r="AC52" s="172">
        <f>IF(W52="N",0,-MCR!Q50)</f>
        <v>-37694</v>
      </c>
      <c r="AD52" s="173">
        <f t="shared" si="20"/>
        <v>-147859.74240000002</v>
      </c>
      <c r="AE52" s="173">
        <f t="shared" si="21"/>
        <v>5961.3350390021806</v>
      </c>
      <c r="AF52" s="173">
        <f t="shared" si="22"/>
        <v>0</v>
      </c>
      <c r="AG52" s="179">
        <v>17240</v>
      </c>
      <c r="AH52" s="143">
        <f t="shared" si="26"/>
        <v>2000</v>
      </c>
      <c r="AI52" s="76"/>
      <c r="AJ52" s="178">
        <v>0</v>
      </c>
      <c r="AK52" s="178">
        <v>0</v>
      </c>
      <c r="AL52" s="145">
        <f t="shared" si="23"/>
        <v>0</v>
      </c>
      <c r="AM52" s="145">
        <f t="shared" si="24"/>
        <v>2000</v>
      </c>
      <c r="AN52" s="38"/>
      <c r="AO52" s="143">
        <f t="shared" si="27"/>
        <v>0</v>
      </c>
      <c r="AP52" s="158">
        <f t="shared" si="28"/>
        <v>0</v>
      </c>
      <c r="AQ52" s="145">
        <f t="shared" si="29"/>
        <v>0</v>
      </c>
      <c r="AR52" s="161">
        <f t="shared" si="30"/>
        <v>0</v>
      </c>
      <c r="AS52" s="145">
        <f t="shared" si="31"/>
        <v>0</v>
      </c>
      <c r="AT52" s="161">
        <f t="shared" si="32"/>
        <v>0</v>
      </c>
    </row>
    <row r="53" spans="1:46" x14ac:dyDescent="0.3">
      <c r="A53" s="163">
        <v>48</v>
      </c>
      <c r="B53" s="166" t="s">
        <v>5</v>
      </c>
      <c r="C53" s="163" t="s">
        <v>277</v>
      </c>
      <c r="D53" s="208"/>
      <c r="E53" s="197" t="s">
        <v>6</v>
      </c>
      <c r="F53" s="168">
        <f t="shared" si="19"/>
        <v>18384</v>
      </c>
      <c r="G53" s="169">
        <f t="shared" si="25"/>
        <v>0.20795437238546921</v>
      </c>
      <c r="H53" s="191">
        <v>18384</v>
      </c>
      <c r="I53" s="191"/>
      <c r="J53" s="175" t="s">
        <v>343</v>
      </c>
      <c r="K53" s="195">
        <v>166</v>
      </c>
      <c r="L53" s="195">
        <v>207.5</v>
      </c>
      <c r="M53" s="177"/>
      <c r="N53" s="186">
        <v>1</v>
      </c>
      <c r="O53" s="185" t="s">
        <v>231</v>
      </c>
      <c r="P53" s="183" t="s">
        <v>13</v>
      </c>
      <c r="Q53" s="183" t="s">
        <v>273</v>
      </c>
      <c r="R53" s="183" t="s">
        <v>12</v>
      </c>
      <c r="S53" s="179">
        <v>2000</v>
      </c>
      <c r="T53" s="184" t="s">
        <v>11</v>
      </c>
      <c r="U53" s="184" t="s">
        <v>11</v>
      </c>
      <c r="V53" s="184">
        <v>1</v>
      </c>
      <c r="W53" s="171" t="str">
        <f>IF(AND(U53="N",L53&gt;=Lookups!$C$25),"Y",IF(AND(U53="Y",L53&gt;=Lookups!$C$23),"Y","N"))</f>
        <v>Y</v>
      </c>
      <c r="X53" s="171">
        <v>15</v>
      </c>
      <c r="Y53" s="172">
        <v>88404.008000000002</v>
      </c>
      <c r="Z53" s="179">
        <f t="shared" si="10"/>
        <v>-88404.008000000002</v>
      </c>
      <c r="AA53" s="172">
        <f>IF(W53="N",'Duos revenue'!C266*(1-$AA$3)-MCR!Q51,'Duos revenue'!C266*(1-$AA$3))</f>
        <v>306419.2997192599</v>
      </c>
      <c r="AB53" s="172" t="e">
        <f>-#REF!</f>
        <v>#REF!</v>
      </c>
      <c r="AC53" s="172">
        <f>IF(W53="N",0,-MCR!Q51)</f>
        <v>-76306</v>
      </c>
      <c r="AD53" s="173">
        <f t="shared" si="20"/>
        <v>-164710.008</v>
      </c>
      <c r="AE53" s="173">
        <f t="shared" si="21"/>
        <v>141709.2917192599</v>
      </c>
      <c r="AF53" s="173">
        <f t="shared" si="22"/>
        <v>0</v>
      </c>
      <c r="AG53" s="179">
        <v>1083</v>
      </c>
      <c r="AH53" s="143">
        <f t="shared" si="26"/>
        <v>2000</v>
      </c>
      <c r="AI53" s="76"/>
      <c r="AJ53" s="178">
        <v>0</v>
      </c>
      <c r="AK53" s="178">
        <v>0</v>
      </c>
      <c r="AL53" s="145">
        <f t="shared" si="23"/>
        <v>0</v>
      </c>
      <c r="AM53" s="145">
        <f t="shared" si="24"/>
        <v>2000</v>
      </c>
      <c r="AN53" s="38"/>
      <c r="AO53" s="143">
        <f t="shared" si="27"/>
        <v>-16384</v>
      </c>
      <c r="AP53" s="158">
        <f t="shared" si="28"/>
        <v>-0.89120974760661442</v>
      </c>
      <c r="AQ53" s="145">
        <f t="shared" si="29"/>
        <v>0</v>
      </c>
      <c r="AR53" s="161">
        <f t="shared" si="30"/>
        <v>0</v>
      </c>
      <c r="AS53" s="145">
        <f t="shared" si="31"/>
        <v>-16384</v>
      </c>
      <c r="AT53" s="161">
        <f t="shared" si="32"/>
        <v>-0.89120974760661442</v>
      </c>
    </row>
    <row r="54" spans="1:46" x14ac:dyDescent="0.3">
      <c r="A54" s="163">
        <v>49</v>
      </c>
      <c r="B54" s="166" t="s">
        <v>5</v>
      </c>
      <c r="C54" s="163" t="s">
        <v>278</v>
      </c>
      <c r="D54" s="208"/>
      <c r="E54" s="197" t="s">
        <v>6</v>
      </c>
      <c r="F54" s="168">
        <f t="shared" si="19"/>
        <v>38404</v>
      </c>
      <c r="G54" s="169">
        <f t="shared" si="25"/>
        <v>0.48087241685965831</v>
      </c>
      <c r="H54" s="191">
        <v>38404</v>
      </c>
      <c r="I54" s="191"/>
      <c r="J54" s="175" t="s">
        <v>344</v>
      </c>
      <c r="K54" s="195">
        <v>48</v>
      </c>
      <c r="L54" s="195">
        <v>60</v>
      </c>
      <c r="M54" s="177"/>
      <c r="N54" s="186">
        <v>1</v>
      </c>
      <c r="O54" s="185" t="s">
        <v>216</v>
      </c>
      <c r="P54" s="183" t="s">
        <v>13</v>
      </c>
      <c r="Q54" s="183" t="s">
        <v>205</v>
      </c>
      <c r="R54" s="183" t="s">
        <v>17</v>
      </c>
      <c r="S54" s="179">
        <v>2000</v>
      </c>
      <c r="T54" s="184" t="s">
        <v>11</v>
      </c>
      <c r="U54" s="184" t="s">
        <v>11</v>
      </c>
      <c r="V54" s="184">
        <v>1</v>
      </c>
      <c r="W54" s="171" t="str">
        <f>IF(AND(U54="N",L54&gt;=Lookups!$C$25),"Y",IF(AND(U54="Y",L54&gt;=Lookups!$C$23),"Y","N"))</f>
        <v>Y</v>
      </c>
      <c r="X54" s="171">
        <v>15</v>
      </c>
      <c r="Y54" s="172">
        <v>79863.179200000013</v>
      </c>
      <c r="Z54" s="179">
        <f t="shared" si="10"/>
        <v>-79863.179200000013</v>
      </c>
      <c r="AA54" s="172">
        <f>IF(W54="N",'Duos revenue'!C267*(1-$AA$3)-MCR!Q52,'Duos revenue'!C267*(1-$AA$3))</f>
        <v>39554.975219168758</v>
      </c>
      <c r="AB54" s="172" t="e">
        <f>-#REF!</f>
        <v>#REF!</v>
      </c>
      <c r="AC54" s="172">
        <f>IF(W54="N",0,-MCR!Q52)</f>
        <v>-34075</v>
      </c>
      <c r="AD54" s="173">
        <f t="shared" si="20"/>
        <v>-113938.17920000001</v>
      </c>
      <c r="AE54" s="173">
        <f t="shared" si="21"/>
        <v>-74383.203980831255</v>
      </c>
      <c r="AF54" s="173">
        <f t="shared" si="22"/>
        <v>74383.203980831255</v>
      </c>
      <c r="AG54" s="179">
        <v>2346</v>
      </c>
      <c r="AH54" s="143">
        <f t="shared" si="26"/>
        <v>72037.203980831255</v>
      </c>
      <c r="AI54" s="76"/>
      <c r="AJ54" s="178">
        <v>0</v>
      </c>
      <c r="AK54" s="178">
        <v>0</v>
      </c>
      <c r="AL54" s="145">
        <f t="shared" si="23"/>
        <v>0</v>
      </c>
      <c r="AM54" s="145">
        <f t="shared" si="24"/>
        <v>72037.203980831255</v>
      </c>
      <c r="AN54" s="38"/>
      <c r="AO54" s="143">
        <f t="shared" si="27"/>
        <v>33633.203980831255</v>
      </c>
      <c r="AP54" s="158">
        <f t="shared" si="28"/>
        <v>0.87577346059866823</v>
      </c>
      <c r="AQ54" s="145">
        <f t="shared" si="29"/>
        <v>0</v>
      </c>
      <c r="AR54" s="161">
        <f t="shared" si="30"/>
        <v>0</v>
      </c>
      <c r="AS54" s="145">
        <f t="shared" si="31"/>
        <v>33633.203980831255</v>
      </c>
      <c r="AT54" s="161">
        <f t="shared" si="32"/>
        <v>0.87577346059866823</v>
      </c>
    </row>
    <row r="55" spans="1:46" x14ac:dyDescent="0.3">
      <c r="A55" s="163">
        <v>50</v>
      </c>
      <c r="B55" s="166" t="s">
        <v>5</v>
      </c>
      <c r="C55" s="163" t="s">
        <v>279</v>
      </c>
      <c r="D55" s="208"/>
      <c r="E55" s="197" t="s">
        <v>6</v>
      </c>
      <c r="F55" s="168">
        <f t="shared" si="19"/>
        <v>2000</v>
      </c>
      <c r="G55" s="169">
        <f t="shared" si="25"/>
        <v>5.9219186030866747E-2</v>
      </c>
      <c r="H55" s="191">
        <v>2000</v>
      </c>
      <c r="I55" s="191"/>
      <c r="J55" s="175" t="s">
        <v>345</v>
      </c>
      <c r="K55" s="195">
        <v>51.2</v>
      </c>
      <c r="L55" s="195">
        <v>64</v>
      </c>
      <c r="M55" s="177"/>
      <c r="N55" s="186">
        <v>1</v>
      </c>
      <c r="O55" s="185" t="s">
        <v>216</v>
      </c>
      <c r="P55" s="183" t="s">
        <v>13</v>
      </c>
      <c r="Q55" s="183" t="s">
        <v>16</v>
      </c>
      <c r="R55" s="183" t="s">
        <v>12</v>
      </c>
      <c r="S55" s="179">
        <v>2000</v>
      </c>
      <c r="T55" s="184" t="s">
        <v>11</v>
      </c>
      <c r="U55" s="184" t="s">
        <v>11</v>
      </c>
      <c r="V55" s="184">
        <v>1</v>
      </c>
      <c r="W55" s="171" t="str">
        <f>IF(AND(U55="N",L55&gt;=Lookups!$C$25),"Y",IF(AND(U55="Y",L55&gt;=Lookups!$C$23),"Y","N"))</f>
        <v>Y</v>
      </c>
      <c r="X55" s="171">
        <v>15</v>
      </c>
      <c r="Y55" s="172">
        <v>33772.838400000001</v>
      </c>
      <c r="Z55" s="179">
        <f t="shared" si="10"/>
        <v>-33772.838400000001</v>
      </c>
      <c r="AA55" s="172">
        <f>IF(W55="N",'Duos revenue'!C268*(1-$AA$3)-MCR!Q53,'Duos revenue'!C268*(1-$AA$3))</f>
        <v>47366.32104402774</v>
      </c>
      <c r="AB55" s="172" t="e">
        <f>-#REF!</f>
        <v>#REF!</v>
      </c>
      <c r="AC55" s="172">
        <f>IF(W55="N",0,-MCR!Q53)</f>
        <v>-23535</v>
      </c>
      <c r="AD55" s="173">
        <f t="shared" si="20"/>
        <v>-57307.838400000001</v>
      </c>
      <c r="AE55" s="173">
        <f t="shared" si="21"/>
        <v>-9941.5173559722607</v>
      </c>
      <c r="AF55" s="173">
        <f t="shared" si="22"/>
        <v>9941.5173559722607</v>
      </c>
      <c r="AG55" s="179">
        <v>15171</v>
      </c>
      <c r="AH55" s="143">
        <f t="shared" si="26"/>
        <v>2000</v>
      </c>
      <c r="AI55" s="76"/>
      <c r="AJ55" s="178">
        <v>0</v>
      </c>
      <c r="AK55" s="178">
        <v>0</v>
      </c>
      <c r="AL55" s="145">
        <f t="shared" si="23"/>
        <v>0</v>
      </c>
      <c r="AM55" s="145">
        <f t="shared" si="24"/>
        <v>2000</v>
      </c>
      <c r="AN55" s="38"/>
      <c r="AO55" s="143">
        <f t="shared" si="27"/>
        <v>0</v>
      </c>
      <c r="AP55" s="158">
        <f t="shared" si="28"/>
        <v>0</v>
      </c>
      <c r="AQ55" s="145">
        <f t="shared" si="29"/>
        <v>0</v>
      </c>
      <c r="AR55" s="161">
        <f t="shared" si="30"/>
        <v>0</v>
      </c>
      <c r="AS55" s="145">
        <f t="shared" si="31"/>
        <v>0</v>
      </c>
      <c r="AT55" s="161">
        <f t="shared" si="32"/>
        <v>0</v>
      </c>
    </row>
    <row r="56" spans="1:46" x14ac:dyDescent="0.3">
      <c r="B56" s="41"/>
      <c r="D56" s="41"/>
      <c r="E56" s="41"/>
      <c r="F56" s="40"/>
      <c r="G56" s="126"/>
      <c r="H56" s="40"/>
      <c r="I56" s="40"/>
      <c r="L56" s="41"/>
      <c r="M56" s="41"/>
      <c r="AH56" s="38"/>
      <c r="AI56" s="71"/>
      <c r="AJ56" s="72"/>
      <c r="AK56" s="72"/>
      <c r="AL56" s="38"/>
      <c r="AM56" s="38"/>
      <c r="AN56" s="38"/>
      <c r="AO56" s="38"/>
      <c r="AP56" s="39"/>
      <c r="AQ56" s="38"/>
      <c r="AR56" s="39"/>
      <c r="AS56" s="37"/>
    </row>
    <row r="57" spans="1:46" s="5" customFormat="1" x14ac:dyDescent="0.3">
      <c r="D57" s="5" t="s">
        <v>8</v>
      </c>
      <c r="F57" s="6">
        <f>SUBTOTAL(9,F6:F55)</f>
        <v>803874</v>
      </c>
      <c r="G57" s="126">
        <f>F57/(-Z57+I57)</f>
        <v>0.23929680669293735</v>
      </c>
      <c r="H57" s="6">
        <f>SUBTOTAL(9,H6:H55)</f>
        <v>803874</v>
      </c>
      <c r="I57" s="6">
        <f>SUBTOTAL(9,I6:I55)</f>
        <v>0</v>
      </c>
      <c r="Z57" s="144">
        <f t="shared" ref="Z57:AF57" si="43">SUBTOTAL(9,Z6:Z55)</f>
        <v>-3359317.7072000005</v>
      </c>
      <c r="AA57" s="144">
        <f t="shared" si="43"/>
        <v>8204733.2899746215</v>
      </c>
      <c r="AB57" s="144" t="e">
        <f t="shared" si="43"/>
        <v>#REF!</v>
      </c>
      <c r="AC57" s="144">
        <f t="shared" si="43"/>
        <v>-2648667</v>
      </c>
      <c r="AD57" s="144">
        <f t="shared" si="43"/>
        <v>-6007984.707200001</v>
      </c>
      <c r="AE57" s="144">
        <f t="shared" si="43"/>
        <v>2196748.5827746205</v>
      </c>
      <c r="AF57" s="144">
        <f t="shared" si="43"/>
        <v>1207774.7972761786</v>
      </c>
      <c r="AG57" s="144">
        <f>SUBTOTAL(9,AG6:AG55)</f>
        <v>679499</v>
      </c>
      <c r="AH57" s="144">
        <f>SUBTOTAL(9,AH6:AH55)</f>
        <v>1005998.3057736019</v>
      </c>
      <c r="AI57" s="6"/>
      <c r="AJ57" s="6"/>
      <c r="AK57" s="6"/>
      <c r="AL57" s="144">
        <f>SUBTOTAL(9,AL6:AL55)</f>
        <v>0</v>
      </c>
      <c r="AM57" s="144">
        <f>SUBTOTAL(9,AM6:AM55)</f>
        <v>1005998.3057736019</v>
      </c>
      <c r="AN57" s="6"/>
      <c r="AO57" s="144">
        <f>SUBTOTAL(9,AO6:AO55)</f>
        <v>202124.30577360207</v>
      </c>
      <c r="AP57" s="160">
        <f>IF(H57=0,0,AO57/H57)</f>
        <v>0.25143779469618632</v>
      </c>
      <c r="AQ57" s="144">
        <f>SUBTOTAL(9,AQ6:AQ55)</f>
        <v>0</v>
      </c>
      <c r="AR57" s="160">
        <f>IF(I57=0,0,AQ57/I57)</f>
        <v>0</v>
      </c>
      <c r="AS57" s="144">
        <f>SUBTOTAL(9,AS6:AS55)</f>
        <v>202124.30577360207</v>
      </c>
      <c r="AT57" s="160">
        <f>IF(F57=0,0,AS57/F57)</f>
        <v>0.25143779469618632</v>
      </c>
    </row>
    <row r="59" spans="1:46" x14ac:dyDescent="0.3">
      <c r="AE59" s="46"/>
    </row>
    <row r="61" spans="1:46" x14ac:dyDescent="0.3">
      <c r="AE61" s="46"/>
    </row>
  </sheetData>
  <autoFilter ref="A5:AT55" xr:uid="{00000000-0001-0000-0200-000000000000}"/>
  <mergeCells count="2">
    <mergeCell ref="H4:I4"/>
    <mergeCell ref="AO4:AT4"/>
  </mergeCells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200-000000000000}">
          <x14:formula1>
            <xm:f>Lookups!$B$3:$B$7</xm:f>
          </x14:formula1>
          <xm:sqref>R6:R55</xm:sqref>
        </x14:dataValidation>
        <x14:dataValidation type="list" showInputMessage="1" showErrorMessage="1" xr:uid="{A889B356-26F0-4168-AB91-F94067629C83}">
          <x14:formula1>
            <xm:f>Lookups!$B$10:$B$11</xm:f>
          </x14:formula1>
          <xm:sqref>X6:X55 T6:U55</xm:sqref>
        </x14:dataValidation>
        <x14:dataValidation type="list" allowBlank="1" showInputMessage="1" showErrorMessage="1" xr:uid="{B0782327-2DDE-4376-BF39-8A184C9A1537}">
          <x14:formula1>
            <xm:f>Lookups!$E$3:$E$21</xm:f>
          </x14:formula1>
          <xm:sqref>O6:O55</xm:sqref>
        </x14:dataValidation>
        <x14:dataValidation type="list" allowBlank="1" showInputMessage="1" showErrorMessage="1" xr:uid="{1D55971A-6085-4301-AB61-BD808DB72A4A}">
          <x14:formula1>
            <xm:f>Lookups!$B$14:$B$19</xm:f>
          </x14:formula1>
          <xm:sqref>P6:P55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4"/>
  <sheetViews>
    <sheetView workbookViewId="0"/>
  </sheetViews>
  <sheetFormatPr defaultRowHeight="14.65" outlineLevelCol="1" x14ac:dyDescent="0.3"/>
  <cols>
    <col min="1" max="2" width="1" customWidth="1"/>
    <col min="3" max="3" width="3.44140625" customWidth="1"/>
    <col min="4" max="4" width="35.6640625" customWidth="1"/>
    <col min="5" max="5" width="14.33203125" customWidth="1"/>
    <col min="6" max="11" width="11.44140625" customWidth="1"/>
    <col min="12" max="16" width="9.88671875" hidden="1" customWidth="1" outlineLevel="1"/>
    <col min="17" max="17" width="14.88671875" customWidth="1" collapsed="1"/>
    <col min="18" max="18" width="5.5546875" customWidth="1"/>
    <col min="19" max="19" width="10.88671875" customWidth="1"/>
    <col min="20" max="20" width="13.6640625" customWidth="1"/>
    <col min="21" max="21" width="8.88671875" customWidth="1"/>
  </cols>
  <sheetData>
    <row r="1" spans="1:24" x14ac:dyDescent="0.3">
      <c r="A1" s="79"/>
      <c r="B1" s="79"/>
      <c r="C1" s="80"/>
      <c r="D1" s="80"/>
      <c r="E1" s="80"/>
      <c r="F1" s="80"/>
      <c r="G1" s="81"/>
      <c r="H1" s="79"/>
      <c r="I1" s="79"/>
      <c r="J1" s="82"/>
      <c r="K1" s="79"/>
      <c r="L1" s="79"/>
      <c r="M1" s="79"/>
      <c r="N1" s="83"/>
      <c r="O1" s="83"/>
      <c r="P1" s="83"/>
      <c r="Q1" s="79"/>
      <c r="R1" s="84"/>
      <c r="S1" s="84"/>
      <c r="T1" s="84"/>
      <c r="U1" s="84"/>
      <c r="V1" s="84"/>
      <c r="W1" s="84"/>
      <c r="X1" s="84"/>
    </row>
    <row r="2" spans="1:24" ht="15.95" x14ac:dyDescent="0.3">
      <c r="A2" s="81"/>
      <c r="B2" s="81"/>
      <c r="C2" s="85" t="s">
        <v>295</v>
      </c>
      <c r="D2" s="85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4"/>
      <c r="S2" s="84"/>
      <c r="T2" s="84"/>
      <c r="U2" s="84"/>
      <c r="V2" s="84"/>
      <c r="W2" s="84"/>
      <c r="X2" s="84"/>
    </row>
    <row r="3" spans="1:24" ht="12.75" customHeight="1" x14ac:dyDescent="0.3">
      <c r="A3" s="81"/>
      <c r="B3" s="81"/>
      <c r="C3" s="85"/>
      <c r="D3" s="85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4"/>
      <c r="S3" s="84"/>
      <c r="T3" s="84"/>
      <c r="U3" s="84"/>
      <c r="V3" s="84"/>
      <c r="W3" s="84"/>
      <c r="X3" s="84"/>
    </row>
    <row r="4" spans="1:24" ht="15.95" x14ac:dyDescent="0.3">
      <c r="A4" s="86"/>
      <c r="B4" s="86"/>
      <c r="C4" s="87" t="s">
        <v>50</v>
      </c>
      <c r="D4" s="87"/>
      <c r="E4" s="86"/>
      <c r="F4" s="86" t="s">
        <v>171</v>
      </c>
      <c r="G4" s="86" t="s">
        <v>52</v>
      </c>
      <c r="H4" s="86" t="s">
        <v>53</v>
      </c>
      <c r="I4" s="86" t="s">
        <v>54</v>
      </c>
      <c r="J4" s="86" t="s">
        <v>55</v>
      </c>
      <c r="K4" s="86" t="s">
        <v>56</v>
      </c>
      <c r="L4" s="86" t="s">
        <v>108</v>
      </c>
      <c r="M4" s="86" t="s">
        <v>109</v>
      </c>
      <c r="N4" s="86" t="s">
        <v>110</v>
      </c>
      <c r="O4" s="86" t="s">
        <v>111</v>
      </c>
      <c r="P4" s="86" t="s">
        <v>112</v>
      </c>
      <c r="Q4" s="88" t="s">
        <v>135</v>
      </c>
      <c r="R4" s="88"/>
      <c r="S4" s="88"/>
      <c r="T4" s="88"/>
      <c r="U4" s="88"/>
      <c r="V4" s="84"/>
      <c r="W4" s="84"/>
      <c r="X4" s="84"/>
    </row>
    <row r="5" spans="1:24" x14ac:dyDescent="0.3">
      <c r="A5" s="89"/>
      <c r="B5" s="89"/>
      <c r="C5" s="90" t="s">
        <v>136</v>
      </c>
      <c r="D5" s="90"/>
      <c r="E5" s="90"/>
      <c r="F5" s="90"/>
      <c r="G5" s="90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84"/>
      <c r="W5" s="84"/>
      <c r="X5" s="84"/>
    </row>
    <row r="6" spans="1:24" x14ac:dyDescent="0.3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4" x14ac:dyDescent="0.3">
      <c r="A7" s="84"/>
      <c r="B7" s="84"/>
      <c r="C7" s="84"/>
      <c r="D7" s="92" t="s">
        <v>137</v>
      </c>
      <c r="E7" s="84"/>
      <c r="F7" s="93"/>
      <c r="G7" s="93">
        <v>223.60653756986986</v>
      </c>
      <c r="H7" s="93">
        <v>222.33161527591869</v>
      </c>
      <c r="I7" s="93">
        <v>221.1005903715502</v>
      </c>
      <c r="J7" s="93">
        <v>217.02640648842203</v>
      </c>
      <c r="K7" s="93">
        <v>211.10152750800694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4">
        <f t="shared" ref="Q7:Q12" si="0">SUM(G7:P7)</f>
        <v>1095.1666772137678</v>
      </c>
      <c r="R7" s="84"/>
      <c r="S7" s="84"/>
      <c r="T7" s="84"/>
      <c r="U7" s="84"/>
      <c r="V7" s="84"/>
      <c r="W7" s="84"/>
      <c r="X7" s="84"/>
    </row>
    <row r="8" spans="1:24" x14ac:dyDescent="0.3">
      <c r="A8" s="84"/>
      <c r="B8" s="84"/>
      <c r="C8" s="84"/>
      <c r="D8" s="92" t="s">
        <v>138</v>
      </c>
      <c r="E8" s="84"/>
      <c r="F8" s="93"/>
      <c r="G8" s="93">
        <v>184.89660612792107</v>
      </c>
      <c r="H8" s="93">
        <v>163.22801625394146</v>
      </c>
      <c r="I8" s="93">
        <v>162.97893810678539</v>
      </c>
      <c r="J8" s="93">
        <v>168.47821547188735</v>
      </c>
      <c r="K8" s="93">
        <v>170.75669975642057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4">
        <f t="shared" si="0"/>
        <v>850.33847571695583</v>
      </c>
      <c r="R8" s="84"/>
      <c r="S8" s="84"/>
      <c r="T8" s="84"/>
      <c r="U8" s="84"/>
      <c r="V8" s="84"/>
      <c r="W8" s="84"/>
      <c r="X8" s="84"/>
    </row>
    <row r="9" spans="1:24" x14ac:dyDescent="0.3">
      <c r="A9" s="84"/>
      <c r="B9" s="84"/>
      <c r="C9" s="84"/>
      <c r="D9" s="92" t="s">
        <v>139</v>
      </c>
      <c r="E9" s="84"/>
      <c r="F9" s="93"/>
      <c r="G9" s="93">
        <v>244.47242599381846</v>
      </c>
      <c r="H9" s="93">
        <v>252.26686819199378</v>
      </c>
      <c r="I9" s="93">
        <v>260.93264936635211</v>
      </c>
      <c r="J9" s="93">
        <v>270.02257308643658</v>
      </c>
      <c r="K9" s="93">
        <v>280.12768764627901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4">
        <f t="shared" si="0"/>
        <v>1307.8222042848797</v>
      </c>
      <c r="R9" s="84"/>
      <c r="S9" s="84"/>
      <c r="T9" s="84"/>
      <c r="U9" s="84"/>
      <c r="V9" s="84"/>
      <c r="W9" s="84"/>
      <c r="X9" s="84"/>
    </row>
    <row r="10" spans="1:24" x14ac:dyDescent="0.3">
      <c r="A10" s="84"/>
      <c r="B10" s="84"/>
      <c r="C10" s="84"/>
      <c r="D10" s="92" t="s">
        <v>140</v>
      </c>
      <c r="E10" s="84"/>
      <c r="F10" s="93"/>
      <c r="G10" s="93">
        <v>84.157858046568379</v>
      </c>
      <c r="H10" s="93">
        <v>53.514103373604897</v>
      </c>
      <c r="I10" s="93">
        <v>32.354217315478479</v>
      </c>
      <c r="J10" s="93">
        <v>11.996365983407102</v>
      </c>
      <c r="K10" s="93">
        <v>9.833418789798019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4">
        <f t="shared" si="0"/>
        <v>191.85596350885686</v>
      </c>
      <c r="R10" s="84"/>
      <c r="S10" s="84"/>
      <c r="T10" s="84"/>
      <c r="U10" s="84"/>
      <c r="V10" s="84"/>
      <c r="W10" s="84"/>
      <c r="X10" s="84"/>
    </row>
    <row r="11" spans="1:24" x14ac:dyDescent="0.3">
      <c r="A11" s="84"/>
      <c r="B11" s="84"/>
      <c r="C11" s="84"/>
      <c r="D11" s="92" t="s">
        <v>141</v>
      </c>
      <c r="E11" s="84"/>
      <c r="F11" s="93"/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4">
        <f t="shared" si="0"/>
        <v>0</v>
      </c>
      <c r="R11" s="84"/>
      <c r="S11" s="84"/>
      <c r="T11" s="92"/>
      <c r="U11" s="84"/>
      <c r="V11" s="84"/>
      <c r="W11" s="84"/>
      <c r="X11" s="84"/>
    </row>
    <row r="12" spans="1:24" x14ac:dyDescent="0.3">
      <c r="A12" s="84"/>
      <c r="B12" s="84"/>
      <c r="C12" s="84"/>
      <c r="D12" s="95" t="s">
        <v>142</v>
      </c>
      <c r="E12" s="95"/>
      <c r="F12" s="96">
        <v>677.44701219512194</v>
      </c>
      <c r="G12" s="97">
        <v>737.13342773817772</v>
      </c>
      <c r="H12" s="97">
        <v>691.34060309545885</v>
      </c>
      <c r="I12" s="97">
        <v>677.36639516016612</v>
      </c>
      <c r="J12" s="97">
        <v>667.52356103015302</v>
      </c>
      <c r="K12" s="97">
        <v>671.81933370050444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8">
        <f t="shared" si="0"/>
        <v>3445.1833207244599</v>
      </c>
      <c r="R12" s="84"/>
      <c r="S12" s="99">
        <v>3025.7666529405942</v>
      </c>
      <c r="T12" s="92" t="s">
        <v>143</v>
      </c>
      <c r="U12" s="92"/>
      <c r="V12" s="84"/>
      <c r="W12" s="84"/>
      <c r="X12" s="84"/>
    </row>
    <row r="13" spans="1:24" x14ac:dyDescent="0.3">
      <c r="A13" s="84"/>
      <c r="B13" s="84"/>
      <c r="C13" s="92"/>
      <c r="D13" s="92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92"/>
      <c r="U13" s="84"/>
      <c r="V13" s="84"/>
      <c r="W13" s="84"/>
      <c r="X13" s="84"/>
    </row>
    <row r="14" spans="1:24" x14ac:dyDescent="0.3">
      <c r="A14" s="89"/>
      <c r="B14" s="89"/>
      <c r="C14" s="90" t="s">
        <v>144</v>
      </c>
      <c r="D14" s="90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100"/>
      <c r="U14" s="89"/>
      <c r="V14" s="84"/>
      <c r="W14" s="84"/>
      <c r="X14" s="84"/>
    </row>
    <row r="15" spans="1:24" x14ac:dyDescent="0.3">
      <c r="A15" s="79"/>
      <c r="B15" s="79"/>
      <c r="C15" s="79"/>
      <c r="D15" s="79"/>
      <c r="E15" s="79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79"/>
      <c r="S15" s="79"/>
      <c r="T15" s="101"/>
      <c r="U15" s="79"/>
      <c r="V15" s="84"/>
      <c r="W15" s="84"/>
      <c r="X15" s="84"/>
    </row>
    <row r="16" spans="1:24" x14ac:dyDescent="0.3">
      <c r="A16" s="79"/>
      <c r="B16" s="79"/>
      <c r="C16" s="95" t="s">
        <v>145</v>
      </c>
      <c r="D16" s="101"/>
      <c r="E16" s="79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79"/>
      <c r="S16" s="79"/>
      <c r="T16" s="101"/>
      <c r="U16" s="79"/>
      <c r="V16" s="84"/>
      <c r="W16" s="84"/>
      <c r="X16" s="84"/>
    </row>
    <row r="17" spans="1:24" x14ac:dyDescent="0.3">
      <c r="A17" s="79"/>
      <c r="B17" s="79"/>
      <c r="C17" s="84"/>
      <c r="D17" s="95" t="s">
        <v>146</v>
      </c>
      <c r="E17" s="80"/>
      <c r="F17" s="96">
        <f>F12</f>
        <v>677.44701219512194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8">
        <f>SUM(G17:P17)</f>
        <v>0</v>
      </c>
      <c r="R17" s="102"/>
      <c r="S17" s="99">
        <v>0</v>
      </c>
      <c r="T17" s="92" t="s">
        <v>143</v>
      </c>
      <c r="U17" s="79"/>
      <c r="V17" s="84"/>
      <c r="W17" s="84"/>
      <c r="X17" s="84"/>
    </row>
    <row r="18" spans="1:24" x14ac:dyDescent="0.3">
      <c r="A18" s="79"/>
      <c r="B18" s="79"/>
      <c r="C18" s="84"/>
      <c r="D18" s="92" t="s">
        <v>62</v>
      </c>
      <c r="E18" s="79"/>
      <c r="F18" s="84"/>
      <c r="G18" s="103">
        <v>4.4951852278776558E-2</v>
      </c>
      <c r="H18" s="103">
        <v>5.1317375234451124E-2</v>
      </c>
      <c r="I18" s="103">
        <v>5.1430044323603416E-2</v>
      </c>
      <c r="J18" s="103">
        <v>5.1541631367058055E-2</v>
      </c>
      <c r="K18" s="103">
        <v>5.1652120914944956E-2</v>
      </c>
      <c r="L18" s="103" t="s">
        <v>296</v>
      </c>
      <c r="M18" s="103" t="s">
        <v>296</v>
      </c>
      <c r="N18" s="103" t="s">
        <v>296</v>
      </c>
      <c r="O18" s="103" t="s">
        <v>296</v>
      </c>
      <c r="P18" s="103" t="s">
        <v>296</v>
      </c>
      <c r="Q18" s="104"/>
      <c r="R18" s="79"/>
      <c r="S18" s="79"/>
      <c r="T18" s="101"/>
      <c r="U18" s="79"/>
      <c r="V18" s="84"/>
      <c r="W18" s="84"/>
      <c r="X18" s="84"/>
    </row>
    <row r="19" spans="1:24" x14ac:dyDescent="0.3">
      <c r="A19" s="79"/>
      <c r="B19" s="79"/>
      <c r="C19" s="84"/>
      <c r="D19" s="84"/>
      <c r="E19" s="79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79"/>
      <c r="S19" s="79"/>
      <c r="T19" s="101"/>
      <c r="U19" s="79"/>
      <c r="V19" s="84"/>
      <c r="W19" s="84"/>
      <c r="X19" s="84"/>
    </row>
    <row r="20" spans="1:24" x14ac:dyDescent="0.3">
      <c r="A20" s="79"/>
      <c r="B20" s="79"/>
      <c r="C20" s="95" t="s">
        <v>147</v>
      </c>
      <c r="D20" s="92"/>
      <c r="E20" s="79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79"/>
      <c r="S20" s="79"/>
      <c r="T20" s="101"/>
      <c r="U20" s="79"/>
      <c r="V20" s="84"/>
      <c r="W20" s="84"/>
      <c r="X20" s="84"/>
    </row>
    <row r="21" spans="1:24" x14ac:dyDescent="0.3">
      <c r="A21" s="79"/>
      <c r="B21" s="79"/>
      <c r="C21" s="84"/>
      <c r="D21" s="95" t="s">
        <v>146</v>
      </c>
      <c r="E21" s="80"/>
      <c r="F21" s="96">
        <f>F12</f>
        <v>677.44701219512194</v>
      </c>
      <c r="G21" s="97">
        <v>688.90159452233706</v>
      </c>
      <c r="H21" s="97">
        <v>689.67591017592827</v>
      </c>
      <c r="I21" s="97">
        <v>690.45109614936803</v>
      </c>
      <c r="J21" s="97">
        <v>691.2271534208835</v>
      </c>
      <c r="K21" s="97">
        <v>692.00408296980152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8">
        <f>SUM(G21:P21)</f>
        <v>3452.2598372383181</v>
      </c>
      <c r="R21" s="102"/>
      <c r="S21" s="99">
        <v>3025.7666529405938</v>
      </c>
      <c r="T21" s="92" t="s">
        <v>143</v>
      </c>
      <c r="U21" s="79"/>
      <c r="V21" s="84"/>
      <c r="W21" s="84"/>
      <c r="X21" s="84"/>
    </row>
    <row r="22" spans="1:24" x14ac:dyDescent="0.3">
      <c r="A22" s="79"/>
      <c r="B22" s="79"/>
      <c r="C22" s="84"/>
      <c r="D22" s="92" t="s">
        <v>62</v>
      </c>
      <c r="E22" s="79"/>
      <c r="F22" s="84"/>
      <c r="G22" s="103">
        <v>6.0442600270795607E-2</v>
      </c>
      <c r="H22" s="103">
        <v>2.3E-2</v>
      </c>
      <c r="I22" s="103">
        <v>2.3E-2</v>
      </c>
      <c r="J22" s="103">
        <v>2.3E-2</v>
      </c>
      <c r="K22" s="103">
        <v>2.3E-2</v>
      </c>
      <c r="L22" s="103" t="s">
        <v>296</v>
      </c>
      <c r="M22" s="103" t="s">
        <v>296</v>
      </c>
      <c r="N22" s="103" t="s">
        <v>296</v>
      </c>
      <c r="O22" s="103" t="s">
        <v>296</v>
      </c>
      <c r="P22" s="103" t="s">
        <v>296</v>
      </c>
      <c r="Q22" s="104"/>
      <c r="R22" s="79"/>
      <c r="S22" s="79"/>
      <c r="T22" s="101"/>
      <c r="U22" s="79"/>
      <c r="V22" s="84"/>
      <c r="W22" s="84"/>
      <c r="X22" s="84"/>
    </row>
    <row r="23" spans="1:24" x14ac:dyDescent="0.3">
      <c r="A23" s="79"/>
      <c r="B23" s="79"/>
      <c r="C23" s="84"/>
      <c r="D23" s="84"/>
      <c r="E23" s="79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79"/>
      <c r="S23" s="79"/>
      <c r="T23" s="101"/>
      <c r="U23" s="79"/>
      <c r="V23" s="84"/>
      <c r="W23" s="84"/>
      <c r="X23" s="84"/>
    </row>
    <row r="24" spans="1:24" x14ac:dyDescent="0.3">
      <c r="A24" s="79"/>
      <c r="B24" s="79"/>
      <c r="C24" s="95" t="s">
        <v>148</v>
      </c>
      <c r="D24" s="92"/>
      <c r="E24" s="79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79"/>
      <c r="S24" s="79"/>
      <c r="T24" s="101"/>
      <c r="U24" s="79"/>
      <c r="V24" s="84"/>
      <c r="W24" s="84"/>
      <c r="X24" s="84"/>
    </row>
    <row r="25" spans="1:24" x14ac:dyDescent="0.3">
      <c r="A25" s="79"/>
      <c r="B25" s="79"/>
      <c r="C25" s="84"/>
      <c r="D25" s="95" t="s">
        <v>146</v>
      </c>
      <c r="E25" s="80"/>
      <c r="F25" s="96">
        <f>F12</f>
        <v>677.44701219512194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8">
        <f>SUM(G25:P25)</f>
        <v>0</v>
      </c>
      <c r="R25" s="102"/>
      <c r="S25" s="99">
        <v>0</v>
      </c>
      <c r="T25" s="92" t="s">
        <v>143</v>
      </c>
      <c r="U25" s="79"/>
      <c r="V25" s="84"/>
      <c r="W25" s="84"/>
      <c r="X25" s="84"/>
    </row>
    <row r="26" spans="1:24" x14ac:dyDescent="0.3">
      <c r="A26" s="79"/>
      <c r="B26" s="79"/>
      <c r="C26" s="84"/>
      <c r="D26" s="92" t="s">
        <v>62</v>
      </c>
      <c r="E26" s="79"/>
      <c r="F26" s="84"/>
      <c r="G26" s="103">
        <v>3.0325151907933359E-2</v>
      </c>
      <c r="H26" s="103">
        <v>3.6699417589113409E-2</v>
      </c>
      <c r="I26" s="103">
        <v>3.6726718743645491E-2</v>
      </c>
      <c r="J26" s="103">
        <v>3.675460125207082E-2</v>
      </c>
      <c r="K26" s="103">
        <v>3.6783075894863015E-2</v>
      </c>
      <c r="L26" s="103" t="s">
        <v>296</v>
      </c>
      <c r="M26" s="103" t="s">
        <v>296</v>
      </c>
      <c r="N26" s="103" t="s">
        <v>296</v>
      </c>
      <c r="O26" s="103" t="s">
        <v>296</v>
      </c>
      <c r="P26" s="103" t="s">
        <v>296</v>
      </c>
      <c r="Q26" s="104"/>
      <c r="R26" s="79"/>
      <c r="S26" s="79"/>
      <c r="T26" s="79"/>
      <c r="U26" s="79"/>
      <c r="V26" s="84"/>
      <c r="W26" s="84"/>
      <c r="X26" s="84"/>
    </row>
    <row r="27" spans="1:24" x14ac:dyDescent="0.3">
      <c r="A27" s="79"/>
      <c r="B27" s="79"/>
      <c r="C27" s="92"/>
      <c r="D27" s="92"/>
      <c r="E27" s="79"/>
      <c r="F27" s="84"/>
      <c r="G27" s="92"/>
      <c r="H27" s="105"/>
      <c r="I27" s="105"/>
      <c r="J27" s="105"/>
      <c r="K27" s="105"/>
      <c r="L27" s="105"/>
      <c r="M27" s="105"/>
      <c r="N27" s="105"/>
      <c r="O27" s="105"/>
      <c r="P27" s="105"/>
      <c r="Q27" s="84"/>
      <c r="R27" s="79"/>
      <c r="S27" s="79"/>
      <c r="T27" s="79"/>
      <c r="U27" s="79"/>
      <c r="V27" s="84"/>
      <c r="W27" s="84"/>
      <c r="X27" s="84"/>
    </row>
    <row r="28" spans="1:24" x14ac:dyDescent="0.3">
      <c r="A28" s="89"/>
      <c r="B28" s="89"/>
      <c r="C28" s="90" t="s">
        <v>297</v>
      </c>
      <c r="D28" s="90"/>
      <c r="E28" s="90"/>
      <c r="F28" s="90"/>
      <c r="G28" s="90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84"/>
      <c r="W28" s="84"/>
      <c r="X28" s="84"/>
    </row>
    <row r="29" spans="1:24" x14ac:dyDescent="0.3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pans="1:24" x14ac:dyDescent="0.3">
      <c r="A30" s="84"/>
      <c r="B30" s="84"/>
      <c r="C30" s="84"/>
      <c r="D30" s="92" t="s">
        <v>137</v>
      </c>
      <c r="E30" s="84"/>
      <c r="F30" s="93"/>
      <c r="G30" s="93">
        <v>219.22341260810578</v>
      </c>
      <c r="H30" s="93">
        <v>213.70077522764527</v>
      </c>
      <c r="I30" s="93">
        <v>208.35177939114544</v>
      </c>
      <c r="J30" s="93">
        <v>200.5036708993417</v>
      </c>
      <c r="K30" s="93">
        <v>191.20690062929737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94">
        <f t="shared" ref="Q30:Q35" si="1">SUM(G30:P30)</f>
        <v>1032.9865387555355</v>
      </c>
      <c r="R30" s="84"/>
      <c r="S30" s="84"/>
      <c r="T30" s="84"/>
      <c r="U30" s="84"/>
      <c r="V30" s="84"/>
      <c r="W30" s="84"/>
      <c r="X30" s="84"/>
    </row>
    <row r="31" spans="1:24" x14ac:dyDescent="0.3">
      <c r="A31" s="84"/>
      <c r="B31" s="84"/>
      <c r="C31" s="84"/>
      <c r="D31" s="92" t="s">
        <v>138</v>
      </c>
      <c r="E31" s="84"/>
      <c r="F31" s="93"/>
      <c r="G31" s="93">
        <v>181.2722714440055</v>
      </c>
      <c r="H31" s="93">
        <v>156.8915584454719</v>
      </c>
      <c r="I31" s="93">
        <v>153.58146127409643</v>
      </c>
      <c r="J31" s="93">
        <v>155.65156892779225</v>
      </c>
      <c r="K31" s="93">
        <v>154.664249508447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4">
        <f t="shared" si="1"/>
        <v>802.06110959981311</v>
      </c>
      <c r="R31" s="84"/>
      <c r="S31" s="84"/>
      <c r="T31" s="84"/>
      <c r="U31" s="84"/>
      <c r="V31" s="84"/>
      <c r="W31" s="84"/>
      <c r="X31" s="84"/>
    </row>
    <row r="32" spans="1:24" x14ac:dyDescent="0.3">
      <c r="A32" s="84"/>
      <c r="B32" s="84"/>
      <c r="C32" s="84"/>
      <c r="D32" s="92" t="s">
        <v>139</v>
      </c>
      <c r="E32" s="84"/>
      <c r="F32" s="93"/>
      <c r="G32" s="93">
        <v>239.68028885649662</v>
      </c>
      <c r="H32" s="93">
        <v>242.47395148897823</v>
      </c>
      <c r="I32" s="93">
        <v>245.88709467200383</v>
      </c>
      <c r="J32" s="93">
        <v>249.46511351098937</v>
      </c>
      <c r="K32" s="93">
        <v>253.72789845523658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4">
        <f t="shared" si="1"/>
        <v>1231.2343469837047</v>
      </c>
      <c r="R32" s="84"/>
      <c r="S32" s="84"/>
      <c r="T32" s="84"/>
      <c r="U32" s="84"/>
      <c r="V32" s="84"/>
      <c r="W32" s="84"/>
      <c r="X32" s="84"/>
    </row>
    <row r="33" spans="1:24" x14ac:dyDescent="0.3">
      <c r="A33" s="84"/>
      <c r="B33" s="84"/>
      <c r="C33" s="84"/>
      <c r="D33" s="92" t="s">
        <v>140</v>
      </c>
      <c r="E33" s="84"/>
      <c r="F33" s="93"/>
      <c r="G33" s="93">
        <v>82.508199622707451</v>
      </c>
      <c r="H33" s="93">
        <v>51.436703513170471</v>
      </c>
      <c r="I33" s="93">
        <v>30.488651057691367</v>
      </c>
      <c r="J33" s="93">
        <v>11.083054159372235</v>
      </c>
      <c r="K33" s="93">
        <v>8.9066978888433663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4">
        <f t="shared" si="1"/>
        <v>184.42330624178487</v>
      </c>
      <c r="R33" s="84"/>
      <c r="S33" s="84"/>
      <c r="T33" s="84"/>
      <c r="U33" s="84"/>
      <c r="V33" s="84"/>
      <c r="W33" s="84"/>
      <c r="X33" s="84"/>
    </row>
    <row r="34" spans="1:24" x14ac:dyDescent="0.3">
      <c r="A34" s="84"/>
      <c r="B34" s="84"/>
      <c r="C34" s="84"/>
      <c r="D34" s="92" t="s">
        <v>141</v>
      </c>
      <c r="E34" s="84"/>
      <c r="F34" s="93"/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4">
        <f t="shared" si="1"/>
        <v>0</v>
      </c>
      <c r="R34" s="84"/>
      <c r="S34" s="84"/>
      <c r="T34" s="92"/>
      <c r="U34" s="84"/>
      <c r="V34" s="84"/>
      <c r="W34" s="84"/>
      <c r="X34" s="84"/>
    </row>
    <row r="35" spans="1:24" x14ac:dyDescent="0.3">
      <c r="A35" s="84"/>
      <c r="B35" s="84"/>
      <c r="C35" s="84"/>
      <c r="D35" s="95" t="s">
        <v>142</v>
      </c>
      <c r="E35" s="95"/>
      <c r="F35" s="96">
        <v>677.44701219512194</v>
      </c>
      <c r="G35" s="97">
        <v>722.68417253131531</v>
      </c>
      <c r="H35" s="97">
        <v>664.5029886752659</v>
      </c>
      <c r="I35" s="97">
        <v>638.30898639493694</v>
      </c>
      <c r="J35" s="97">
        <v>616.7034074974955</v>
      </c>
      <c r="K35" s="97">
        <v>608.50574648182419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8">
        <f t="shared" si="1"/>
        <v>3250.7053015808378</v>
      </c>
      <c r="R35" s="84"/>
      <c r="S35" s="106"/>
      <c r="T35" s="92"/>
      <c r="U35" s="92"/>
      <c r="V35" s="84"/>
      <c r="W35" s="84"/>
      <c r="X35" s="84"/>
    </row>
    <row r="36" spans="1:24" x14ac:dyDescent="0.3">
      <c r="A36" s="84"/>
      <c r="B36" s="84"/>
      <c r="C36" s="92"/>
      <c r="D36" s="92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92"/>
      <c r="U36" s="84"/>
      <c r="V36" s="84"/>
      <c r="W36" s="84"/>
      <c r="X36" s="84"/>
    </row>
    <row r="37" spans="1:24" x14ac:dyDescent="0.3">
      <c r="A37" s="89"/>
      <c r="B37" s="89"/>
      <c r="C37" s="90" t="s">
        <v>298</v>
      </c>
      <c r="D37" s="90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100"/>
      <c r="U37" s="89"/>
      <c r="V37" s="84"/>
      <c r="W37" s="84"/>
      <c r="X37" s="84"/>
    </row>
    <row r="38" spans="1:24" x14ac:dyDescent="0.3">
      <c r="A38" s="79"/>
      <c r="B38" s="79"/>
      <c r="C38" s="79"/>
      <c r="D38" s="79"/>
      <c r="E38" s="79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79"/>
      <c r="S38" s="79"/>
      <c r="T38" s="101"/>
      <c r="U38" s="79"/>
      <c r="V38" s="84"/>
      <c r="W38" s="84"/>
      <c r="X38" s="84"/>
    </row>
    <row r="39" spans="1:24" x14ac:dyDescent="0.3">
      <c r="A39" s="79"/>
      <c r="B39" s="79"/>
      <c r="C39" s="95" t="s">
        <v>145</v>
      </c>
      <c r="D39" s="80"/>
      <c r="E39" s="80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79"/>
      <c r="S39" s="84"/>
      <c r="T39" s="92"/>
      <c r="U39" s="79"/>
      <c r="V39" s="84"/>
      <c r="W39" s="84"/>
      <c r="X39" s="84"/>
    </row>
    <row r="40" spans="1:24" x14ac:dyDescent="0.3">
      <c r="A40" s="79"/>
      <c r="B40" s="79"/>
      <c r="C40" s="95"/>
      <c r="D40" s="95" t="s">
        <v>146</v>
      </c>
      <c r="E40" s="80"/>
      <c r="F40" s="96">
        <f>F35</f>
        <v>677.44701219512194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  <c r="N40" s="97">
        <v>0</v>
      </c>
      <c r="O40" s="97">
        <v>0</v>
      </c>
      <c r="P40" s="97">
        <v>0</v>
      </c>
      <c r="Q40" s="98">
        <f>SUM(G40:P40)</f>
        <v>0</v>
      </c>
      <c r="R40" s="79"/>
      <c r="S40" s="106"/>
      <c r="T40" s="92"/>
      <c r="U40" s="79"/>
      <c r="V40" s="84"/>
      <c r="W40" s="84"/>
      <c r="X40" s="84"/>
    </row>
    <row r="41" spans="1:24" x14ac:dyDescent="0.3">
      <c r="A41" s="79"/>
      <c r="B41" s="79"/>
      <c r="C41" s="84"/>
      <c r="D41" s="92" t="s">
        <v>62</v>
      </c>
      <c r="E41" s="79"/>
      <c r="F41" s="84"/>
      <c r="G41" s="103">
        <v>4.4951852278776558E-2</v>
      </c>
      <c r="H41" s="103">
        <v>5.1317375234451124E-2</v>
      </c>
      <c r="I41" s="103">
        <v>5.1430044323603416E-2</v>
      </c>
      <c r="J41" s="103">
        <v>5.1541631367058055E-2</v>
      </c>
      <c r="K41" s="103">
        <v>5.1652120914944956E-2</v>
      </c>
      <c r="L41" s="103" t="s">
        <v>296</v>
      </c>
      <c r="M41" s="103" t="s">
        <v>296</v>
      </c>
      <c r="N41" s="103" t="s">
        <v>296</v>
      </c>
      <c r="O41" s="103" t="s">
        <v>296</v>
      </c>
      <c r="P41" s="103" t="s">
        <v>296</v>
      </c>
      <c r="Q41" s="104"/>
      <c r="R41" s="79"/>
      <c r="S41" s="84"/>
      <c r="T41" s="92"/>
      <c r="U41" s="79"/>
      <c r="V41" s="84"/>
      <c r="W41" s="84"/>
      <c r="X41" s="84"/>
    </row>
    <row r="42" spans="1:24" x14ac:dyDescent="0.3">
      <c r="A42" s="79"/>
      <c r="B42" s="79"/>
      <c r="C42" s="84"/>
      <c r="D42" s="84"/>
      <c r="E42" s="79"/>
      <c r="F42" s="84"/>
      <c r="G42" s="107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79"/>
      <c r="S42" s="84"/>
      <c r="T42" s="92"/>
      <c r="U42" s="79"/>
      <c r="V42" s="84"/>
      <c r="W42" s="84"/>
      <c r="X42" s="84"/>
    </row>
    <row r="43" spans="1:24" x14ac:dyDescent="0.3">
      <c r="A43" s="79"/>
      <c r="B43" s="79"/>
      <c r="C43" s="95" t="s">
        <v>147</v>
      </c>
      <c r="D43" s="95"/>
      <c r="E43" s="79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79"/>
      <c r="S43" s="84"/>
      <c r="T43" s="92"/>
      <c r="U43" s="79"/>
      <c r="V43" s="84"/>
      <c r="W43" s="84"/>
      <c r="X43" s="84"/>
    </row>
    <row r="44" spans="1:24" x14ac:dyDescent="0.3">
      <c r="A44" s="79"/>
      <c r="B44" s="79"/>
      <c r="C44" s="84"/>
      <c r="D44" s="95" t="s">
        <v>146</v>
      </c>
      <c r="E44" s="80"/>
      <c r="F44" s="96">
        <f>F35</f>
        <v>677.44701219512194</v>
      </c>
      <c r="G44" s="97">
        <v>675.39777746955338</v>
      </c>
      <c r="H44" s="97">
        <v>662.90291858636658</v>
      </c>
      <c r="I44" s="97">
        <v>650.6392145925189</v>
      </c>
      <c r="J44" s="97">
        <v>638.60238912255738</v>
      </c>
      <c r="K44" s="97">
        <v>626.7882449237901</v>
      </c>
      <c r="L44" s="97">
        <v>0</v>
      </c>
      <c r="M44" s="97">
        <v>0</v>
      </c>
      <c r="N44" s="97">
        <v>0</v>
      </c>
      <c r="O44" s="97">
        <v>0</v>
      </c>
      <c r="P44" s="97">
        <v>0</v>
      </c>
      <c r="Q44" s="98">
        <f>SUM(G44:P44)</f>
        <v>3254.3305446947861</v>
      </c>
      <c r="R44" s="79"/>
      <c r="S44" s="106"/>
      <c r="T44" s="92"/>
      <c r="U44" s="79"/>
      <c r="V44" s="84"/>
      <c r="W44" s="84"/>
      <c r="X44" s="84"/>
    </row>
    <row r="45" spans="1:24" x14ac:dyDescent="0.3">
      <c r="A45" s="79"/>
      <c r="B45" s="79"/>
      <c r="C45" s="84"/>
      <c r="D45" s="92" t="s">
        <v>62</v>
      </c>
      <c r="E45" s="79"/>
      <c r="F45" s="84"/>
      <c r="G45" s="103">
        <v>6.0442600270795607E-2</v>
      </c>
      <c r="H45" s="103">
        <v>2.3E-2</v>
      </c>
      <c r="I45" s="103">
        <v>2.3E-2</v>
      </c>
      <c r="J45" s="103">
        <v>2.3E-2</v>
      </c>
      <c r="K45" s="103">
        <v>2.3E-2</v>
      </c>
      <c r="L45" s="103" t="s">
        <v>296</v>
      </c>
      <c r="M45" s="103" t="s">
        <v>296</v>
      </c>
      <c r="N45" s="103" t="s">
        <v>296</v>
      </c>
      <c r="O45" s="103" t="s">
        <v>296</v>
      </c>
      <c r="P45" s="103" t="s">
        <v>296</v>
      </c>
      <c r="Q45" s="104"/>
      <c r="R45" s="79"/>
      <c r="S45" s="84"/>
      <c r="T45" s="92"/>
      <c r="U45" s="79"/>
      <c r="V45" s="84"/>
      <c r="W45" s="84"/>
      <c r="X45" s="84"/>
    </row>
    <row r="46" spans="1:24" x14ac:dyDescent="0.3">
      <c r="A46" s="79"/>
      <c r="B46" s="79"/>
      <c r="C46" s="84"/>
      <c r="D46" s="84"/>
      <c r="E46" s="79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79"/>
      <c r="S46" s="84"/>
      <c r="T46" s="92"/>
      <c r="U46" s="79"/>
      <c r="V46" s="84"/>
      <c r="W46" s="84"/>
      <c r="X46" s="84"/>
    </row>
    <row r="47" spans="1:24" x14ac:dyDescent="0.3">
      <c r="A47" s="79"/>
      <c r="B47" s="79"/>
      <c r="C47" s="95" t="s">
        <v>148</v>
      </c>
      <c r="D47" s="95"/>
      <c r="E47" s="79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79"/>
      <c r="S47" s="84"/>
      <c r="T47" s="92"/>
      <c r="U47" s="79"/>
      <c r="V47" s="84"/>
      <c r="W47" s="84"/>
      <c r="X47" s="84"/>
    </row>
    <row r="48" spans="1:24" x14ac:dyDescent="0.3">
      <c r="A48" s="79"/>
      <c r="B48" s="79"/>
      <c r="C48" s="84"/>
      <c r="D48" s="95" t="s">
        <v>146</v>
      </c>
      <c r="E48" s="80"/>
      <c r="F48" s="96">
        <f>F35</f>
        <v>677.44701219512194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8">
        <f>SUM(G48:P48)</f>
        <v>0</v>
      </c>
      <c r="R48" s="79"/>
      <c r="S48" s="106"/>
      <c r="T48" s="92"/>
      <c r="U48" s="79"/>
      <c r="V48" s="84"/>
      <c r="W48" s="84"/>
      <c r="X48" s="84"/>
    </row>
    <row r="49" spans="1:25" x14ac:dyDescent="0.3">
      <c r="A49" s="79"/>
      <c r="B49" s="79"/>
      <c r="C49" s="84"/>
      <c r="D49" s="92" t="s">
        <v>62</v>
      </c>
      <c r="E49" s="79"/>
      <c r="F49" s="84"/>
      <c r="G49" s="103">
        <v>3.0325151907933359E-2</v>
      </c>
      <c r="H49" s="103">
        <v>3.6699417589113409E-2</v>
      </c>
      <c r="I49" s="103">
        <v>3.6726718743645491E-2</v>
      </c>
      <c r="J49" s="103">
        <v>3.675460125207082E-2</v>
      </c>
      <c r="K49" s="103">
        <v>3.6783075894863015E-2</v>
      </c>
      <c r="L49" s="103" t="s">
        <v>296</v>
      </c>
      <c r="M49" s="103" t="s">
        <v>296</v>
      </c>
      <c r="N49" s="103" t="s">
        <v>296</v>
      </c>
      <c r="O49" s="103" t="s">
        <v>296</v>
      </c>
      <c r="P49" s="103" t="s">
        <v>296</v>
      </c>
      <c r="Q49" s="104"/>
      <c r="R49" s="79"/>
      <c r="S49" s="84"/>
      <c r="T49" s="84"/>
      <c r="U49" s="79"/>
      <c r="V49" s="84"/>
      <c r="W49" s="84"/>
      <c r="X49" s="84"/>
    </row>
    <row r="50" spans="1:25" x14ac:dyDescent="0.3">
      <c r="A50" s="79"/>
      <c r="B50" s="79"/>
      <c r="C50" s="101"/>
      <c r="D50" s="101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4"/>
      <c r="W50" s="84"/>
      <c r="X50" s="84"/>
    </row>
    <row r="51" spans="1:25" x14ac:dyDescent="0.3">
      <c r="A51" s="108"/>
      <c r="B51" s="108"/>
      <c r="C51" s="109" t="s">
        <v>149</v>
      </c>
      <c r="D51" s="109"/>
      <c r="E51" s="108"/>
      <c r="F51" s="10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4"/>
      <c r="W51" s="84"/>
      <c r="X51" s="84"/>
      <c r="Y51" s="79"/>
    </row>
    <row r="52" spans="1:25" x14ac:dyDescent="0.3">
      <c r="A52" s="79"/>
      <c r="B52" s="79"/>
      <c r="C52" s="92"/>
      <c r="D52" s="92"/>
      <c r="E52" s="79"/>
      <c r="F52" s="79"/>
      <c r="G52" s="110"/>
      <c r="H52" s="110"/>
      <c r="I52" s="110"/>
      <c r="J52" s="110"/>
      <c r="K52" s="110"/>
      <c r="L52" s="110"/>
      <c r="M52" s="110"/>
      <c r="N52" s="110"/>
      <c r="O52" s="110"/>
      <c r="P52" s="79"/>
      <c r="Q52" s="79"/>
      <c r="R52" s="79"/>
      <c r="S52" s="79"/>
      <c r="T52" s="79"/>
      <c r="U52" s="79"/>
      <c r="V52" s="84"/>
      <c r="W52" s="84"/>
      <c r="X52" s="84"/>
    </row>
    <row r="53" spans="1:25" x14ac:dyDescent="0.3">
      <c r="A53" s="79"/>
      <c r="B53" s="79"/>
      <c r="C53" s="84"/>
      <c r="D53" s="92" t="s">
        <v>150</v>
      </c>
      <c r="E53" s="101" t="s">
        <v>151</v>
      </c>
      <c r="F53" s="111">
        <v>7335.996945115543</v>
      </c>
      <c r="G53" s="110">
        <v>7299.5705394237339</v>
      </c>
      <c r="H53" s="110">
        <v>7258.5272577754013</v>
      </c>
      <c r="I53" s="110">
        <v>7229.0193338192121</v>
      </c>
      <c r="J53" s="110">
        <v>7204.0959514521464</v>
      </c>
      <c r="K53" s="110">
        <v>7182.973976641083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79"/>
      <c r="R53" s="79"/>
      <c r="S53" s="79"/>
      <c r="T53" s="79"/>
      <c r="U53" s="79"/>
      <c r="V53" s="84"/>
      <c r="W53" s="84"/>
      <c r="X53" s="84"/>
    </row>
    <row r="54" spans="1:25" x14ac:dyDescent="0.3">
      <c r="A54" s="79"/>
      <c r="B54" s="79"/>
      <c r="C54" s="84"/>
      <c r="D54" s="92"/>
      <c r="E54" s="79"/>
      <c r="F54" s="112"/>
      <c r="G54" s="112"/>
      <c r="H54" s="112"/>
      <c r="I54" s="112"/>
      <c r="J54" s="112"/>
      <c r="L54" s="110"/>
      <c r="M54" s="110"/>
      <c r="N54" s="110"/>
      <c r="O54" s="110"/>
      <c r="P54" s="110"/>
      <c r="Q54" s="79"/>
      <c r="R54" s="79"/>
      <c r="S54" s="79"/>
      <c r="T54" s="79"/>
      <c r="U54" s="79"/>
      <c r="V54" s="84"/>
      <c r="W54" s="84"/>
      <c r="X54" s="84"/>
    </row>
    <row r="55" spans="1:25" x14ac:dyDescent="0.3">
      <c r="A55" s="79"/>
      <c r="B55" s="79"/>
      <c r="C55" s="92" t="s">
        <v>145</v>
      </c>
      <c r="D55" s="92"/>
      <c r="E55" s="79"/>
      <c r="F55" s="84"/>
      <c r="G55" s="84"/>
      <c r="H55" s="84"/>
      <c r="I55" s="84"/>
      <c r="J55" s="84"/>
      <c r="K55" s="113"/>
      <c r="L55" s="84"/>
      <c r="M55" s="84"/>
      <c r="N55" s="84"/>
      <c r="O55" s="84"/>
      <c r="P55" s="84"/>
      <c r="Q55" s="79"/>
      <c r="R55" s="79"/>
      <c r="S55" s="114"/>
      <c r="T55" s="79"/>
      <c r="U55" s="79"/>
      <c r="V55" s="84"/>
      <c r="W55" s="84"/>
      <c r="X55" s="84"/>
    </row>
    <row r="56" spans="1:25" x14ac:dyDescent="0.3">
      <c r="A56" s="79"/>
      <c r="B56" s="79"/>
      <c r="C56" s="84"/>
      <c r="D56" s="92" t="s">
        <v>152</v>
      </c>
      <c r="E56" s="101" t="s">
        <v>153</v>
      </c>
      <c r="F56" s="115">
        <v>0</v>
      </c>
      <c r="G56" s="113">
        <f t="shared" ref="G56:P56" si="2">G17</f>
        <v>0</v>
      </c>
      <c r="H56" s="113">
        <f t="shared" si="2"/>
        <v>0</v>
      </c>
      <c r="I56" s="113">
        <f t="shared" si="2"/>
        <v>0</v>
      </c>
      <c r="J56" s="113">
        <f t="shared" si="2"/>
        <v>0</v>
      </c>
      <c r="K56" s="113">
        <f t="shared" si="2"/>
        <v>0</v>
      </c>
      <c r="L56" s="113">
        <f t="shared" si="2"/>
        <v>0</v>
      </c>
      <c r="M56" s="113">
        <f t="shared" si="2"/>
        <v>0</v>
      </c>
      <c r="N56" s="113">
        <f t="shared" si="2"/>
        <v>0</v>
      </c>
      <c r="O56" s="113">
        <f t="shared" si="2"/>
        <v>0</v>
      </c>
      <c r="P56" s="113">
        <f t="shared" si="2"/>
        <v>0</v>
      </c>
      <c r="Q56" s="79"/>
      <c r="R56" s="79"/>
      <c r="S56" s="116" t="e">
        <v>#DIV/0!</v>
      </c>
      <c r="T56" s="101" t="s">
        <v>154</v>
      </c>
      <c r="U56" s="79"/>
      <c r="V56" s="84"/>
      <c r="W56" s="84"/>
      <c r="X56" s="84"/>
    </row>
    <row r="57" spans="1:25" x14ac:dyDescent="0.3">
      <c r="A57" s="79"/>
      <c r="B57" s="79"/>
      <c r="C57" s="92"/>
      <c r="D57" s="92" t="s">
        <v>155</v>
      </c>
      <c r="E57" s="101" t="s">
        <v>156</v>
      </c>
      <c r="F57" s="84"/>
      <c r="G57" s="117" t="e">
        <f>G56/F56-1</f>
        <v>#DIV/0!</v>
      </c>
      <c r="H57" s="117" t="e">
        <v>#DIV/0!</v>
      </c>
      <c r="I57" s="117" t="e">
        <v>#DIV/0!</v>
      </c>
      <c r="J57" s="117" t="e">
        <v>#DIV/0!</v>
      </c>
      <c r="K57" s="117" t="e">
        <v>#DIV/0!</v>
      </c>
      <c r="L57" s="117" t="e">
        <v>#DIV/0!</v>
      </c>
      <c r="M57" s="117" t="e">
        <v>#DIV/0!</v>
      </c>
      <c r="N57" s="117" t="e">
        <v>#DIV/0!</v>
      </c>
      <c r="O57" s="117" t="e">
        <v>#DIV/0!</v>
      </c>
      <c r="P57" s="117" t="e">
        <v>#DIV/0!</v>
      </c>
      <c r="Q57" s="79"/>
      <c r="R57" s="79"/>
      <c r="S57" s="118" t="e">
        <v>#DIV/0!</v>
      </c>
      <c r="T57" s="101" t="s">
        <v>157</v>
      </c>
      <c r="U57" s="79"/>
      <c r="V57" s="84"/>
      <c r="W57" s="84"/>
      <c r="X57" s="84"/>
    </row>
    <row r="58" spans="1:25" x14ac:dyDescent="0.3">
      <c r="A58" s="79"/>
      <c r="B58" s="79"/>
      <c r="C58" s="92"/>
      <c r="D58" s="92"/>
      <c r="E58" s="79"/>
      <c r="F58" s="84"/>
      <c r="G58" s="119"/>
      <c r="H58" s="119"/>
      <c r="I58" s="119"/>
      <c r="J58" s="119"/>
      <c r="K58" s="119"/>
      <c r="L58" s="92"/>
      <c r="M58" s="84"/>
      <c r="N58" s="84"/>
      <c r="O58" s="84"/>
      <c r="P58" s="84"/>
      <c r="Q58" s="79"/>
      <c r="R58" s="79"/>
      <c r="S58" s="120"/>
      <c r="T58" s="79"/>
      <c r="U58" s="79"/>
      <c r="V58" s="84"/>
      <c r="W58" s="84"/>
      <c r="X58" s="84"/>
    </row>
    <row r="59" spans="1:25" x14ac:dyDescent="0.3">
      <c r="A59" s="79"/>
      <c r="B59" s="79"/>
      <c r="C59" s="92"/>
      <c r="D59" s="92" t="s">
        <v>61</v>
      </c>
      <c r="E59" s="101" t="s">
        <v>158</v>
      </c>
      <c r="F59" s="121">
        <f>IF(F53&gt;0,(F56*1000)/(F53),0)</f>
        <v>0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  <c r="P59" s="93">
        <v>0</v>
      </c>
      <c r="Q59" s="79"/>
      <c r="R59" s="79"/>
      <c r="S59" s="116" t="e">
        <v>#DIV/0!</v>
      </c>
      <c r="T59" s="101" t="s">
        <v>154</v>
      </c>
      <c r="U59" s="79"/>
      <c r="V59" s="84"/>
      <c r="W59" s="84"/>
      <c r="X59" s="84"/>
    </row>
    <row r="60" spans="1:25" x14ac:dyDescent="0.3">
      <c r="A60" s="79"/>
      <c r="B60" s="79"/>
      <c r="C60" s="92"/>
      <c r="D60" s="92" t="s">
        <v>159</v>
      </c>
      <c r="E60" s="101" t="s">
        <v>156</v>
      </c>
      <c r="F60" s="84"/>
      <c r="G60" s="117" t="e">
        <f>G59/F59-1</f>
        <v>#DIV/0!</v>
      </c>
      <c r="H60" s="117" t="e">
        <v>#DIV/0!</v>
      </c>
      <c r="I60" s="117" t="e">
        <v>#DIV/0!</v>
      </c>
      <c r="J60" s="117" t="e">
        <v>#DIV/0!</v>
      </c>
      <c r="K60" s="117" t="e">
        <v>#DIV/0!</v>
      </c>
      <c r="L60" s="117" t="e">
        <v>#DIV/0!</v>
      </c>
      <c r="M60" s="117" t="e">
        <v>#DIV/0!</v>
      </c>
      <c r="N60" s="117" t="e">
        <v>#DIV/0!</v>
      </c>
      <c r="O60" s="117" t="e">
        <v>#DIV/0!</v>
      </c>
      <c r="P60" s="117" t="e">
        <v>#DIV/0!</v>
      </c>
      <c r="Q60" s="79"/>
      <c r="R60" s="79"/>
      <c r="S60" s="118" t="e">
        <v>#DIV/0!</v>
      </c>
      <c r="T60" s="101" t="s">
        <v>157</v>
      </c>
      <c r="U60" s="79"/>
      <c r="V60" s="84"/>
      <c r="W60" s="84"/>
      <c r="X60" s="84"/>
    </row>
    <row r="61" spans="1:25" x14ac:dyDescent="0.3">
      <c r="A61" s="79"/>
      <c r="B61" s="79"/>
      <c r="C61" s="101"/>
      <c r="D61" s="101"/>
      <c r="E61" s="79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79"/>
      <c r="R61" s="79"/>
      <c r="S61" s="79"/>
      <c r="T61" s="79"/>
      <c r="U61" s="79"/>
      <c r="V61" s="84"/>
      <c r="W61" s="84"/>
      <c r="X61" s="84"/>
    </row>
    <row r="62" spans="1:25" x14ac:dyDescent="0.3">
      <c r="A62" s="79"/>
      <c r="B62" s="79"/>
      <c r="C62" s="92" t="s">
        <v>147</v>
      </c>
      <c r="D62" s="92"/>
      <c r="E62" s="79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79"/>
      <c r="R62" s="79"/>
      <c r="S62" s="79"/>
      <c r="T62" s="79"/>
      <c r="U62" s="79"/>
      <c r="V62" s="84"/>
      <c r="W62" s="84"/>
      <c r="X62" s="84"/>
    </row>
    <row r="63" spans="1:25" x14ac:dyDescent="0.3">
      <c r="A63" s="79"/>
      <c r="B63" s="79"/>
      <c r="C63" s="84"/>
      <c r="D63" s="92" t="s">
        <v>152</v>
      </c>
      <c r="E63" s="101" t="s">
        <v>153</v>
      </c>
      <c r="F63" s="121">
        <v>677.44701219512194</v>
      </c>
      <c r="G63" s="93">
        <f t="shared" ref="G63:P63" si="3">G21</f>
        <v>688.90159452233706</v>
      </c>
      <c r="H63" s="93">
        <f t="shared" si="3"/>
        <v>689.67591017592827</v>
      </c>
      <c r="I63" s="93">
        <f t="shared" si="3"/>
        <v>690.45109614936803</v>
      </c>
      <c r="J63" s="93">
        <f t="shared" si="3"/>
        <v>691.2271534208835</v>
      </c>
      <c r="K63" s="93">
        <f t="shared" si="3"/>
        <v>692.00408296980152</v>
      </c>
      <c r="L63" s="93">
        <f t="shared" si="3"/>
        <v>0</v>
      </c>
      <c r="M63" s="93">
        <f t="shared" si="3"/>
        <v>0</v>
      </c>
      <c r="N63" s="93">
        <f t="shared" si="3"/>
        <v>0</v>
      </c>
      <c r="O63" s="93">
        <f t="shared" si="3"/>
        <v>0</v>
      </c>
      <c r="P63" s="93">
        <f t="shared" si="3"/>
        <v>0</v>
      </c>
      <c r="Q63" s="79"/>
      <c r="R63" s="79"/>
      <c r="S63" s="116">
        <v>2.1488131931544752E-2</v>
      </c>
      <c r="T63" s="101" t="s">
        <v>154</v>
      </c>
      <c r="U63" s="79"/>
      <c r="V63" s="84"/>
      <c r="W63" s="84"/>
      <c r="X63" s="84"/>
    </row>
    <row r="64" spans="1:25" x14ac:dyDescent="0.3">
      <c r="A64" s="79"/>
      <c r="B64" s="79"/>
      <c r="C64" s="92"/>
      <c r="D64" s="92" t="s">
        <v>155</v>
      </c>
      <c r="E64" s="101" t="s">
        <v>156</v>
      </c>
      <c r="F64" s="84"/>
      <c r="G64" s="117">
        <f>G63/F63-1</f>
        <v>1.6908455009785994E-2</v>
      </c>
      <c r="H64" s="117">
        <v>1.1239858635079258E-3</v>
      </c>
      <c r="I64" s="117">
        <v>1.1239858635079258E-3</v>
      </c>
      <c r="J64" s="117">
        <v>1.1239858635079258E-3</v>
      </c>
      <c r="K64" s="117">
        <v>1.1239858635081479E-3</v>
      </c>
      <c r="L64" s="117" t="s">
        <v>296</v>
      </c>
      <c r="M64" s="117" t="s">
        <v>296</v>
      </c>
      <c r="N64" s="117" t="s">
        <v>296</v>
      </c>
      <c r="O64" s="117" t="s">
        <v>296</v>
      </c>
      <c r="P64" s="117" t="s">
        <v>296</v>
      </c>
      <c r="Q64" s="79"/>
      <c r="R64" s="79"/>
      <c r="S64" s="118">
        <v>4.2611564050167861E-3</v>
      </c>
      <c r="T64" s="101" t="s">
        <v>157</v>
      </c>
      <c r="U64" s="79"/>
      <c r="V64" s="84"/>
      <c r="W64" s="84"/>
      <c r="X64" s="84"/>
    </row>
    <row r="65" spans="1:24" x14ac:dyDescent="0.3">
      <c r="A65" s="79"/>
      <c r="B65" s="79"/>
      <c r="C65" s="92"/>
      <c r="D65" s="92"/>
      <c r="E65" s="79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79"/>
      <c r="R65" s="79"/>
      <c r="S65" s="79"/>
      <c r="T65" s="79"/>
      <c r="U65" s="79"/>
      <c r="V65" s="84"/>
      <c r="W65" s="84"/>
      <c r="X65" s="84"/>
    </row>
    <row r="66" spans="1:24" x14ac:dyDescent="0.3">
      <c r="A66" s="79"/>
      <c r="B66" s="79"/>
      <c r="C66" s="92"/>
      <c r="D66" s="92" t="s">
        <v>61</v>
      </c>
      <c r="E66" s="101" t="s">
        <v>158</v>
      </c>
      <c r="F66" s="121">
        <f>IF(F$53&gt;0,(F63*1000)/(F$53),0)</f>
        <v>92.345596278659855</v>
      </c>
      <c r="G66" s="93">
        <f>G63*1000/G$53</f>
        <v>94.37563358031781</v>
      </c>
      <c r="H66" s="93">
        <v>95.015956499597223</v>
      </c>
      <c r="I66" s="93">
        <v>95.511031893255577</v>
      </c>
      <c r="J66" s="93">
        <v>95.949187528735123</v>
      </c>
      <c r="K66" s="93">
        <v>96.339494646672506</v>
      </c>
      <c r="L66" s="93">
        <v>0</v>
      </c>
      <c r="M66" s="93">
        <v>0</v>
      </c>
      <c r="N66" s="93">
        <v>0</v>
      </c>
      <c r="O66" s="93">
        <v>0</v>
      </c>
      <c r="P66" s="93">
        <v>0</v>
      </c>
      <c r="Q66" s="79"/>
      <c r="R66" s="79"/>
      <c r="S66" s="116">
        <v>4.324947294682846E-2</v>
      </c>
      <c r="T66" s="101" t="s">
        <v>154</v>
      </c>
      <c r="U66" s="79"/>
      <c r="V66" s="84"/>
      <c r="W66" s="84"/>
      <c r="X66" s="84"/>
    </row>
    <row r="67" spans="1:24" x14ac:dyDescent="0.3">
      <c r="A67" s="79"/>
      <c r="B67" s="79"/>
      <c r="C67" s="92"/>
      <c r="D67" s="92" t="s">
        <v>159</v>
      </c>
      <c r="E67" s="101" t="s">
        <v>156</v>
      </c>
      <c r="F67" s="84"/>
      <c r="G67" s="117">
        <f>G66/F66-1</f>
        <v>2.1983043950814629E-2</v>
      </c>
      <c r="H67" s="117">
        <v>6.7848330653532685E-3</v>
      </c>
      <c r="I67" s="117">
        <v>5.2104447705101364E-3</v>
      </c>
      <c r="J67" s="117">
        <v>4.5874871917332971E-3</v>
      </c>
      <c r="K67" s="117">
        <v>4.0678522454449251E-3</v>
      </c>
      <c r="L67" s="117" t="s">
        <v>296</v>
      </c>
      <c r="M67" s="117" t="s">
        <v>296</v>
      </c>
      <c r="N67" s="117" t="s">
        <v>296</v>
      </c>
      <c r="O67" s="117" t="s">
        <v>296</v>
      </c>
      <c r="P67" s="117" t="s">
        <v>296</v>
      </c>
      <c r="Q67" s="79"/>
      <c r="R67" s="79"/>
      <c r="S67" s="118">
        <v>8.504022556628632E-3</v>
      </c>
      <c r="T67" s="101" t="s">
        <v>157</v>
      </c>
      <c r="U67" s="79"/>
      <c r="V67" s="84"/>
      <c r="W67" s="84"/>
      <c r="X67" s="84"/>
    </row>
    <row r="68" spans="1:24" x14ac:dyDescent="0.3">
      <c r="A68" s="79"/>
      <c r="B68" s="79"/>
      <c r="C68" s="101"/>
      <c r="D68" s="101"/>
      <c r="E68" s="79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79"/>
      <c r="R68" s="79"/>
      <c r="S68" s="79"/>
      <c r="T68" s="79"/>
      <c r="U68" s="79"/>
      <c r="V68" s="84"/>
      <c r="W68" s="84"/>
      <c r="X68" s="84"/>
    </row>
    <row r="69" spans="1:24" x14ac:dyDescent="0.3">
      <c r="A69" s="79"/>
      <c r="B69" s="79"/>
      <c r="C69" s="92" t="s">
        <v>148</v>
      </c>
      <c r="D69" s="92"/>
      <c r="E69" s="79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79"/>
      <c r="R69" s="79"/>
      <c r="S69" s="79"/>
      <c r="T69" s="79"/>
      <c r="U69" s="79"/>
      <c r="V69" s="84"/>
      <c r="W69" s="84"/>
      <c r="X69" s="84"/>
    </row>
    <row r="70" spans="1:24" x14ac:dyDescent="0.3">
      <c r="A70" s="79"/>
      <c r="B70" s="79"/>
      <c r="C70" s="84"/>
      <c r="D70" s="92" t="s">
        <v>152</v>
      </c>
      <c r="E70" s="101" t="s">
        <v>153</v>
      </c>
      <c r="F70" s="121">
        <v>0</v>
      </c>
      <c r="G70" s="93">
        <f>G73*G53/1000</f>
        <v>0</v>
      </c>
      <c r="H70" s="93">
        <v>0</v>
      </c>
      <c r="I70" s="93">
        <v>0</v>
      </c>
      <c r="J70" s="93">
        <v>0</v>
      </c>
      <c r="K70" s="93">
        <v>0</v>
      </c>
      <c r="L70" s="93">
        <v>0</v>
      </c>
      <c r="M70" s="93">
        <v>0</v>
      </c>
      <c r="N70" s="93">
        <v>0</v>
      </c>
      <c r="O70" s="93">
        <v>0</v>
      </c>
      <c r="P70" s="93">
        <v>0</v>
      </c>
      <c r="Q70" s="79"/>
      <c r="R70" s="79"/>
      <c r="S70" s="116" t="e">
        <v>#DIV/0!</v>
      </c>
      <c r="T70" s="101" t="s">
        <v>154</v>
      </c>
      <c r="U70" s="79"/>
      <c r="V70" s="84"/>
      <c r="W70" s="84"/>
      <c r="X70" s="84"/>
    </row>
    <row r="71" spans="1:24" x14ac:dyDescent="0.3">
      <c r="A71" s="79"/>
      <c r="B71" s="79"/>
      <c r="C71" s="92"/>
      <c r="D71" s="92" t="s">
        <v>155</v>
      </c>
      <c r="E71" s="101" t="s">
        <v>156</v>
      </c>
      <c r="F71" s="122"/>
      <c r="G71" s="117" t="e">
        <f>G70/F70-1</f>
        <v>#DIV/0!</v>
      </c>
      <c r="H71" s="117" t="e">
        <v>#DIV/0!</v>
      </c>
      <c r="I71" s="117" t="e">
        <v>#DIV/0!</v>
      </c>
      <c r="J71" s="117" t="e">
        <v>#DIV/0!</v>
      </c>
      <c r="K71" s="117" t="e">
        <v>#DIV/0!</v>
      </c>
      <c r="L71" s="117" t="e">
        <v>#DIV/0!</v>
      </c>
      <c r="M71" s="117" t="e">
        <v>#DIV/0!</v>
      </c>
      <c r="N71" s="117" t="e">
        <v>#DIV/0!</v>
      </c>
      <c r="O71" s="117" t="e">
        <v>#DIV/0!</v>
      </c>
      <c r="P71" s="117" t="e">
        <v>#DIV/0!</v>
      </c>
      <c r="Q71" s="79"/>
      <c r="R71" s="79"/>
      <c r="S71" s="118" t="e">
        <v>#DIV/0!</v>
      </c>
      <c r="T71" s="101" t="s">
        <v>157</v>
      </c>
      <c r="U71" s="79"/>
      <c r="V71" s="84"/>
      <c r="W71" s="84"/>
      <c r="X71" s="84"/>
    </row>
    <row r="72" spans="1:24" x14ac:dyDescent="0.3">
      <c r="A72" s="79"/>
      <c r="B72" s="79"/>
      <c r="C72" s="92"/>
      <c r="D72" s="92"/>
      <c r="E72" s="79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79"/>
      <c r="R72" s="79"/>
      <c r="S72" s="79"/>
      <c r="T72" s="79"/>
      <c r="U72" s="79"/>
      <c r="V72" s="84"/>
      <c r="W72" s="84"/>
      <c r="X72" s="84"/>
    </row>
    <row r="73" spans="1:24" x14ac:dyDescent="0.3">
      <c r="A73" s="79"/>
      <c r="B73" s="79"/>
      <c r="C73" s="92"/>
      <c r="D73" s="92" t="s">
        <v>61</v>
      </c>
      <c r="E73" s="101" t="s">
        <v>158</v>
      </c>
      <c r="F73" s="121">
        <v>0</v>
      </c>
      <c r="G73" s="93">
        <v>0</v>
      </c>
      <c r="H73" s="93">
        <v>0</v>
      </c>
      <c r="I73" s="93">
        <v>0</v>
      </c>
      <c r="J73" s="93">
        <v>0</v>
      </c>
      <c r="K73" s="93">
        <v>0</v>
      </c>
      <c r="L73" s="93">
        <v>0</v>
      </c>
      <c r="M73" s="93">
        <v>0</v>
      </c>
      <c r="N73" s="93">
        <v>0</v>
      </c>
      <c r="O73" s="93">
        <v>0</v>
      </c>
      <c r="P73" s="93">
        <v>0</v>
      </c>
      <c r="Q73" s="79"/>
      <c r="R73" s="79"/>
      <c r="S73" s="116" t="e">
        <v>#DIV/0!</v>
      </c>
      <c r="T73" s="101" t="s">
        <v>154</v>
      </c>
      <c r="U73" s="79"/>
      <c r="V73" s="84"/>
      <c r="W73" s="84"/>
      <c r="X73" s="84"/>
    </row>
    <row r="74" spans="1:24" x14ac:dyDescent="0.3">
      <c r="A74" s="79"/>
      <c r="B74" s="79"/>
      <c r="C74" s="92"/>
      <c r="D74" s="92" t="s">
        <v>159</v>
      </c>
      <c r="E74" s="101" t="s">
        <v>156</v>
      </c>
      <c r="F74" s="84"/>
      <c r="G74" s="117" t="e">
        <f>G73/F73-1</f>
        <v>#DIV/0!</v>
      </c>
      <c r="H74" s="117" t="e">
        <v>#DIV/0!</v>
      </c>
      <c r="I74" s="117" t="e">
        <v>#DIV/0!</v>
      </c>
      <c r="J74" s="117" t="e">
        <v>#DIV/0!</v>
      </c>
      <c r="K74" s="117" t="e">
        <v>#DIV/0!</v>
      </c>
      <c r="L74" s="117" t="e">
        <v>#DIV/0!</v>
      </c>
      <c r="M74" s="117" t="e">
        <v>#DIV/0!</v>
      </c>
      <c r="N74" s="117" t="e">
        <v>#DIV/0!</v>
      </c>
      <c r="O74" s="117" t="e">
        <v>#DIV/0!</v>
      </c>
      <c r="P74" s="117" t="e">
        <v>#DIV/0!</v>
      </c>
      <c r="Q74" s="79"/>
      <c r="R74" s="79"/>
      <c r="S74" s="118" t="e">
        <v>#DIV/0!</v>
      </c>
      <c r="T74" s="101" t="s">
        <v>157</v>
      </c>
      <c r="U74" s="79"/>
      <c r="V74" s="84"/>
      <c r="W74" s="84"/>
      <c r="X74" s="84"/>
    </row>
    <row r="75" spans="1:24" x14ac:dyDescent="0.3">
      <c r="A75" s="79"/>
      <c r="B75" s="79"/>
      <c r="C75" s="101"/>
      <c r="D75" s="101"/>
      <c r="E75" s="79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79"/>
      <c r="R75" s="79"/>
      <c r="S75" s="79"/>
      <c r="T75" s="79"/>
      <c r="U75" s="79"/>
      <c r="V75" s="84"/>
      <c r="W75" s="84"/>
      <c r="X75" s="84"/>
    </row>
    <row r="76" spans="1:24" x14ac:dyDescent="0.3">
      <c r="A76" s="108"/>
      <c r="B76" s="108"/>
      <c r="C76" s="109" t="s">
        <v>299</v>
      </c>
      <c r="D76" s="108"/>
      <c r="E76" s="108"/>
      <c r="F76" s="10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4"/>
      <c r="W76" s="84"/>
      <c r="X76" s="84"/>
    </row>
    <row r="77" spans="1:24" x14ac:dyDescent="0.3">
      <c r="A77" s="79"/>
      <c r="B77" s="79"/>
      <c r="C77" s="92"/>
      <c r="D77" s="92"/>
      <c r="E77" s="79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79"/>
      <c r="R77" s="79"/>
      <c r="S77" s="79"/>
      <c r="T77" s="79"/>
      <c r="U77" s="79"/>
      <c r="V77" s="84"/>
      <c r="W77" s="84"/>
      <c r="X77" s="84"/>
    </row>
    <row r="78" spans="1:24" x14ac:dyDescent="0.3">
      <c r="A78" s="79"/>
      <c r="B78" s="79"/>
      <c r="C78" s="84"/>
      <c r="D78" s="92" t="s">
        <v>150</v>
      </c>
      <c r="E78" s="101" t="s">
        <v>151</v>
      </c>
      <c r="F78" s="111">
        <v>7335.996945115543</v>
      </c>
      <c r="G78" s="110">
        <v>7299.5705394237339</v>
      </c>
      <c r="H78" s="110">
        <v>7258.5272577754013</v>
      </c>
      <c r="I78" s="110">
        <v>7229.0193338192121</v>
      </c>
      <c r="J78" s="110">
        <v>7204.0959514521464</v>
      </c>
      <c r="K78" s="110">
        <v>7182.973976641083</v>
      </c>
      <c r="L78" s="110">
        <v>0</v>
      </c>
      <c r="M78" s="110">
        <v>0</v>
      </c>
      <c r="N78" s="110">
        <v>0</v>
      </c>
      <c r="O78" s="110">
        <v>0</v>
      </c>
      <c r="P78" s="110">
        <v>0</v>
      </c>
      <c r="Q78" s="79"/>
      <c r="R78" s="79"/>
      <c r="S78" s="79"/>
      <c r="T78" s="79"/>
      <c r="U78" s="79"/>
      <c r="V78" s="84"/>
      <c r="W78" s="84"/>
      <c r="X78" s="84"/>
    </row>
    <row r="79" spans="1:24" x14ac:dyDescent="0.3">
      <c r="A79" s="79"/>
      <c r="B79" s="79"/>
      <c r="C79" s="84"/>
      <c r="D79" s="92"/>
      <c r="E79" s="79"/>
      <c r="F79" s="112"/>
      <c r="G79" s="112"/>
      <c r="H79" s="112"/>
      <c r="I79" s="112"/>
      <c r="J79" s="112"/>
      <c r="K79" s="112"/>
      <c r="L79" s="110"/>
      <c r="M79" s="110"/>
      <c r="N79" s="110"/>
      <c r="O79" s="110"/>
      <c r="P79" s="110"/>
      <c r="Q79" s="79"/>
      <c r="R79" s="79"/>
      <c r="S79" s="79"/>
      <c r="T79" s="79"/>
      <c r="U79" s="79"/>
      <c r="V79" s="84"/>
      <c r="W79" s="84"/>
      <c r="X79" s="84"/>
    </row>
    <row r="80" spans="1:24" x14ac:dyDescent="0.3">
      <c r="A80" s="79"/>
      <c r="B80" s="79"/>
      <c r="C80" s="92" t="s">
        <v>145</v>
      </c>
      <c r="D80" s="92"/>
      <c r="E80" s="79"/>
      <c r="F80" s="84"/>
      <c r="G80" s="84"/>
      <c r="H80" s="84"/>
      <c r="I80" s="84"/>
      <c r="J80" s="84"/>
      <c r="K80" s="93"/>
      <c r="L80" s="84"/>
      <c r="M80" s="84"/>
      <c r="N80" s="84"/>
      <c r="O80" s="84"/>
      <c r="P80" s="84"/>
      <c r="Q80" s="79"/>
      <c r="R80" s="79"/>
      <c r="S80" s="79"/>
      <c r="T80" s="79"/>
      <c r="U80" s="79"/>
      <c r="V80" s="84"/>
      <c r="W80" s="84"/>
      <c r="X80" s="84"/>
    </row>
    <row r="81" spans="1:24" x14ac:dyDescent="0.3">
      <c r="A81" s="79"/>
      <c r="B81" s="79"/>
      <c r="C81" s="84"/>
      <c r="D81" s="92" t="s">
        <v>152</v>
      </c>
      <c r="E81" s="101" t="s">
        <v>160</v>
      </c>
      <c r="F81" s="115">
        <v>0</v>
      </c>
      <c r="G81" s="113">
        <v>0</v>
      </c>
      <c r="H81" s="113">
        <v>0</v>
      </c>
      <c r="I81" s="113">
        <v>0</v>
      </c>
      <c r="J81" s="113">
        <v>0</v>
      </c>
      <c r="K81" s="113">
        <v>0</v>
      </c>
      <c r="L81" s="113">
        <v>0</v>
      </c>
      <c r="M81" s="113">
        <v>0</v>
      </c>
      <c r="N81" s="113">
        <v>0</v>
      </c>
      <c r="O81" s="113">
        <v>0</v>
      </c>
      <c r="P81" s="113">
        <v>0</v>
      </c>
      <c r="Q81" s="79"/>
      <c r="R81" s="79"/>
      <c r="S81" s="116" t="e">
        <v>#DIV/0!</v>
      </c>
      <c r="T81" s="101" t="s">
        <v>154</v>
      </c>
      <c r="U81" s="79"/>
      <c r="V81" s="84"/>
      <c r="W81" s="84"/>
      <c r="X81" s="84"/>
    </row>
    <row r="82" spans="1:24" x14ac:dyDescent="0.3">
      <c r="A82" s="79"/>
      <c r="B82" s="79"/>
      <c r="C82" s="92"/>
      <c r="D82" s="92" t="s">
        <v>155</v>
      </c>
      <c r="E82" s="101" t="s">
        <v>156</v>
      </c>
      <c r="F82" s="84"/>
      <c r="G82" s="117" t="e">
        <f>G81/F81-1</f>
        <v>#DIV/0!</v>
      </c>
      <c r="H82" s="117" t="e">
        <v>#DIV/0!</v>
      </c>
      <c r="I82" s="117" t="e">
        <v>#DIV/0!</v>
      </c>
      <c r="J82" s="117" t="e">
        <v>#DIV/0!</v>
      </c>
      <c r="K82" s="117" t="e">
        <v>#DIV/0!</v>
      </c>
      <c r="L82" s="117" t="e">
        <v>#DIV/0!</v>
      </c>
      <c r="M82" s="117" t="e">
        <v>#DIV/0!</v>
      </c>
      <c r="N82" s="117" t="e">
        <v>#DIV/0!</v>
      </c>
      <c r="O82" s="117" t="e">
        <v>#DIV/0!</v>
      </c>
      <c r="P82" s="117" t="e">
        <v>#DIV/0!</v>
      </c>
      <c r="Q82" s="79"/>
      <c r="R82" s="79"/>
      <c r="S82" s="118" t="e">
        <v>#DIV/0!</v>
      </c>
      <c r="T82" s="101" t="s">
        <v>157</v>
      </c>
      <c r="U82" s="79"/>
      <c r="V82" s="84"/>
      <c r="W82" s="84"/>
      <c r="X82" s="84"/>
    </row>
    <row r="83" spans="1:24" x14ac:dyDescent="0.3">
      <c r="A83" s="79"/>
      <c r="B83" s="79"/>
      <c r="C83" s="92"/>
      <c r="D83" s="92"/>
      <c r="E83" s="79"/>
      <c r="F83" s="84"/>
      <c r="G83" s="93"/>
      <c r="H83" s="93"/>
      <c r="I83" s="93"/>
      <c r="J83" s="93"/>
      <c r="K83" s="93"/>
      <c r="L83" s="84"/>
      <c r="M83" s="84"/>
      <c r="N83" s="84"/>
      <c r="O83" s="84"/>
      <c r="P83" s="84"/>
      <c r="Q83" s="79"/>
      <c r="R83" s="79"/>
      <c r="S83" s="79"/>
      <c r="T83" s="79"/>
      <c r="U83" s="79"/>
      <c r="V83" s="84"/>
      <c r="W83" s="84"/>
      <c r="X83" s="84"/>
    </row>
    <row r="84" spans="1:24" x14ac:dyDescent="0.3">
      <c r="A84" s="79"/>
      <c r="B84" s="79"/>
      <c r="C84" s="92"/>
      <c r="D84" s="92" t="s">
        <v>61</v>
      </c>
      <c r="E84" s="101" t="s">
        <v>158</v>
      </c>
      <c r="F84" s="121">
        <f>IF(F78&gt;0,(F81*1000)/(F78),0)</f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93">
        <v>0</v>
      </c>
      <c r="O84" s="93">
        <v>0</v>
      </c>
      <c r="P84" s="93">
        <v>0</v>
      </c>
      <c r="Q84" s="79"/>
      <c r="R84" s="79"/>
      <c r="S84" s="116" t="e">
        <v>#DIV/0!</v>
      </c>
      <c r="T84" s="101" t="s">
        <v>154</v>
      </c>
      <c r="U84" s="79"/>
      <c r="V84" s="84"/>
      <c r="W84" s="84"/>
      <c r="X84" s="84"/>
    </row>
    <row r="85" spans="1:24" x14ac:dyDescent="0.3">
      <c r="A85" s="79"/>
      <c r="B85" s="79"/>
      <c r="C85" s="92"/>
      <c r="D85" s="92" t="s">
        <v>159</v>
      </c>
      <c r="E85" s="101" t="s">
        <v>156</v>
      </c>
      <c r="F85" s="84"/>
      <c r="G85" s="117" t="e">
        <f>G84/F84-1</f>
        <v>#DIV/0!</v>
      </c>
      <c r="H85" s="117" t="e">
        <v>#DIV/0!</v>
      </c>
      <c r="I85" s="117" t="e">
        <v>#DIV/0!</v>
      </c>
      <c r="J85" s="117" t="e">
        <v>#DIV/0!</v>
      </c>
      <c r="K85" s="117" t="e">
        <v>#DIV/0!</v>
      </c>
      <c r="L85" s="117" t="e">
        <v>#DIV/0!</v>
      </c>
      <c r="M85" s="117" t="e">
        <v>#DIV/0!</v>
      </c>
      <c r="N85" s="117" t="e">
        <v>#DIV/0!</v>
      </c>
      <c r="O85" s="117" t="e">
        <v>#DIV/0!</v>
      </c>
      <c r="P85" s="117" t="e">
        <v>#DIV/0!</v>
      </c>
      <c r="Q85" s="79"/>
      <c r="R85" s="79"/>
      <c r="S85" s="118" t="e">
        <v>#DIV/0!</v>
      </c>
      <c r="T85" s="101" t="s">
        <v>157</v>
      </c>
      <c r="U85" s="79"/>
      <c r="V85" s="84"/>
      <c r="W85" s="84"/>
      <c r="X85" s="84"/>
    </row>
    <row r="86" spans="1:24" x14ac:dyDescent="0.3">
      <c r="A86" s="79"/>
      <c r="B86" s="79"/>
      <c r="C86" s="101"/>
      <c r="D86" s="101"/>
      <c r="E86" s="79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79"/>
      <c r="R86" s="79"/>
      <c r="S86" s="79"/>
      <c r="T86" s="79"/>
      <c r="U86" s="79"/>
      <c r="V86" s="84"/>
      <c r="W86" s="84"/>
      <c r="X86" s="84"/>
    </row>
    <row r="87" spans="1:24" x14ac:dyDescent="0.3">
      <c r="A87" s="79"/>
      <c r="B87" s="79"/>
      <c r="C87" s="92" t="s">
        <v>147</v>
      </c>
      <c r="D87" s="92"/>
      <c r="E87" s="79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79"/>
      <c r="R87" s="79"/>
      <c r="S87" s="79"/>
      <c r="T87" s="79"/>
      <c r="U87" s="79"/>
      <c r="V87" s="84"/>
      <c r="W87" s="84"/>
      <c r="X87" s="84"/>
    </row>
    <row r="88" spans="1:24" x14ac:dyDescent="0.3">
      <c r="A88" s="79"/>
      <c r="B88" s="79"/>
      <c r="C88" s="84"/>
      <c r="D88" s="92" t="s">
        <v>152</v>
      </c>
      <c r="E88" s="101" t="s">
        <v>160</v>
      </c>
      <c r="F88" s="115">
        <v>677.44701219512194</v>
      </c>
      <c r="G88" s="113">
        <v>675.39777746955338</v>
      </c>
      <c r="H88" s="113">
        <v>662.90291858636658</v>
      </c>
      <c r="I88" s="113">
        <v>650.6392145925189</v>
      </c>
      <c r="J88" s="113">
        <v>638.60238912255738</v>
      </c>
      <c r="K88" s="113">
        <v>626.7882449237901</v>
      </c>
      <c r="L88" s="113">
        <v>0</v>
      </c>
      <c r="M88" s="113">
        <v>0</v>
      </c>
      <c r="N88" s="113">
        <v>0</v>
      </c>
      <c r="O88" s="113">
        <v>0</v>
      </c>
      <c r="P88" s="113">
        <v>0</v>
      </c>
      <c r="Q88" s="79"/>
      <c r="R88" s="79"/>
      <c r="S88" s="116">
        <v>-7.4778936742495805E-2</v>
      </c>
      <c r="T88" s="101" t="s">
        <v>154</v>
      </c>
      <c r="U88" s="79"/>
      <c r="V88" s="84"/>
      <c r="W88" s="84"/>
      <c r="X88" s="84"/>
    </row>
    <row r="89" spans="1:24" x14ac:dyDescent="0.3">
      <c r="A89" s="79"/>
      <c r="B89" s="79"/>
      <c r="C89" s="92"/>
      <c r="D89" s="92" t="s">
        <v>155</v>
      </c>
      <c r="E89" s="101" t="s">
        <v>156</v>
      </c>
      <c r="F89" s="84"/>
      <c r="G89" s="117">
        <f>G88/F88-1</f>
        <v>-3.0249372846571365E-3</v>
      </c>
      <c r="H89" s="117">
        <v>-1.8500000000000072E-2</v>
      </c>
      <c r="I89" s="117">
        <v>-1.849999999999985E-2</v>
      </c>
      <c r="J89" s="117">
        <v>-1.849999999999985E-2</v>
      </c>
      <c r="K89" s="117">
        <v>-1.8499999999999961E-2</v>
      </c>
      <c r="L89" s="117" t="s">
        <v>296</v>
      </c>
      <c r="M89" s="117" t="s">
        <v>296</v>
      </c>
      <c r="N89" s="117" t="s">
        <v>296</v>
      </c>
      <c r="O89" s="117" t="s">
        <v>296</v>
      </c>
      <c r="P89" s="117" t="s">
        <v>296</v>
      </c>
      <c r="Q89" s="79"/>
      <c r="R89" s="79"/>
      <c r="S89" s="118">
        <v>-1.5424324129708067E-2</v>
      </c>
      <c r="T89" s="101" t="s">
        <v>157</v>
      </c>
      <c r="U89" s="79"/>
      <c r="V89" s="84"/>
      <c r="W89" s="84"/>
      <c r="X89" s="84"/>
    </row>
    <row r="90" spans="1:24" x14ac:dyDescent="0.3">
      <c r="A90" s="79"/>
      <c r="B90" s="79"/>
      <c r="C90" s="92"/>
      <c r="D90" s="92"/>
      <c r="E90" s="79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79"/>
      <c r="R90" s="79"/>
      <c r="S90" s="79"/>
      <c r="T90" s="79"/>
      <c r="U90" s="79"/>
      <c r="V90" s="84"/>
      <c r="W90" s="84"/>
      <c r="X90" s="84"/>
    </row>
    <row r="91" spans="1:24" x14ac:dyDescent="0.3">
      <c r="A91" s="79"/>
      <c r="B91" s="79"/>
      <c r="C91" s="92"/>
      <c r="D91" s="92" t="s">
        <v>61</v>
      </c>
      <c r="E91" s="101" t="s">
        <v>158</v>
      </c>
      <c r="F91" s="115">
        <v>92.345596278659855</v>
      </c>
      <c r="G91" s="113">
        <v>92.525686795112861</v>
      </c>
      <c r="H91" s="113">
        <v>91.327468375386871</v>
      </c>
      <c r="I91" s="113">
        <v>90.00380059141095</v>
      </c>
      <c r="J91" s="113">
        <v>88.644348080043656</v>
      </c>
      <c r="K91" s="113">
        <v>87.260269487554254</v>
      </c>
      <c r="L91" s="113">
        <v>0</v>
      </c>
      <c r="M91" s="113">
        <v>0</v>
      </c>
      <c r="N91" s="113">
        <v>0</v>
      </c>
      <c r="O91" s="113">
        <v>0</v>
      </c>
      <c r="P91" s="113">
        <v>0</v>
      </c>
      <c r="Q91" s="79"/>
      <c r="R91" s="79"/>
      <c r="S91" s="116">
        <v>-5.5068427689396682E-2</v>
      </c>
      <c r="T91" s="101" t="s">
        <v>154</v>
      </c>
      <c r="U91" s="79"/>
      <c r="V91" s="84"/>
      <c r="W91" s="84"/>
      <c r="X91" s="84"/>
    </row>
    <row r="92" spans="1:24" x14ac:dyDescent="0.3">
      <c r="A92" s="79"/>
      <c r="B92" s="79"/>
      <c r="C92" s="92"/>
      <c r="D92" s="92" t="s">
        <v>159</v>
      </c>
      <c r="E92" s="101" t="s">
        <v>156</v>
      </c>
      <c r="F92" s="84"/>
      <c r="G92" s="117">
        <f>G91/F91-1</f>
        <v>1.9501797996903658E-3</v>
      </c>
      <c r="H92" s="117">
        <v>-1.2950116462029593E-2</v>
      </c>
      <c r="I92" s="117">
        <v>-1.4493643670655532E-2</v>
      </c>
      <c r="J92" s="117">
        <v>-1.5104390063912732E-2</v>
      </c>
      <c r="K92" s="117">
        <v>-1.5613839150123932E-2</v>
      </c>
      <c r="L92" s="117" t="s">
        <v>296</v>
      </c>
      <c r="M92" s="117" t="s">
        <v>296</v>
      </c>
      <c r="N92" s="117" t="s">
        <v>296</v>
      </c>
      <c r="O92" s="117" t="s">
        <v>296</v>
      </c>
      <c r="P92" s="117" t="s">
        <v>296</v>
      </c>
      <c r="Q92" s="79"/>
      <c r="R92" s="79"/>
      <c r="S92" s="118">
        <v>-1.1264626443296955E-2</v>
      </c>
      <c r="T92" s="101" t="s">
        <v>157</v>
      </c>
      <c r="U92" s="79"/>
      <c r="V92" s="84"/>
      <c r="W92" s="84"/>
      <c r="X92" s="84"/>
    </row>
    <row r="93" spans="1:24" x14ac:dyDescent="0.3">
      <c r="A93" s="79"/>
      <c r="B93" s="79"/>
      <c r="C93" s="101"/>
      <c r="D93" s="101"/>
      <c r="E93" s="79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79"/>
      <c r="R93" s="79"/>
      <c r="S93" s="79"/>
      <c r="T93" s="79"/>
      <c r="U93" s="79"/>
      <c r="V93" s="84"/>
      <c r="W93" s="84"/>
      <c r="X93" s="84"/>
    </row>
    <row r="94" spans="1:24" x14ac:dyDescent="0.3">
      <c r="A94" s="79"/>
      <c r="B94" s="79"/>
      <c r="C94" s="92" t="s">
        <v>148</v>
      </c>
      <c r="D94" s="92"/>
      <c r="E94" s="79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79"/>
      <c r="R94" s="79"/>
      <c r="S94" s="79"/>
      <c r="T94" s="79"/>
      <c r="U94" s="79"/>
      <c r="V94" s="84"/>
      <c r="W94" s="84"/>
      <c r="X94" s="84"/>
    </row>
    <row r="95" spans="1:24" x14ac:dyDescent="0.3">
      <c r="A95" s="79"/>
      <c r="B95" s="79"/>
      <c r="C95" s="84"/>
      <c r="D95" s="92" t="s">
        <v>152</v>
      </c>
      <c r="E95" s="101" t="s">
        <v>160</v>
      </c>
      <c r="F95" s="115">
        <v>0</v>
      </c>
      <c r="G95" s="113">
        <v>0</v>
      </c>
      <c r="H95" s="113">
        <v>0</v>
      </c>
      <c r="I95" s="113">
        <v>0</v>
      </c>
      <c r="J95" s="113">
        <v>0</v>
      </c>
      <c r="K95" s="113">
        <v>0</v>
      </c>
      <c r="L95" s="113">
        <v>0</v>
      </c>
      <c r="M95" s="113">
        <v>0</v>
      </c>
      <c r="N95" s="113">
        <v>0</v>
      </c>
      <c r="O95" s="113">
        <v>0</v>
      </c>
      <c r="P95" s="113">
        <v>0</v>
      </c>
      <c r="Q95" s="79"/>
      <c r="R95" s="79"/>
      <c r="S95" s="116" t="e">
        <v>#DIV/0!</v>
      </c>
      <c r="T95" s="101" t="s">
        <v>154</v>
      </c>
      <c r="U95" s="79"/>
      <c r="V95" s="84"/>
      <c r="W95" s="84"/>
      <c r="X95" s="84"/>
    </row>
    <row r="96" spans="1:24" x14ac:dyDescent="0.3">
      <c r="A96" s="79"/>
      <c r="B96" s="79"/>
      <c r="C96" s="92"/>
      <c r="D96" s="92" t="s">
        <v>155</v>
      </c>
      <c r="E96" s="101" t="s">
        <v>156</v>
      </c>
      <c r="F96" s="84"/>
      <c r="G96" s="117" t="e">
        <f>G95/F95-1</f>
        <v>#DIV/0!</v>
      </c>
      <c r="H96" s="117" t="e">
        <v>#DIV/0!</v>
      </c>
      <c r="I96" s="117" t="e">
        <v>#DIV/0!</v>
      </c>
      <c r="J96" s="117" t="e">
        <v>#DIV/0!</v>
      </c>
      <c r="K96" s="117" t="e">
        <v>#DIV/0!</v>
      </c>
      <c r="L96" s="117" t="e">
        <v>#DIV/0!</v>
      </c>
      <c r="M96" s="117" t="e">
        <v>#DIV/0!</v>
      </c>
      <c r="N96" s="117" t="e">
        <v>#DIV/0!</v>
      </c>
      <c r="O96" s="117" t="e">
        <v>#DIV/0!</v>
      </c>
      <c r="P96" s="117" t="e">
        <v>#DIV/0!</v>
      </c>
      <c r="Q96" s="79"/>
      <c r="R96" s="79"/>
      <c r="S96" s="118" t="e">
        <v>#DIV/0!</v>
      </c>
      <c r="T96" s="101" t="s">
        <v>157</v>
      </c>
      <c r="U96" s="79"/>
      <c r="V96" s="84"/>
      <c r="W96" s="84"/>
      <c r="X96" s="84"/>
    </row>
    <row r="97" spans="1:24" x14ac:dyDescent="0.3">
      <c r="A97" s="79"/>
      <c r="B97" s="79"/>
      <c r="C97" s="92"/>
      <c r="D97" s="92"/>
      <c r="E97" s="79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79"/>
      <c r="R97" s="79"/>
      <c r="S97" s="79"/>
      <c r="T97" s="79"/>
      <c r="U97" s="79"/>
      <c r="V97" s="84"/>
      <c r="W97" s="84"/>
      <c r="X97" s="84"/>
    </row>
    <row r="98" spans="1:24" x14ac:dyDescent="0.3">
      <c r="A98" s="79"/>
      <c r="B98" s="79"/>
      <c r="C98" s="92"/>
      <c r="D98" s="92" t="s">
        <v>61</v>
      </c>
      <c r="E98" s="101" t="s">
        <v>158</v>
      </c>
      <c r="F98" s="115">
        <v>0</v>
      </c>
      <c r="G98" s="113">
        <v>0</v>
      </c>
      <c r="H98" s="113">
        <v>0</v>
      </c>
      <c r="I98" s="113">
        <v>0</v>
      </c>
      <c r="J98" s="113">
        <v>0</v>
      </c>
      <c r="K98" s="113">
        <v>0</v>
      </c>
      <c r="L98" s="113">
        <v>0</v>
      </c>
      <c r="M98" s="113">
        <v>0</v>
      </c>
      <c r="N98" s="113">
        <v>0</v>
      </c>
      <c r="O98" s="113">
        <v>0</v>
      </c>
      <c r="P98" s="113">
        <v>0</v>
      </c>
      <c r="Q98" s="79"/>
      <c r="R98" s="79"/>
      <c r="S98" s="116" t="e">
        <v>#DIV/0!</v>
      </c>
      <c r="T98" s="101" t="s">
        <v>154</v>
      </c>
      <c r="U98" s="79"/>
      <c r="V98" s="84"/>
      <c r="W98" s="84"/>
      <c r="X98" s="84"/>
    </row>
    <row r="99" spans="1:24" x14ac:dyDescent="0.3">
      <c r="A99" s="79"/>
      <c r="B99" s="79"/>
      <c r="C99" s="92"/>
      <c r="D99" s="92" t="s">
        <v>159</v>
      </c>
      <c r="E99" s="101" t="s">
        <v>156</v>
      </c>
      <c r="F99" s="84"/>
      <c r="G99" s="117" t="e">
        <f>G98/F98-1</f>
        <v>#DIV/0!</v>
      </c>
      <c r="H99" s="117" t="e">
        <v>#DIV/0!</v>
      </c>
      <c r="I99" s="117" t="e">
        <v>#DIV/0!</v>
      </c>
      <c r="J99" s="117" t="e">
        <v>#DIV/0!</v>
      </c>
      <c r="K99" s="117" t="e">
        <v>#DIV/0!</v>
      </c>
      <c r="L99" s="117" t="e">
        <v>#DIV/0!</v>
      </c>
      <c r="M99" s="117" t="e">
        <v>#DIV/0!</v>
      </c>
      <c r="N99" s="117" t="e">
        <v>#DIV/0!</v>
      </c>
      <c r="O99" s="117" t="e">
        <v>#DIV/0!</v>
      </c>
      <c r="P99" s="117" t="e">
        <v>#DIV/0!</v>
      </c>
      <c r="Q99" s="79"/>
      <c r="R99" s="79"/>
      <c r="S99" s="118" t="e">
        <v>#DIV/0!</v>
      </c>
      <c r="T99" s="101" t="s">
        <v>157</v>
      </c>
      <c r="U99" s="79"/>
      <c r="V99" s="84"/>
      <c r="W99" s="84"/>
      <c r="X99" s="84"/>
    </row>
    <row r="100" spans="1:24" x14ac:dyDescent="0.3">
      <c r="A100" s="79"/>
      <c r="B100" s="79"/>
      <c r="C100" s="101"/>
      <c r="D100" s="101"/>
      <c r="E100" s="79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79"/>
      <c r="R100" s="79"/>
      <c r="S100" s="79"/>
      <c r="T100" s="79"/>
      <c r="U100" s="79"/>
      <c r="V100" s="84"/>
      <c r="W100" s="84"/>
      <c r="X100" s="84"/>
    </row>
    <row r="101" spans="1:24" x14ac:dyDescent="0.3">
      <c r="A101" s="79"/>
      <c r="B101" s="79"/>
      <c r="C101" s="101"/>
      <c r="D101" s="101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84"/>
      <c r="W101" s="84"/>
      <c r="X101" s="84"/>
    </row>
    <row r="102" spans="1:24" x14ac:dyDescent="0.3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x14ac:dyDescent="0.3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x14ac:dyDescent="0.3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</sheetData>
  <pageMargins left="0.7" right="0.7" top="0.75" bottom="0.75" header="0.3" footer="0.3"/>
  <headerFooter>
    <oddFooter>&amp;C_x000D_&amp;1#&amp;"Century Gothic"&amp;7&amp;K7F7F7F BUSINESS USE ONLY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279"/>
  <sheetViews>
    <sheetView zoomScale="85" zoomScaleNormal="85" workbookViewId="0">
      <pane xSplit="2" topLeftCell="C1" activePane="topRight" state="frozen"/>
      <selection pane="topRight" activeCell="B9" sqref="B9"/>
    </sheetView>
  </sheetViews>
  <sheetFormatPr defaultRowHeight="14.65" x14ac:dyDescent="0.3"/>
  <cols>
    <col min="1" max="1" width="7.6640625" customWidth="1"/>
    <col min="2" max="2" width="12.33203125" customWidth="1"/>
    <col min="3" max="3" width="14.109375" customWidth="1"/>
    <col min="4" max="4" width="9.44140625" customWidth="1"/>
    <col min="5" max="18" width="10.33203125" bestFit="1" customWidth="1"/>
    <col min="19" max="19" width="14.77734375" customWidth="1"/>
    <col min="20" max="20" width="9.6640625" customWidth="1"/>
    <col min="21" max="21" width="18.44140625" customWidth="1"/>
  </cols>
  <sheetData>
    <row r="1" spans="1:35" x14ac:dyDescent="0.3">
      <c r="A1" s="154" t="s">
        <v>184</v>
      </c>
      <c r="B1" s="155"/>
      <c r="C1" s="155"/>
      <c r="D1" s="155"/>
      <c r="E1" s="155"/>
      <c r="G1" s="138" t="s">
        <v>162</v>
      </c>
    </row>
    <row r="2" spans="1:35" x14ac:dyDescent="0.3">
      <c r="A2" t="s">
        <v>195</v>
      </c>
    </row>
    <row r="3" spans="1:35" ht="44" x14ac:dyDescent="0.3">
      <c r="A3" s="5" t="s">
        <v>51</v>
      </c>
      <c r="B3" s="58" t="s">
        <v>0</v>
      </c>
      <c r="C3" s="58" t="s">
        <v>66</v>
      </c>
      <c r="D3" s="36" t="str">
        <f>WACC!D8</f>
        <v>2023-24</v>
      </c>
      <c r="E3" s="36" t="str">
        <f>WACC!E8</f>
        <v>2024-25</v>
      </c>
      <c r="F3" s="36" t="str">
        <f>WACC!F8</f>
        <v>2025-26</v>
      </c>
      <c r="G3" s="36" t="str">
        <f>WACC!G8</f>
        <v>2026-27</v>
      </c>
      <c r="H3" s="36" t="str">
        <f>WACC!H8</f>
        <v>2027-28</v>
      </c>
      <c r="I3" s="36" t="str">
        <f>WACC!I8</f>
        <v>2028-29</v>
      </c>
      <c r="J3" s="36" t="str">
        <f>WACC!J8</f>
        <v>2029-30</v>
      </c>
      <c r="K3" s="36" t="str">
        <f>WACC!K8</f>
        <v>2030-31</v>
      </c>
      <c r="L3" s="36" t="str">
        <f>WACC!L8</f>
        <v>2031-32</v>
      </c>
      <c r="M3" s="36" t="str">
        <f>WACC!M8</f>
        <v>2032-33</v>
      </c>
      <c r="N3" s="36" t="str">
        <f>WACC!N8</f>
        <v>2033-34</v>
      </c>
      <c r="O3" s="36" t="str">
        <f>WACC!O8</f>
        <v>2034-35</v>
      </c>
      <c r="P3" s="36" t="str">
        <f>WACC!P8</f>
        <v>2035-36</v>
      </c>
      <c r="Q3" s="36" t="str">
        <f>WACC!Q8</f>
        <v>2036-37</v>
      </c>
      <c r="R3" s="36" t="str">
        <f>WACC!R8</f>
        <v>2037-38</v>
      </c>
      <c r="S3" s="49" t="s">
        <v>194</v>
      </c>
      <c r="T3" s="49" t="s">
        <v>292</v>
      </c>
      <c r="U3" t="s">
        <v>291</v>
      </c>
    </row>
    <row r="4" spans="1:35" x14ac:dyDescent="0.3">
      <c r="A4">
        <v>1</v>
      </c>
      <c r="B4" s="50" t="str">
        <f>'1014 projects'!C6</f>
        <v>75090096</v>
      </c>
      <c r="C4" s="7" t="str">
        <f>'1014 projects'!Q6</f>
        <v>NASN21</v>
      </c>
      <c r="D4" s="149">
        <v>14787</v>
      </c>
      <c r="E4" s="149">
        <v>14787</v>
      </c>
      <c r="F4" s="149">
        <v>14787</v>
      </c>
      <c r="G4" s="149">
        <v>14787</v>
      </c>
      <c r="H4" s="149">
        <v>14787</v>
      </c>
      <c r="I4" s="149">
        <v>14787</v>
      </c>
      <c r="J4" s="149">
        <v>14787</v>
      </c>
      <c r="K4" s="149">
        <v>14787</v>
      </c>
      <c r="L4" s="149">
        <v>14787</v>
      </c>
      <c r="M4" s="149">
        <v>14787</v>
      </c>
      <c r="N4" s="149">
        <v>14787</v>
      </c>
      <c r="O4" s="149">
        <v>14787</v>
      </c>
      <c r="P4" s="149">
        <v>14787</v>
      </c>
      <c r="Q4" s="149">
        <v>14787</v>
      </c>
      <c r="R4" s="149">
        <v>14787</v>
      </c>
      <c r="S4" s="59">
        <f>'1014 projects'!L6</f>
        <v>85</v>
      </c>
      <c r="T4" s="59">
        <f>'1014 projects'!N6</f>
        <v>1</v>
      </c>
    </row>
    <row r="5" spans="1:35" x14ac:dyDescent="0.3">
      <c r="A5">
        <v>2</v>
      </c>
      <c r="B5" s="50" t="str">
        <f>'1014 projects'!C7</f>
        <v>75077404</v>
      </c>
      <c r="C5" s="7" t="str">
        <f>'1014 projects'!Q7</f>
        <v>NASN21</v>
      </c>
      <c r="D5" s="149">
        <v>8168.7429719653619</v>
      </c>
      <c r="E5" s="149">
        <v>8168.7429719653619</v>
      </c>
      <c r="F5" s="149">
        <v>8168.7429719653619</v>
      </c>
      <c r="G5" s="149">
        <v>8168.7429719653619</v>
      </c>
      <c r="H5" s="149">
        <v>8168.7429719653619</v>
      </c>
      <c r="I5" s="149">
        <v>8168.7429719653619</v>
      </c>
      <c r="J5" s="149">
        <v>8168.7429719653619</v>
      </c>
      <c r="K5" s="149">
        <v>8168.7429719653619</v>
      </c>
      <c r="L5" s="149">
        <v>8168.7429719653619</v>
      </c>
      <c r="M5" s="149">
        <v>8168.7429719653619</v>
      </c>
      <c r="N5" s="149">
        <v>8168.7429719653619</v>
      </c>
      <c r="O5" s="149">
        <v>8168.7429719653619</v>
      </c>
      <c r="P5" s="149">
        <v>8168.7429719653619</v>
      </c>
      <c r="Q5" s="149">
        <v>8168.7429719653619</v>
      </c>
      <c r="R5" s="149">
        <v>8168.7429719653619</v>
      </c>
      <c r="S5" s="59">
        <f>'1014 projects'!L7</f>
        <v>45</v>
      </c>
      <c r="T5" s="59">
        <f>'1014 projects'!N7</f>
        <v>1</v>
      </c>
    </row>
    <row r="6" spans="1:35" x14ac:dyDescent="0.3">
      <c r="A6">
        <v>3</v>
      </c>
      <c r="B6" s="50" t="str">
        <f>'1014 projects'!C8</f>
        <v>75077903</v>
      </c>
      <c r="C6" s="7" t="str">
        <f>'1014 projects'!Q8</f>
        <v>NSP56</v>
      </c>
      <c r="D6" s="149">
        <v>40484</v>
      </c>
      <c r="E6" s="149">
        <v>40484</v>
      </c>
      <c r="F6" s="149">
        <v>40484</v>
      </c>
      <c r="G6" s="149">
        <v>40484</v>
      </c>
      <c r="H6" s="149">
        <v>40484</v>
      </c>
      <c r="I6" s="149">
        <v>40484</v>
      </c>
      <c r="J6" s="149">
        <v>40484</v>
      </c>
      <c r="K6" s="149">
        <v>40484</v>
      </c>
      <c r="L6" s="149">
        <v>40484</v>
      </c>
      <c r="M6" s="149">
        <v>40484</v>
      </c>
      <c r="N6" s="149">
        <v>40484</v>
      </c>
      <c r="O6" s="149">
        <v>40484</v>
      </c>
      <c r="P6" s="149">
        <v>40484</v>
      </c>
      <c r="Q6" s="149">
        <v>40484</v>
      </c>
      <c r="R6" s="149">
        <v>40484</v>
      </c>
      <c r="S6" s="59">
        <f>'1014 projects'!L8</f>
        <v>287.5</v>
      </c>
      <c r="T6" s="59">
        <f>'1014 projects'!N8</f>
        <v>1</v>
      </c>
    </row>
    <row r="7" spans="1:35" x14ac:dyDescent="0.3">
      <c r="A7">
        <v>4</v>
      </c>
      <c r="B7" s="50" t="str">
        <f>'1014 projects'!C9</f>
        <v>75078211</v>
      </c>
      <c r="C7" s="7" t="str">
        <f>'1014 projects'!Q9</f>
        <v>NSP75</v>
      </c>
      <c r="D7" s="149">
        <v>71708.742279146492</v>
      </c>
      <c r="E7" s="149">
        <v>71708.742279146492</v>
      </c>
      <c r="F7" s="149">
        <v>71708.742279146492</v>
      </c>
      <c r="G7" s="149">
        <v>71708.742279146492</v>
      </c>
      <c r="H7" s="149">
        <v>71708.742279146492</v>
      </c>
      <c r="I7" s="149">
        <v>71708.742279146492</v>
      </c>
      <c r="J7" s="149">
        <v>71708.742279146492</v>
      </c>
      <c r="K7" s="149">
        <v>71708.742279146492</v>
      </c>
      <c r="L7" s="149">
        <v>71708.742279146492</v>
      </c>
      <c r="M7" s="149">
        <v>71708.742279146492</v>
      </c>
      <c r="N7" s="149">
        <v>71708.742279146492</v>
      </c>
      <c r="O7" s="149">
        <v>71708.742279146492</v>
      </c>
      <c r="P7" s="149">
        <v>71708.742279146492</v>
      </c>
      <c r="Q7" s="149">
        <v>71708.742279146492</v>
      </c>
      <c r="R7" s="149">
        <v>71708.742279146492</v>
      </c>
      <c r="S7" s="59">
        <f>'1014 projects'!L9</f>
        <v>437.5</v>
      </c>
      <c r="T7" s="59">
        <f>'1014 projects'!N9</f>
        <v>1</v>
      </c>
    </row>
    <row r="8" spans="1:35" x14ac:dyDescent="0.3">
      <c r="A8">
        <v>5</v>
      </c>
      <c r="B8" s="50" t="str">
        <f>'1014 projects'!C10</f>
        <v>75067688</v>
      </c>
      <c r="C8" s="7" t="str">
        <f>'1014 projects'!Q10</f>
        <v>NSP75</v>
      </c>
      <c r="D8" s="149">
        <v>87956.117858818194</v>
      </c>
      <c r="E8" s="149">
        <v>87956.117858818194</v>
      </c>
      <c r="F8" s="149">
        <v>87956.117858818194</v>
      </c>
      <c r="G8" s="149">
        <v>87956.117858818194</v>
      </c>
      <c r="H8" s="149">
        <v>87956.117858818194</v>
      </c>
      <c r="I8" s="149">
        <v>87956.117858818194</v>
      </c>
      <c r="J8" s="149">
        <v>87956.117858818194</v>
      </c>
      <c r="K8" s="149">
        <v>87956.117858818194</v>
      </c>
      <c r="L8" s="149">
        <v>87956.117858818194</v>
      </c>
      <c r="M8" s="149">
        <v>87956.117858818194</v>
      </c>
      <c r="N8" s="149">
        <v>87956.117858818194</v>
      </c>
      <c r="O8" s="149">
        <v>87956.117858818194</v>
      </c>
      <c r="P8" s="149">
        <v>87956.117858818194</v>
      </c>
      <c r="Q8" s="149">
        <v>87956.117858818194</v>
      </c>
      <c r="R8" s="149">
        <v>87956.117858818194</v>
      </c>
      <c r="S8" s="59">
        <f>'1014 projects'!L10</f>
        <v>288.8</v>
      </c>
      <c r="T8" s="59">
        <f>'1014 projects'!N10</f>
        <v>1</v>
      </c>
    </row>
    <row r="9" spans="1:35" x14ac:dyDescent="0.3">
      <c r="A9">
        <v>6</v>
      </c>
      <c r="B9" s="50" t="str">
        <f>'1014 projects'!C11</f>
        <v>75084229</v>
      </c>
      <c r="C9" s="7" t="str">
        <f>'1014 projects'!Q11</f>
        <v>NASN21</v>
      </c>
      <c r="D9" s="149">
        <v>6772.7104369316257</v>
      </c>
      <c r="E9" s="149">
        <v>6772.7104369316257</v>
      </c>
      <c r="F9" s="149">
        <v>6772.7104369316257</v>
      </c>
      <c r="G9" s="149">
        <v>6772.7104369316257</v>
      </c>
      <c r="H9" s="149">
        <v>6772.7104369316257</v>
      </c>
      <c r="I9" s="149">
        <v>6772.7104369316257</v>
      </c>
      <c r="J9" s="149">
        <v>6772.7104369316257</v>
      </c>
      <c r="K9" s="149">
        <v>6772.7104369316257</v>
      </c>
      <c r="L9" s="149">
        <v>6772.7104369316257</v>
      </c>
      <c r="M9" s="149">
        <v>6772.7104369316257</v>
      </c>
      <c r="N9" s="149">
        <v>6772.7104369316257</v>
      </c>
      <c r="O9" s="149">
        <v>6772.7104369316257</v>
      </c>
      <c r="P9" s="149">
        <v>6772.7104369316257</v>
      </c>
      <c r="Q9" s="149">
        <v>6772.7104369316257</v>
      </c>
      <c r="R9" s="149">
        <v>6772.7104369316257</v>
      </c>
      <c r="S9" s="59">
        <f>'1014 projects'!L11</f>
        <v>50</v>
      </c>
      <c r="T9" s="59">
        <f>'1014 projects'!N11</f>
        <v>1</v>
      </c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</row>
    <row r="10" spans="1:35" x14ac:dyDescent="0.3">
      <c r="A10">
        <v>7</v>
      </c>
      <c r="B10" s="50" t="str">
        <f>'1014 projects'!C12</f>
        <v>75087003</v>
      </c>
      <c r="C10" s="7" t="str">
        <f>'1014 projects'!Q12</f>
        <v>NASN21</v>
      </c>
      <c r="D10" s="149">
        <v>12504.33536686055</v>
      </c>
      <c r="E10" s="149">
        <v>12504.33536686055</v>
      </c>
      <c r="F10" s="149">
        <v>12504.33536686055</v>
      </c>
      <c r="G10" s="149">
        <v>12504.33536686055</v>
      </c>
      <c r="H10" s="149">
        <v>12504.33536686055</v>
      </c>
      <c r="I10" s="149">
        <v>12504.33536686055</v>
      </c>
      <c r="J10" s="149">
        <v>12504.33536686055</v>
      </c>
      <c r="K10" s="149">
        <v>12504.33536686055</v>
      </c>
      <c r="L10" s="149">
        <v>12504.33536686055</v>
      </c>
      <c r="M10" s="149">
        <v>12504.33536686055</v>
      </c>
      <c r="N10" s="149">
        <v>12504.33536686055</v>
      </c>
      <c r="O10" s="149">
        <v>12504.33536686055</v>
      </c>
      <c r="P10" s="149">
        <v>12504.33536686055</v>
      </c>
      <c r="Q10" s="149">
        <v>12504.33536686055</v>
      </c>
      <c r="R10" s="149">
        <v>12504.33536686055</v>
      </c>
      <c r="S10" s="59">
        <f>'1014 projects'!L12</f>
        <v>72.5</v>
      </c>
      <c r="T10" s="59">
        <f>'1014 projects'!N12</f>
        <v>1</v>
      </c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</row>
    <row r="11" spans="1:35" x14ac:dyDescent="0.3">
      <c r="A11">
        <v>8</v>
      </c>
      <c r="B11" s="50" t="str">
        <f>'1014 projects'!C13</f>
        <v>75089640</v>
      </c>
      <c r="C11" s="7" t="str">
        <f>'1014 projects'!Q13</f>
        <v>NASN21</v>
      </c>
      <c r="D11" s="149">
        <v>20554.729355755502</v>
      </c>
      <c r="E11" s="149">
        <v>20554.729355755502</v>
      </c>
      <c r="F11" s="149">
        <v>20554.729355755502</v>
      </c>
      <c r="G11" s="149">
        <v>20554.729355755502</v>
      </c>
      <c r="H11" s="149">
        <v>20554.729355755502</v>
      </c>
      <c r="I11" s="149">
        <v>20554.729355755502</v>
      </c>
      <c r="J11" s="149">
        <v>20554.729355755502</v>
      </c>
      <c r="K11" s="149">
        <v>20554.729355755502</v>
      </c>
      <c r="L11" s="149">
        <v>20554.729355755502</v>
      </c>
      <c r="M11" s="149">
        <v>20554.729355755502</v>
      </c>
      <c r="N11" s="149">
        <v>20554.729355755502</v>
      </c>
      <c r="O11" s="149">
        <v>20554.729355755502</v>
      </c>
      <c r="P11" s="149">
        <v>20554.729355755502</v>
      </c>
      <c r="Q11" s="149">
        <v>20554.729355755502</v>
      </c>
      <c r="R11" s="149">
        <v>20554.729355755502</v>
      </c>
      <c r="S11" s="59">
        <f>'1014 projects'!L13</f>
        <v>12.5</v>
      </c>
      <c r="T11" s="59">
        <f>'1014 projects'!N13</f>
        <v>1</v>
      </c>
    </row>
    <row r="12" spans="1:35" x14ac:dyDescent="0.3">
      <c r="A12">
        <v>9</v>
      </c>
      <c r="B12" s="50" t="str">
        <f>'1014 projects'!C14</f>
        <v>75072730</v>
      </c>
      <c r="C12" s="7" t="str">
        <f>'1014 projects'!Q14</f>
        <v>NEE11</v>
      </c>
      <c r="D12" s="149">
        <v>106</v>
      </c>
      <c r="E12" s="149">
        <v>106</v>
      </c>
      <c r="F12" s="149">
        <v>106</v>
      </c>
      <c r="G12" s="149">
        <v>106</v>
      </c>
      <c r="H12" s="149">
        <v>106</v>
      </c>
      <c r="I12" s="149">
        <v>106</v>
      </c>
      <c r="J12" s="149">
        <v>106</v>
      </c>
      <c r="K12" s="149">
        <v>106</v>
      </c>
      <c r="L12" s="149">
        <v>106</v>
      </c>
      <c r="M12" s="149">
        <v>106</v>
      </c>
      <c r="N12" s="149">
        <v>106</v>
      </c>
      <c r="O12" s="149">
        <v>106</v>
      </c>
      <c r="P12" s="149">
        <v>106</v>
      </c>
      <c r="Q12" s="149">
        <v>106</v>
      </c>
      <c r="R12" s="149">
        <v>106</v>
      </c>
      <c r="S12" s="59">
        <f>'1014 projects'!L14</f>
        <v>2.5</v>
      </c>
      <c r="T12" s="59">
        <f>'1014 projects'!N14</f>
        <v>1</v>
      </c>
      <c r="U12" s="51"/>
    </row>
    <row r="13" spans="1:35" x14ac:dyDescent="0.3">
      <c r="A13">
        <v>10</v>
      </c>
      <c r="B13" s="50" t="str">
        <f>'1014 projects'!C15</f>
        <v>75055038</v>
      </c>
      <c r="C13" s="7" t="str">
        <f>'1014 projects'!Q15</f>
        <v>NEE11</v>
      </c>
      <c r="D13" s="211">
        <v>10445.96589986359</v>
      </c>
      <c r="E13" s="211">
        <v>10445.96589986359</v>
      </c>
      <c r="F13" s="211">
        <v>10445.96589986359</v>
      </c>
      <c r="G13" s="211">
        <v>10445.96589986359</v>
      </c>
      <c r="H13" s="211">
        <v>10445.96589986359</v>
      </c>
      <c r="I13" s="211">
        <v>10445.96589986359</v>
      </c>
      <c r="J13" s="211">
        <v>10445.96589986359</v>
      </c>
      <c r="K13" s="211">
        <v>10445.96589986359</v>
      </c>
      <c r="L13" s="211">
        <v>10445.96589986359</v>
      </c>
      <c r="M13" s="211">
        <v>10445.96589986359</v>
      </c>
      <c r="N13" s="211">
        <v>10445.96589986359</v>
      </c>
      <c r="O13" s="211">
        <v>10445.96589986359</v>
      </c>
      <c r="P13" s="211">
        <v>10445.96589986359</v>
      </c>
      <c r="Q13" s="211">
        <v>10445.96589986359</v>
      </c>
      <c r="R13" s="211">
        <v>10445.96589986359</v>
      </c>
      <c r="S13" s="59">
        <f>'1014 projects'!L15</f>
        <v>168.8</v>
      </c>
      <c r="T13" s="59">
        <f>'1014 projects'!N15</f>
        <v>1</v>
      </c>
      <c r="U13" s="51"/>
    </row>
    <row r="14" spans="1:35" x14ac:dyDescent="0.3">
      <c r="A14">
        <v>11</v>
      </c>
      <c r="B14" s="50" t="str">
        <f>'1014 projects'!C16</f>
        <v>75079161</v>
      </c>
      <c r="C14" s="7" t="str">
        <f>'1014 projects'!Q16</f>
        <v>NASN21</v>
      </c>
      <c r="D14" s="149">
        <v>1540</v>
      </c>
      <c r="E14" s="149">
        <v>1540</v>
      </c>
      <c r="F14" s="149">
        <v>1540</v>
      </c>
      <c r="G14" s="149">
        <v>1540</v>
      </c>
      <c r="H14" s="149">
        <v>1540</v>
      </c>
      <c r="I14" s="149">
        <v>1540</v>
      </c>
      <c r="J14" s="149">
        <v>1540</v>
      </c>
      <c r="K14" s="149">
        <v>1540</v>
      </c>
      <c r="L14" s="149">
        <v>1540</v>
      </c>
      <c r="M14" s="149">
        <v>1540</v>
      </c>
      <c r="N14" s="149">
        <v>1540</v>
      </c>
      <c r="O14" s="149">
        <v>1540</v>
      </c>
      <c r="P14" s="149">
        <v>1540</v>
      </c>
      <c r="Q14" s="149">
        <v>1540</v>
      </c>
      <c r="R14" s="149">
        <v>1540</v>
      </c>
      <c r="S14" s="59">
        <f>'1014 projects'!L16</f>
        <v>10</v>
      </c>
      <c r="T14" s="59">
        <f>'1014 projects'!N16</f>
        <v>1</v>
      </c>
      <c r="U14" s="51"/>
    </row>
    <row r="15" spans="1:35" x14ac:dyDescent="0.3">
      <c r="A15">
        <v>12</v>
      </c>
      <c r="B15" s="50" t="str">
        <f>'1014 projects'!C17</f>
        <v>75088679</v>
      </c>
      <c r="C15" s="7" t="str">
        <f>'1014 projects'!Q17</f>
        <v>NASN21</v>
      </c>
      <c r="D15" s="149">
        <v>21228</v>
      </c>
      <c r="E15" s="149">
        <v>21228</v>
      </c>
      <c r="F15" s="149">
        <v>21228</v>
      </c>
      <c r="G15" s="149">
        <v>21228</v>
      </c>
      <c r="H15" s="149">
        <v>21228</v>
      </c>
      <c r="I15" s="149">
        <v>21228</v>
      </c>
      <c r="J15" s="149">
        <v>21228</v>
      </c>
      <c r="K15" s="149">
        <v>21228</v>
      </c>
      <c r="L15" s="149">
        <v>21228</v>
      </c>
      <c r="M15" s="149">
        <v>21228</v>
      </c>
      <c r="N15" s="149">
        <v>21228</v>
      </c>
      <c r="O15" s="149">
        <v>21228</v>
      </c>
      <c r="P15" s="149">
        <v>21228</v>
      </c>
      <c r="Q15" s="149">
        <v>21228</v>
      </c>
      <c r="R15" s="149">
        <v>21228</v>
      </c>
      <c r="S15" s="59">
        <f>'1014 projects'!L17</f>
        <v>108.8</v>
      </c>
      <c r="T15" s="59">
        <f>'1014 projects'!N17</f>
        <v>1</v>
      </c>
    </row>
    <row r="16" spans="1:35" x14ac:dyDescent="0.3">
      <c r="A16">
        <v>13</v>
      </c>
      <c r="B16" s="50" t="str">
        <f>'1014 projects'!C18</f>
        <v>75085538</v>
      </c>
      <c r="C16" s="7" t="str">
        <f>'1014 projects'!Q18</f>
        <v>NSP81</v>
      </c>
      <c r="D16" s="149">
        <v>88974.633371256583</v>
      </c>
      <c r="E16" s="149">
        <v>88974.633371256583</v>
      </c>
      <c r="F16" s="149">
        <v>88974.633371256583</v>
      </c>
      <c r="G16" s="149">
        <v>88974.633371256583</v>
      </c>
      <c r="H16" s="149">
        <v>88974.633371256583</v>
      </c>
      <c r="I16" s="149">
        <v>88974.633371256583</v>
      </c>
      <c r="J16" s="149">
        <v>88974.633371256583</v>
      </c>
      <c r="K16" s="149">
        <v>88974.633371256583</v>
      </c>
      <c r="L16" s="149">
        <v>88974.633371256583</v>
      </c>
      <c r="M16" s="149">
        <v>88974.633371256583</v>
      </c>
      <c r="N16" s="149">
        <v>88974.633371256583</v>
      </c>
      <c r="O16" s="149">
        <v>88974.633371256583</v>
      </c>
      <c r="P16" s="149">
        <v>88974.633371256583</v>
      </c>
      <c r="Q16" s="149">
        <v>88974.633371256583</v>
      </c>
      <c r="R16" s="149">
        <v>88974.633371256583</v>
      </c>
      <c r="S16" s="59">
        <f>'1014 projects'!L18</f>
        <v>922.2</v>
      </c>
      <c r="T16" s="59">
        <f>'1014 projects'!N18</f>
        <v>1</v>
      </c>
    </row>
    <row r="17" spans="1:21" x14ac:dyDescent="0.3">
      <c r="A17">
        <v>14</v>
      </c>
      <c r="B17" s="50" t="str">
        <f>'1014 projects'!C19</f>
        <v>75089294</v>
      </c>
      <c r="C17" s="7" t="str">
        <f>'1014 projects'!Q19</f>
        <v>NASN21</v>
      </c>
      <c r="D17" s="149">
        <v>7887</v>
      </c>
      <c r="E17" s="149">
        <v>7887</v>
      </c>
      <c r="F17" s="149">
        <v>7887</v>
      </c>
      <c r="G17" s="149">
        <v>7887</v>
      </c>
      <c r="H17" s="149">
        <v>7887</v>
      </c>
      <c r="I17" s="149">
        <v>7887</v>
      </c>
      <c r="J17" s="149">
        <v>7887</v>
      </c>
      <c r="K17" s="149">
        <v>7887</v>
      </c>
      <c r="L17" s="149">
        <v>7887</v>
      </c>
      <c r="M17" s="149">
        <v>7887</v>
      </c>
      <c r="N17" s="149">
        <v>7887</v>
      </c>
      <c r="O17" s="149">
        <v>7887</v>
      </c>
      <c r="P17" s="149">
        <v>7887</v>
      </c>
      <c r="Q17" s="149">
        <v>7887</v>
      </c>
      <c r="R17" s="149">
        <v>7887</v>
      </c>
      <c r="S17" s="59">
        <f>'1014 projects'!L19</f>
        <v>45</v>
      </c>
      <c r="T17" s="59">
        <f>'1014 projects'!N19</f>
        <v>1</v>
      </c>
    </row>
    <row r="18" spans="1:21" x14ac:dyDescent="0.3">
      <c r="A18">
        <v>15</v>
      </c>
      <c r="B18" s="50" t="str">
        <f>'1014 projects'!C20</f>
        <v>75093308</v>
      </c>
      <c r="C18" s="7" t="str">
        <f>'1014 projects'!Q20</f>
        <v>NAST12</v>
      </c>
      <c r="D18" s="149">
        <v>3066.0783516491706</v>
      </c>
      <c r="E18" s="149">
        <v>3066.0783516491706</v>
      </c>
      <c r="F18" s="149">
        <v>3066.0783516491706</v>
      </c>
      <c r="G18" s="149">
        <v>3066.0783516491706</v>
      </c>
      <c r="H18" s="149">
        <v>3066.0783516491706</v>
      </c>
      <c r="I18" s="149">
        <v>3066.0783516491706</v>
      </c>
      <c r="J18" s="149">
        <v>3066.0783516491706</v>
      </c>
      <c r="K18" s="149">
        <v>3066.0783516491706</v>
      </c>
      <c r="L18" s="149">
        <v>3066.0783516491706</v>
      </c>
      <c r="M18" s="149">
        <v>3066.0783516491706</v>
      </c>
      <c r="N18" s="149">
        <v>3066.0783516491706</v>
      </c>
      <c r="O18" s="149">
        <v>3066.0783516491706</v>
      </c>
      <c r="P18" s="149">
        <v>3066.0783516491706</v>
      </c>
      <c r="Q18" s="149">
        <v>3066.0783516491706</v>
      </c>
      <c r="R18" s="149">
        <v>3066.0783516491706</v>
      </c>
      <c r="S18" s="59">
        <f>'1014 projects'!L20</f>
        <v>22.5</v>
      </c>
      <c r="T18" s="59">
        <f>'1014 projects'!N20</f>
        <v>1</v>
      </c>
    </row>
    <row r="19" spans="1:21" x14ac:dyDescent="0.3">
      <c r="A19">
        <v>16</v>
      </c>
      <c r="B19" s="50" t="str">
        <f>'1014 projects'!C21</f>
        <v>75080861</v>
      </c>
      <c r="C19" s="7" t="str">
        <f>'1014 projects'!Q21</f>
        <v>NSP75</v>
      </c>
      <c r="D19" s="149">
        <v>101848</v>
      </c>
      <c r="E19" s="149">
        <v>101848</v>
      </c>
      <c r="F19" s="149">
        <v>101848</v>
      </c>
      <c r="G19" s="149">
        <v>101848</v>
      </c>
      <c r="H19" s="149">
        <v>101848</v>
      </c>
      <c r="I19" s="149">
        <v>101848</v>
      </c>
      <c r="J19" s="149">
        <v>101848</v>
      </c>
      <c r="K19" s="149">
        <v>101848</v>
      </c>
      <c r="L19" s="149">
        <v>101848</v>
      </c>
      <c r="M19" s="149">
        <v>101848</v>
      </c>
      <c r="N19" s="149">
        <v>101848</v>
      </c>
      <c r="O19" s="149">
        <v>101848</v>
      </c>
      <c r="P19" s="149">
        <v>101848</v>
      </c>
      <c r="Q19" s="149">
        <v>101848</v>
      </c>
      <c r="R19" s="149">
        <v>101848</v>
      </c>
      <c r="S19" s="59">
        <f>'1014 projects'!L21</f>
        <v>670</v>
      </c>
      <c r="T19" s="59">
        <f>'1014 projects'!N21</f>
        <v>1</v>
      </c>
    </row>
    <row r="20" spans="1:21" x14ac:dyDescent="0.3">
      <c r="A20">
        <v>17</v>
      </c>
      <c r="B20" s="50" t="str">
        <f>'1014 projects'!C22</f>
        <v>75085366</v>
      </c>
      <c r="C20" s="7" t="str">
        <f>'1014 projects'!Q22</f>
        <v>NASN21</v>
      </c>
      <c r="D20" s="149">
        <v>19360.030853234235</v>
      </c>
      <c r="E20" s="149">
        <v>19360.030853234235</v>
      </c>
      <c r="F20" s="149">
        <v>19360.030853234235</v>
      </c>
      <c r="G20" s="149">
        <v>19360.030853234235</v>
      </c>
      <c r="H20" s="149">
        <v>19360.030853234235</v>
      </c>
      <c r="I20" s="149">
        <v>19360.030853234235</v>
      </c>
      <c r="J20" s="149">
        <v>19360.030853234235</v>
      </c>
      <c r="K20" s="149">
        <v>19360.030853234235</v>
      </c>
      <c r="L20" s="149">
        <v>19360.030853234235</v>
      </c>
      <c r="M20" s="149">
        <v>19360.030853234235</v>
      </c>
      <c r="N20" s="149">
        <v>19360.030853234235</v>
      </c>
      <c r="O20" s="149">
        <v>19360.030853234235</v>
      </c>
      <c r="P20" s="149">
        <v>19360.030853234235</v>
      </c>
      <c r="Q20" s="149">
        <v>19360.030853234235</v>
      </c>
      <c r="R20" s="149">
        <v>19360.030853234235</v>
      </c>
      <c r="S20" s="59">
        <f>'1014 projects'!L22</f>
        <v>45</v>
      </c>
      <c r="T20" s="59">
        <f>'1014 projects'!N22</f>
        <v>2</v>
      </c>
    </row>
    <row r="21" spans="1:21" x14ac:dyDescent="0.3">
      <c r="A21">
        <v>18</v>
      </c>
      <c r="B21" s="50" t="str">
        <f>'1014 projects'!C23</f>
        <v>75088855</v>
      </c>
      <c r="C21" s="7" t="str">
        <f>'1014 projects'!Q23</f>
        <v>NAST12</v>
      </c>
      <c r="D21" s="149">
        <v>2623.5931571877791</v>
      </c>
      <c r="E21" s="149">
        <v>2623.5931571877791</v>
      </c>
      <c r="F21" s="149">
        <v>2623.5931571877791</v>
      </c>
      <c r="G21" s="149">
        <v>2623.5931571877791</v>
      </c>
      <c r="H21" s="149">
        <v>2623.5931571877791</v>
      </c>
      <c r="I21" s="149">
        <v>2623.5931571877791</v>
      </c>
      <c r="J21" s="149">
        <v>2623.5931571877791</v>
      </c>
      <c r="K21" s="149">
        <v>2623.5931571877791</v>
      </c>
      <c r="L21" s="149">
        <v>2623.5931571877791</v>
      </c>
      <c r="M21" s="149">
        <v>2623.5931571877791</v>
      </c>
      <c r="N21" s="149">
        <v>2623.5931571877791</v>
      </c>
      <c r="O21" s="149">
        <v>2623.5931571877791</v>
      </c>
      <c r="P21" s="149">
        <v>2623.5931571877791</v>
      </c>
      <c r="Q21" s="149">
        <v>2623.5931571877791</v>
      </c>
      <c r="R21" s="149">
        <v>2623.5931571877791</v>
      </c>
      <c r="S21" s="59">
        <f>'1014 projects'!L23</f>
        <v>37</v>
      </c>
      <c r="T21" s="59">
        <f>'1014 projects'!N23</f>
        <v>1</v>
      </c>
    </row>
    <row r="22" spans="1:21" x14ac:dyDescent="0.3">
      <c r="A22">
        <v>19</v>
      </c>
      <c r="B22" s="50" t="str">
        <f>'1014 projects'!C24</f>
        <v>75090071</v>
      </c>
      <c r="C22" s="7" t="str">
        <f>'1014 projects'!Q24</f>
        <v>NEE11</v>
      </c>
      <c r="D22" s="149">
        <v>4904.317501225637</v>
      </c>
      <c r="E22" s="149">
        <v>4904.317501225637</v>
      </c>
      <c r="F22" s="149">
        <v>4904.317501225637</v>
      </c>
      <c r="G22" s="149">
        <v>4904.317501225637</v>
      </c>
      <c r="H22" s="149">
        <v>4904.317501225637</v>
      </c>
      <c r="I22" s="149">
        <v>4904.317501225637</v>
      </c>
      <c r="J22" s="149">
        <v>4904.317501225637</v>
      </c>
      <c r="K22" s="149">
        <v>4904.317501225637</v>
      </c>
      <c r="L22" s="149">
        <v>4904.317501225637</v>
      </c>
      <c r="M22" s="149">
        <v>4904.317501225637</v>
      </c>
      <c r="N22" s="149">
        <v>4904.317501225637</v>
      </c>
      <c r="O22" s="149">
        <v>4904.317501225637</v>
      </c>
      <c r="P22" s="149">
        <v>4904.317501225637</v>
      </c>
      <c r="Q22" s="149">
        <v>4904.317501225637</v>
      </c>
      <c r="R22" s="149">
        <v>4904.317501225637</v>
      </c>
      <c r="S22" s="59">
        <f>'1014 projects'!L24</f>
        <v>33.799999999999997</v>
      </c>
      <c r="T22" s="59">
        <f>'1014 projects'!N24</f>
        <v>1</v>
      </c>
    </row>
    <row r="23" spans="1:21" x14ac:dyDescent="0.3">
      <c r="A23">
        <v>20</v>
      </c>
      <c r="B23" s="50" t="str">
        <f>'1014 projects'!C25</f>
        <v>75094398</v>
      </c>
      <c r="C23" s="7" t="str">
        <f>'1014 projects'!Q25</f>
        <v>NAST12</v>
      </c>
      <c r="D23" s="149">
        <v>2547.1266273119354</v>
      </c>
      <c r="E23" s="149">
        <v>2547.1266273119354</v>
      </c>
      <c r="F23" s="149">
        <v>2547.1266273119354</v>
      </c>
      <c r="G23" s="149">
        <v>2547.1266273119354</v>
      </c>
      <c r="H23" s="149">
        <v>2547.1266273119354</v>
      </c>
      <c r="I23" s="149">
        <v>2547.1266273119354</v>
      </c>
      <c r="J23" s="149">
        <v>2547.1266273119354</v>
      </c>
      <c r="K23" s="149">
        <v>2547.1266273119354</v>
      </c>
      <c r="L23" s="149">
        <v>2547.1266273119354</v>
      </c>
      <c r="M23" s="149">
        <v>2547.1266273119354</v>
      </c>
      <c r="N23" s="149">
        <v>2547.1266273119354</v>
      </c>
      <c r="O23" s="149">
        <v>2547.1266273119354</v>
      </c>
      <c r="P23" s="149">
        <v>2547.1266273119354</v>
      </c>
      <c r="Q23" s="149">
        <v>2547.1266273119354</v>
      </c>
      <c r="R23" s="149">
        <v>2547.1266273119354</v>
      </c>
      <c r="S23" s="59">
        <f>'1014 projects'!L25</f>
        <v>8.8000000000000007</v>
      </c>
      <c r="T23" s="59">
        <f>'1014 projects'!N25</f>
        <v>2</v>
      </c>
    </row>
    <row r="24" spans="1:21" x14ac:dyDescent="0.3">
      <c r="A24">
        <v>21</v>
      </c>
      <c r="B24" s="50" t="str">
        <f>'1014 projects'!C26</f>
        <v>75082753</v>
      </c>
      <c r="C24" s="7" t="str">
        <f>'1014 projects'!Q26</f>
        <v>NEE12</v>
      </c>
      <c r="D24" s="149">
        <v>18285.63408576513</v>
      </c>
      <c r="E24" s="149">
        <v>18285.63408576513</v>
      </c>
      <c r="F24" s="149">
        <v>18285.63408576513</v>
      </c>
      <c r="G24" s="149">
        <v>18285.63408576513</v>
      </c>
      <c r="H24" s="149">
        <v>18285.63408576513</v>
      </c>
      <c r="I24" s="149">
        <v>18285.63408576513</v>
      </c>
      <c r="J24" s="149">
        <v>18285.63408576513</v>
      </c>
      <c r="K24" s="149">
        <v>18285.63408576513</v>
      </c>
      <c r="L24" s="149">
        <v>18285.63408576513</v>
      </c>
      <c r="M24" s="149">
        <v>18285.63408576513</v>
      </c>
      <c r="N24" s="149">
        <v>18285.63408576513</v>
      </c>
      <c r="O24" s="149">
        <v>18285.63408576513</v>
      </c>
      <c r="P24" s="149">
        <v>18285.63408576513</v>
      </c>
      <c r="Q24" s="149">
        <v>18285.63408576513</v>
      </c>
      <c r="R24" s="149">
        <v>18285.63408576513</v>
      </c>
      <c r="S24" s="59">
        <f>'1014 projects'!L26</f>
        <v>75</v>
      </c>
      <c r="T24" s="59">
        <f>'1014 projects'!N26</f>
        <v>1</v>
      </c>
    </row>
    <row r="25" spans="1:21" x14ac:dyDescent="0.3">
      <c r="A25">
        <v>22</v>
      </c>
      <c r="B25" s="50" t="str">
        <f>'1014 projects'!C27</f>
        <v>75079993</v>
      </c>
      <c r="C25" s="7" t="str">
        <f>'1014 projects'!Q27</f>
        <v>NASN21</v>
      </c>
      <c r="D25" s="149">
        <v>22254.638909978963</v>
      </c>
      <c r="E25" s="149">
        <v>22254.638909978963</v>
      </c>
      <c r="F25" s="149">
        <v>22254.638909978963</v>
      </c>
      <c r="G25" s="149">
        <v>22254.638909978963</v>
      </c>
      <c r="H25" s="149">
        <v>22254.638909978963</v>
      </c>
      <c r="I25" s="149">
        <v>22254.638909978963</v>
      </c>
      <c r="J25" s="149">
        <v>22254.638909978963</v>
      </c>
      <c r="K25" s="149">
        <v>22254.638909978963</v>
      </c>
      <c r="L25" s="149">
        <v>22254.638909978963</v>
      </c>
      <c r="M25" s="149">
        <v>22254.638909978963</v>
      </c>
      <c r="N25" s="149">
        <v>22254.638909978963</v>
      </c>
      <c r="O25" s="149">
        <v>22254.638909978963</v>
      </c>
      <c r="P25" s="149">
        <v>22254.638909978963</v>
      </c>
      <c r="Q25" s="149">
        <v>22254.638909978963</v>
      </c>
      <c r="R25" s="149">
        <v>22254.638909978963</v>
      </c>
      <c r="S25" s="59">
        <f>'1014 projects'!L27</f>
        <v>175</v>
      </c>
      <c r="T25" s="59">
        <f>'1014 projects'!N27</f>
        <v>1</v>
      </c>
    </row>
    <row r="26" spans="1:21" x14ac:dyDescent="0.3">
      <c r="A26">
        <v>23</v>
      </c>
      <c r="B26" s="50" t="str">
        <f>'1014 projects'!C28</f>
        <v>75083984</v>
      </c>
      <c r="C26" s="7" t="str">
        <f>'1014 projects'!Q28</f>
        <v>NSP56</v>
      </c>
      <c r="D26" s="149">
        <v>29168.711017832848</v>
      </c>
      <c r="E26" s="149">
        <v>29168.711017832848</v>
      </c>
      <c r="F26" s="149">
        <v>29168.711017832848</v>
      </c>
      <c r="G26" s="149">
        <v>29168.711017832848</v>
      </c>
      <c r="H26" s="149">
        <v>29168.711017832848</v>
      </c>
      <c r="I26" s="149">
        <v>29168.711017832848</v>
      </c>
      <c r="J26" s="149">
        <v>29168.711017832848</v>
      </c>
      <c r="K26" s="149">
        <v>29168.711017832848</v>
      </c>
      <c r="L26" s="149">
        <v>29168.711017832848</v>
      </c>
      <c r="M26" s="149">
        <v>29168.711017832848</v>
      </c>
      <c r="N26" s="149">
        <v>29168.711017832848</v>
      </c>
      <c r="O26" s="149">
        <v>29168.711017832848</v>
      </c>
      <c r="P26" s="149">
        <v>29168.711017832848</v>
      </c>
      <c r="Q26" s="149">
        <v>29168.711017832848</v>
      </c>
      <c r="R26" s="149">
        <v>29168.711017832848</v>
      </c>
      <c r="S26" s="59">
        <f>'1014 projects'!L28</f>
        <v>84.8</v>
      </c>
      <c r="T26" s="59">
        <f>'1014 projects'!N28</f>
        <v>1</v>
      </c>
    </row>
    <row r="27" spans="1:21" x14ac:dyDescent="0.3">
      <c r="A27">
        <v>24</v>
      </c>
      <c r="B27" s="50" t="str">
        <f>'1014 projects'!C29</f>
        <v>75090929</v>
      </c>
      <c r="C27" s="7" t="str">
        <f>'1014 projects'!Q29</f>
        <v>NAST12</v>
      </c>
      <c r="D27" s="149">
        <v>1762.4310512904772</v>
      </c>
      <c r="E27" s="149">
        <v>1762.4310512904772</v>
      </c>
      <c r="F27" s="149">
        <v>1762.4310512904772</v>
      </c>
      <c r="G27" s="149">
        <v>1762.4310512904772</v>
      </c>
      <c r="H27" s="149">
        <v>1762.4310512904772</v>
      </c>
      <c r="I27" s="149">
        <v>1762.4310512904772</v>
      </c>
      <c r="J27" s="149">
        <v>1762.4310512904772</v>
      </c>
      <c r="K27" s="149">
        <v>1762.4310512904772</v>
      </c>
      <c r="L27" s="149">
        <v>1762.4310512904772</v>
      </c>
      <c r="M27" s="149">
        <v>1762.4310512904772</v>
      </c>
      <c r="N27" s="149">
        <v>1762.4310512904772</v>
      </c>
      <c r="O27" s="149">
        <v>1762.4310512904772</v>
      </c>
      <c r="P27" s="149">
        <v>1762.4310512904772</v>
      </c>
      <c r="Q27" s="149">
        <v>1762.4310512904772</v>
      </c>
      <c r="R27" s="149">
        <v>1762.4310512904772</v>
      </c>
      <c r="S27" s="59">
        <f>'1014 projects'!L29</f>
        <v>12.5</v>
      </c>
      <c r="T27" s="59">
        <f>'1014 projects'!N29</f>
        <v>1</v>
      </c>
    </row>
    <row r="28" spans="1:21" x14ac:dyDescent="0.3">
      <c r="A28">
        <v>25</v>
      </c>
      <c r="B28" s="50" t="str">
        <f>'1014 projects'!C30</f>
        <v>75075826</v>
      </c>
      <c r="C28" s="7" t="str">
        <f>'1014 projects'!Q30</f>
        <v>NAST12</v>
      </c>
      <c r="D28" s="149">
        <v>75461.603492697599</v>
      </c>
      <c r="E28" s="149">
        <v>75461.603492697599</v>
      </c>
      <c r="F28" s="149">
        <v>75461.603492697599</v>
      </c>
      <c r="G28" s="149">
        <v>75461.603492697599</v>
      </c>
      <c r="H28" s="149">
        <v>75461.603492697599</v>
      </c>
      <c r="I28" s="149">
        <v>75461.603492697599</v>
      </c>
      <c r="J28" s="149">
        <v>75461.603492697599</v>
      </c>
      <c r="K28" s="149">
        <v>75461.603492697599</v>
      </c>
      <c r="L28" s="149">
        <v>75461.603492697599</v>
      </c>
      <c r="M28" s="149">
        <v>75461.603492697599</v>
      </c>
      <c r="N28" s="149">
        <v>75461.603492697599</v>
      </c>
      <c r="O28" s="149">
        <v>75461.603492697599</v>
      </c>
      <c r="P28" s="149">
        <v>75461.603492697599</v>
      </c>
      <c r="Q28" s="149">
        <v>75461.603492697599</v>
      </c>
      <c r="R28" s="149">
        <v>75461.603492697599</v>
      </c>
      <c r="S28" s="59">
        <f>'1014 projects'!L30</f>
        <v>8.8000000000000007</v>
      </c>
      <c r="T28" s="59">
        <f>'1014 projects'!N30</f>
        <v>1</v>
      </c>
      <c r="U28" s="51"/>
    </row>
    <row r="29" spans="1:21" x14ac:dyDescent="0.3">
      <c r="A29">
        <v>26</v>
      </c>
      <c r="B29" s="50" t="str">
        <f>'1014 projects'!C31</f>
        <v>75079446</v>
      </c>
      <c r="C29" s="7" t="str">
        <f>'1014 projects'!Q31</f>
        <v>NAST12</v>
      </c>
      <c r="D29" s="149">
        <v>2577.2106140146611</v>
      </c>
      <c r="E29" s="149">
        <v>2577.2106140146611</v>
      </c>
      <c r="F29" s="149">
        <v>2577.2106140146611</v>
      </c>
      <c r="G29" s="149">
        <v>2577.2106140146611</v>
      </c>
      <c r="H29" s="149">
        <v>2577.2106140146611</v>
      </c>
      <c r="I29" s="149">
        <v>2577.2106140146611</v>
      </c>
      <c r="J29" s="149">
        <v>2577.2106140146611</v>
      </c>
      <c r="K29" s="149">
        <v>2577.2106140146611</v>
      </c>
      <c r="L29" s="149">
        <v>2577.2106140146611</v>
      </c>
      <c r="M29" s="149">
        <v>2577.2106140146611</v>
      </c>
      <c r="N29" s="149">
        <v>2577.2106140146611</v>
      </c>
      <c r="O29" s="149">
        <v>2577.2106140146611</v>
      </c>
      <c r="P29" s="149">
        <v>2577.2106140146611</v>
      </c>
      <c r="Q29" s="149">
        <v>2577.2106140146611</v>
      </c>
      <c r="R29" s="149">
        <v>2577.2106140146611</v>
      </c>
      <c r="S29" s="59">
        <f>'1014 projects'!L31</f>
        <v>18.8</v>
      </c>
      <c r="T29" s="59">
        <f>'1014 projects'!N31</f>
        <v>1</v>
      </c>
    </row>
    <row r="30" spans="1:21" x14ac:dyDescent="0.3">
      <c r="A30">
        <v>27</v>
      </c>
      <c r="B30" s="50" t="str">
        <f>'1014 projects'!C32</f>
        <v>75091372</v>
      </c>
      <c r="C30" s="7" t="str">
        <f>'1014 projects'!Q32</f>
        <v>NSP75</v>
      </c>
      <c r="D30" s="149">
        <v>50641.332760956015</v>
      </c>
      <c r="E30" s="149">
        <v>50641.332760956015</v>
      </c>
      <c r="F30" s="149">
        <v>50641.332760956015</v>
      </c>
      <c r="G30" s="149">
        <v>50641.332760956015</v>
      </c>
      <c r="H30" s="149">
        <v>50641.332760956015</v>
      </c>
      <c r="I30" s="149">
        <v>50641.332760956015</v>
      </c>
      <c r="J30" s="149">
        <v>50641.332760956015</v>
      </c>
      <c r="K30" s="149">
        <v>50641.332760956015</v>
      </c>
      <c r="L30" s="149">
        <v>50641.332760956015</v>
      </c>
      <c r="M30" s="149">
        <v>50641.332760956015</v>
      </c>
      <c r="N30" s="149">
        <v>50641.332760956015</v>
      </c>
      <c r="O30" s="149">
        <v>50641.332760956015</v>
      </c>
      <c r="P30" s="149">
        <v>50641.332760956015</v>
      </c>
      <c r="Q30" s="149">
        <v>50641.332760956015</v>
      </c>
      <c r="R30" s="149">
        <v>50641.332760956015</v>
      </c>
      <c r="S30" s="59">
        <f>'1014 projects'!L32</f>
        <v>206.3</v>
      </c>
      <c r="T30" s="59">
        <f>'1014 projects'!N32</f>
        <v>1</v>
      </c>
    </row>
    <row r="31" spans="1:21" x14ac:dyDescent="0.3">
      <c r="A31">
        <v>28</v>
      </c>
      <c r="B31" s="50" t="str">
        <f>'1014 projects'!C33</f>
        <v>75084806</v>
      </c>
      <c r="C31" s="7" t="str">
        <f>'1014 projects'!Q33</f>
        <v>NAST12</v>
      </c>
      <c r="D31" s="149">
        <v>2088.3428763801503</v>
      </c>
      <c r="E31" s="149">
        <v>2088.3428763801503</v>
      </c>
      <c r="F31" s="149">
        <v>2088.3428763801503</v>
      </c>
      <c r="G31" s="149">
        <v>2088.3428763801503</v>
      </c>
      <c r="H31" s="149">
        <v>2088.3428763801503</v>
      </c>
      <c r="I31" s="149">
        <v>2088.3428763801503</v>
      </c>
      <c r="J31" s="149">
        <v>2088.3428763801503</v>
      </c>
      <c r="K31" s="149">
        <v>2088.3428763801503</v>
      </c>
      <c r="L31" s="149">
        <v>2088.3428763801503</v>
      </c>
      <c r="M31" s="149">
        <v>2088.3428763801503</v>
      </c>
      <c r="N31" s="149">
        <v>2088.3428763801503</v>
      </c>
      <c r="O31" s="149">
        <v>2088.3428763801503</v>
      </c>
      <c r="P31" s="149">
        <v>2088.3428763801503</v>
      </c>
      <c r="Q31" s="149">
        <v>2088.3428763801503</v>
      </c>
      <c r="R31" s="149">
        <v>2088.3428763801503</v>
      </c>
      <c r="S31" s="59">
        <f>'1014 projects'!L33</f>
        <v>15</v>
      </c>
      <c r="T31" s="59">
        <f>'1014 projects'!N33</f>
        <v>1</v>
      </c>
    </row>
    <row r="32" spans="1:21" x14ac:dyDescent="0.3">
      <c r="A32">
        <v>29</v>
      </c>
      <c r="B32" s="50" t="str">
        <f>'1014 projects'!C34</f>
        <v>75084512</v>
      </c>
      <c r="C32" s="7" t="str">
        <f>'1014 projects'!Q34</f>
        <v>NAST12</v>
      </c>
      <c r="D32" s="149">
        <v>3533.1641749765035</v>
      </c>
      <c r="E32" s="149">
        <v>3533.1641749765035</v>
      </c>
      <c r="F32" s="149">
        <v>3533.1641749765035</v>
      </c>
      <c r="G32" s="149">
        <v>3533.1641749765035</v>
      </c>
      <c r="H32" s="149">
        <v>3533.1641749765035</v>
      </c>
      <c r="I32" s="149">
        <v>3533.1641749765035</v>
      </c>
      <c r="J32" s="149">
        <v>3533.1641749765035</v>
      </c>
      <c r="K32" s="149">
        <v>3533.1641749765035</v>
      </c>
      <c r="L32" s="149">
        <v>3533.1641749765035</v>
      </c>
      <c r="M32" s="149">
        <v>3533.1641749765035</v>
      </c>
      <c r="N32" s="149">
        <v>3533.1641749765035</v>
      </c>
      <c r="O32" s="149">
        <v>3533.1641749765035</v>
      </c>
      <c r="P32" s="149">
        <v>3533.1641749765035</v>
      </c>
      <c r="Q32" s="149">
        <v>3533.1641749765035</v>
      </c>
      <c r="R32" s="149">
        <v>3533.1641749765035</v>
      </c>
      <c r="S32" s="59">
        <f>'1014 projects'!L34</f>
        <v>12.5</v>
      </c>
      <c r="T32" s="59">
        <f>'1014 projects'!N34</f>
        <v>1</v>
      </c>
    </row>
    <row r="33" spans="1:20" x14ac:dyDescent="0.3">
      <c r="A33">
        <v>30</v>
      </c>
      <c r="B33" s="50" t="str">
        <f>'1014 projects'!C35</f>
        <v>75089909</v>
      </c>
      <c r="C33" s="7" t="str">
        <f>'1014 projects'!Q35</f>
        <v>NASN21</v>
      </c>
      <c r="D33" s="149">
        <v>6733.8616716750603</v>
      </c>
      <c r="E33" s="149">
        <v>6733.8616716750603</v>
      </c>
      <c r="F33" s="149">
        <v>6733.8616716750603</v>
      </c>
      <c r="G33" s="149">
        <v>6733.8616716750603</v>
      </c>
      <c r="H33" s="149">
        <v>6733.8616716750603</v>
      </c>
      <c r="I33" s="149">
        <v>6733.8616716750603</v>
      </c>
      <c r="J33" s="149">
        <v>6733.8616716750603</v>
      </c>
      <c r="K33" s="149">
        <v>6733.8616716750603</v>
      </c>
      <c r="L33" s="149">
        <v>6733.8616716750603</v>
      </c>
      <c r="M33" s="149">
        <v>6733.8616716750603</v>
      </c>
      <c r="N33" s="149">
        <v>6733.8616716750603</v>
      </c>
      <c r="O33" s="149">
        <v>6733.8616716750603</v>
      </c>
      <c r="P33" s="149">
        <v>6733.8616716750603</v>
      </c>
      <c r="Q33" s="149">
        <v>6733.8616716750603</v>
      </c>
      <c r="R33" s="149">
        <v>6733.8616716750603</v>
      </c>
      <c r="S33" s="59">
        <f>'1014 projects'!L35</f>
        <v>29.5</v>
      </c>
      <c r="T33" s="59">
        <f>'1014 projects'!N35</f>
        <v>1</v>
      </c>
    </row>
    <row r="34" spans="1:20" x14ac:dyDescent="0.3">
      <c r="A34">
        <v>31</v>
      </c>
      <c r="B34" s="50" t="str">
        <f>'1014 projects'!C36</f>
        <v>75084775</v>
      </c>
      <c r="C34" s="7" t="str">
        <f>'1014 projects'!Q36</f>
        <v>NSP75</v>
      </c>
      <c r="D34" s="149">
        <v>43267.307911924094</v>
      </c>
      <c r="E34" s="149">
        <v>43267.307911924094</v>
      </c>
      <c r="F34" s="149">
        <v>43267.307911924094</v>
      </c>
      <c r="G34" s="149">
        <v>43267.307911924094</v>
      </c>
      <c r="H34" s="149">
        <v>43267.307911924094</v>
      </c>
      <c r="I34" s="149">
        <v>43267.307911924094</v>
      </c>
      <c r="J34" s="149">
        <v>43267.307911924094</v>
      </c>
      <c r="K34" s="149">
        <v>43267.307911924094</v>
      </c>
      <c r="L34" s="149">
        <v>43267.307911924094</v>
      </c>
      <c r="M34" s="149">
        <v>43267.307911924094</v>
      </c>
      <c r="N34" s="149">
        <v>43267.307911924094</v>
      </c>
      <c r="O34" s="149">
        <v>43267.307911924094</v>
      </c>
      <c r="P34" s="149">
        <v>43267.307911924094</v>
      </c>
      <c r="Q34" s="149">
        <v>43267.307911924094</v>
      </c>
      <c r="R34" s="149">
        <v>43267.307911924094</v>
      </c>
      <c r="S34" s="59">
        <f>'1014 projects'!L36</f>
        <v>109.3</v>
      </c>
      <c r="T34" s="59">
        <f>'1014 projects'!N36</f>
        <v>1</v>
      </c>
    </row>
    <row r="35" spans="1:20" x14ac:dyDescent="0.3">
      <c r="A35">
        <v>32</v>
      </c>
      <c r="B35" s="50" t="str">
        <f>'1014 projects'!C37</f>
        <v>75086649</v>
      </c>
      <c r="C35" s="7" t="str">
        <f>'1014 projects'!Q37</f>
        <v>NSP56</v>
      </c>
      <c r="D35" s="149">
        <v>34854.349047763048</v>
      </c>
      <c r="E35" s="149">
        <v>34854.349047763048</v>
      </c>
      <c r="F35" s="149">
        <v>34854.349047763048</v>
      </c>
      <c r="G35" s="149">
        <v>34854.349047763048</v>
      </c>
      <c r="H35" s="149">
        <v>34854.349047763048</v>
      </c>
      <c r="I35" s="149">
        <v>34854.349047763048</v>
      </c>
      <c r="J35" s="149">
        <v>34854.349047763048</v>
      </c>
      <c r="K35" s="149">
        <v>34854.349047763048</v>
      </c>
      <c r="L35" s="149">
        <v>34854.349047763048</v>
      </c>
      <c r="M35" s="149">
        <v>34854.349047763048</v>
      </c>
      <c r="N35" s="149">
        <v>34854.349047763048</v>
      </c>
      <c r="O35" s="149">
        <v>34854.349047763048</v>
      </c>
      <c r="P35" s="149">
        <v>34854.349047763048</v>
      </c>
      <c r="Q35" s="149">
        <v>34854.349047763048</v>
      </c>
      <c r="R35" s="149">
        <v>34854.349047763048</v>
      </c>
      <c r="S35" s="59">
        <f>'1014 projects'!L37</f>
        <v>146.30000000000001</v>
      </c>
      <c r="T35" s="59">
        <f>'1014 projects'!N37</f>
        <v>1</v>
      </c>
    </row>
    <row r="36" spans="1:20" x14ac:dyDescent="0.3">
      <c r="A36">
        <v>33</v>
      </c>
      <c r="B36" s="50" t="str">
        <f>'1014 projects'!C38</f>
        <v>75079264</v>
      </c>
      <c r="C36" s="7" t="str">
        <f>'1014 projects'!Q38</f>
        <v>NSP56</v>
      </c>
      <c r="D36" s="149">
        <v>23634.633532704618</v>
      </c>
      <c r="E36" s="149">
        <v>23634.633532704618</v>
      </c>
      <c r="F36" s="149">
        <v>23634.633532704618</v>
      </c>
      <c r="G36" s="149">
        <v>23634.633532704618</v>
      </c>
      <c r="H36" s="149">
        <v>23634.633532704618</v>
      </c>
      <c r="I36" s="149">
        <v>23634.633532704618</v>
      </c>
      <c r="J36" s="149">
        <v>23634.633532704618</v>
      </c>
      <c r="K36" s="149">
        <v>23634.633532704618</v>
      </c>
      <c r="L36" s="149">
        <v>23634.633532704618</v>
      </c>
      <c r="M36" s="149">
        <v>23634.633532704618</v>
      </c>
      <c r="N36" s="149">
        <v>23634.633532704618</v>
      </c>
      <c r="O36" s="149">
        <v>23634.633532704618</v>
      </c>
      <c r="P36" s="149">
        <v>23634.633532704618</v>
      </c>
      <c r="Q36" s="149">
        <v>23634.633532704618</v>
      </c>
      <c r="R36" s="149">
        <v>23634.633532704618</v>
      </c>
      <c r="S36" s="59">
        <f>'1014 projects'!L38</f>
        <v>162.5</v>
      </c>
      <c r="T36" s="59">
        <f>'1014 projects'!N38</f>
        <v>1</v>
      </c>
    </row>
    <row r="37" spans="1:20" x14ac:dyDescent="0.3">
      <c r="A37">
        <v>34</v>
      </c>
      <c r="B37" s="50" t="str">
        <f>'1014 projects'!C39</f>
        <v>75078492</v>
      </c>
      <c r="C37" s="7" t="str">
        <f>'1014 projects'!Q39</f>
        <v>NASN21</v>
      </c>
      <c r="D37" s="149">
        <v>10007</v>
      </c>
      <c r="E37" s="149">
        <v>10007</v>
      </c>
      <c r="F37" s="149">
        <v>10007</v>
      </c>
      <c r="G37" s="149">
        <v>10007</v>
      </c>
      <c r="H37" s="149">
        <v>10007</v>
      </c>
      <c r="I37" s="149">
        <v>10007</v>
      </c>
      <c r="J37" s="149">
        <v>10007</v>
      </c>
      <c r="K37" s="149">
        <v>10007</v>
      </c>
      <c r="L37" s="149">
        <v>10007</v>
      </c>
      <c r="M37" s="149">
        <v>10007</v>
      </c>
      <c r="N37" s="149">
        <v>10007</v>
      </c>
      <c r="O37" s="149">
        <v>10007</v>
      </c>
      <c r="P37" s="149">
        <v>10007</v>
      </c>
      <c r="Q37" s="149">
        <v>10007</v>
      </c>
      <c r="R37" s="149">
        <v>10007</v>
      </c>
      <c r="S37" s="59">
        <f>'1014 projects'!L39</f>
        <v>65</v>
      </c>
      <c r="T37" s="59">
        <f>'1014 projects'!N39</f>
        <v>1</v>
      </c>
    </row>
    <row r="38" spans="1:20" x14ac:dyDescent="0.3">
      <c r="A38">
        <v>35</v>
      </c>
      <c r="B38" s="50" t="str">
        <f>'1014 projects'!C40</f>
        <v>75080863</v>
      </c>
      <c r="C38" s="7" t="str">
        <f>'1014 projects'!Q40</f>
        <v>NSP75</v>
      </c>
      <c r="D38" s="149">
        <v>58230.805718736985</v>
      </c>
      <c r="E38" s="149">
        <v>58230.805718736985</v>
      </c>
      <c r="F38" s="149">
        <v>58230.805718736985</v>
      </c>
      <c r="G38" s="149">
        <v>58230.805718736985</v>
      </c>
      <c r="H38" s="149">
        <v>58230.805718736985</v>
      </c>
      <c r="I38" s="149">
        <v>58230.805718736985</v>
      </c>
      <c r="J38" s="149">
        <v>58230.805718736985</v>
      </c>
      <c r="K38" s="149">
        <v>58230.805718736985</v>
      </c>
      <c r="L38" s="149">
        <v>58230.805718736985</v>
      </c>
      <c r="M38" s="149">
        <v>58230.805718736985</v>
      </c>
      <c r="N38" s="149">
        <v>58230.805718736985</v>
      </c>
      <c r="O38" s="149">
        <v>58230.805718736985</v>
      </c>
      <c r="P38" s="149">
        <v>58230.805718736985</v>
      </c>
      <c r="Q38" s="149">
        <v>58230.805718736985</v>
      </c>
      <c r="R38" s="149">
        <v>58230.805718736985</v>
      </c>
      <c r="S38" s="59">
        <f>'1014 projects'!L40</f>
        <v>346.3</v>
      </c>
      <c r="T38" s="59">
        <f>'1014 projects'!N40</f>
        <v>1</v>
      </c>
    </row>
    <row r="39" spans="1:20" x14ac:dyDescent="0.3">
      <c r="A39">
        <v>36</v>
      </c>
      <c r="B39" s="50" t="str">
        <f>'1014 projects'!C41</f>
        <v>75077056</v>
      </c>
      <c r="C39" s="7" t="str">
        <f>'1014 projects'!Q41</f>
        <v>NEE12</v>
      </c>
      <c r="D39" s="149">
        <v>16998.362550870021</v>
      </c>
      <c r="E39" s="149">
        <v>16998.362550870021</v>
      </c>
      <c r="F39" s="149">
        <v>16998.362550870021</v>
      </c>
      <c r="G39" s="149">
        <v>16998.362550870021</v>
      </c>
      <c r="H39" s="149">
        <v>16998.362550870021</v>
      </c>
      <c r="I39" s="149">
        <v>16998.362550870021</v>
      </c>
      <c r="J39" s="149">
        <v>16998.362550870021</v>
      </c>
      <c r="K39" s="149">
        <v>16998.362550870021</v>
      </c>
      <c r="L39" s="149">
        <v>16998.362550870021</v>
      </c>
      <c r="M39" s="149">
        <v>16998.362550870021</v>
      </c>
      <c r="N39" s="149">
        <v>16998.362550870021</v>
      </c>
      <c r="O39" s="149">
        <v>16998.362550870021</v>
      </c>
      <c r="P39" s="149">
        <v>16998.362550870021</v>
      </c>
      <c r="Q39" s="149">
        <v>16998.362550870021</v>
      </c>
      <c r="R39" s="149">
        <v>16998.362550870021</v>
      </c>
      <c r="S39" s="59">
        <f>'1014 projects'!L41</f>
        <v>175</v>
      </c>
      <c r="T39" s="59">
        <f>'1014 projects'!N41</f>
        <v>1</v>
      </c>
    </row>
    <row r="40" spans="1:20" x14ac:dyDescent="0.3">
      <c r="A40">
        <v>37</v>
      </c>
      <c r="B40" s="50" t="str">
        <f>'1014 projects'!C42</f>
        <v>75096058</v>
      </c>
      <c r="C40" s="7" t="str">
        <f>'1014 projects'!Q42</f>
        <v>NAST12</v>
      </c>
      <c r="D40" s="149">
        <v>1346.989227028806</v>
      </c>
      <c r="E40" s="149">
        <v>1346.989227028806</v>
      </c>
      <c r="F40" s="149">
        <v>1346.989227028806</v>
      </c>
      <c r="G40" s="149">
        <v>1346.989227028806</v>
      </c>
      <c r="H40" s="149">
        <v>1346.989227028806</v>
      </c>
      <c r="I40" s="149">
        <v>1346.989227028806</v>
      </c>
      <c r="J40" s="149">
        <v>1346.989227028806</v>
      </c>
      <c r="K40" s="149">
        <v>1346.989227028806</v>
      </c>
      <c r="L40" s="149">
        <v>1346.989227028806</v>
      </c>
      <c r="M40" s="149">
        <v>1346.989227028806</v>
      </c>
      <c r="N40" s="149">
        <v>1346.989227028806</v>
      </c>
      <c r="O40" s="149">
        <v>1346.989227028806</v>
      </c>
      <c r="P40" s="149">
        <v>1346.989227028806</v>
      </c>
      <c r="Q40" s="149">
        <v>1346.989227028806</v>
      </c>
      <c r="R40" s="149">
        <v>1346.989227028806</v>
      </c>
      <c r="S40" s="59">
        <f>'1014 projects'!L42</f>
        <v>18.8</v>
      </c>
      <c r="T40" s="59">
        <f>'1014 projects'!N42</f>
        <v>1</v>
      </c>
    </row>
    <row r="41" spans="1:20" x14ac:dyDescent="0.3">
      <c r="A41">
        <v>38</v>
      </c>
      <c r="B41" s="50" t="str">
        <f>'1014 projects'!C43</f>
        <v>75043272</v>
      </c>
      <c r="C41" s="7" t="str">
        <f>'1014 projects'!Q43</f>
        <v>NEE21</v>
      </c>
      <c r="D41" s="149">
        <v>1259.2920348619959</v>
      </c>
      <c r="E41" s="149">
        <v>1259.2920348619959</v>
      </c>
      <c r="F41" s="149">
        <v>1259.2920348619959</v>
      </c>
      <c r="G41" s="149">
        <v>1259.2920348619959</v>
      </c>
      <c r="H41" s="149">
        <v>1259.2920348619959</v>
      </c>
      <c r="I41" s="149">
        <v>1259.2920348619959</v>
      </c>
      <c r="J41" s="149">
        <v>1259.2920348619959</v>
      </c>
      <c r="K41" s="149">
        <v>1259.2920348619959</v>
      </c>
      <c r="L41" s="149">
        <v>1259.2920348619959</v>
      </c>
      <c r="M41" s="149">
        <v>1259.2920348619959</v>
      </c>
      <c r="N41" s="149">
        <v>1259.2920348619959</v>
      </c>
      <c r="O41" s="149">
        <v>1259.2920348619959</v>
      </c>
      <c r="P41" s="149">
        <v>1259.2920348619959</v>
      </c>
      <c r="Q41" s="149">
        <v>1259.2920348619959</v>
      </c>
      <c r="R41" s="149">
        <v>1259.2920348619959</v>
      </c>
      <c r="S41" s="59">
        <f>'1014 projects'!L43</f>
        <v>4.0999999999999996</v>
      </c>
      <c r="T41" s="59">
        <f>'1014 projects'!N43</f>
        <v>1</v>
      </c>
    </row>
    <row r="42" spans="1:20" x14ac:dyDescent="0.3">
      <c r="A42">
        <v>39</v>
      </c>
      <c r="B42" s="50" t="str">
        <f>'1014 projects'!C44</f>
        <v>75090268</v>
      </c>
      <c r="C42" s="7" t="str">
        <f>'1014 projects'!Q44</f>
        <v>NAST12</v>
      </c>
      <c r="D42" s="149">
        <v>2240.6858656600507</v>
      </c>
      <c r="E42" s="149">
        <v>2240.6858656600507</v>
      </c>
      <c r="F42" s="149">
        <v>2240.6858656600507</v>
      </c>
      <c r="G42" s="149">
        <v>2240.6858656600507</v>
      </c>
      <c r="H42" s="149">
        <v>2240.6858656600507</v>
      </c>
      <c r="I42" s="149">
        <v>2240.6858656600507</v>
      </c>
      <c r="J42" s="149">
        <v>2240.6858656600507</v>
      </c>
      <c r="K42" s="149">
        <v>2240.6858656600507</v>
      </c>
      <c r="L42" s="149">
        <v>2240.6858656600507</v>
      </c>
      <c r="M42" s="149">
        <v>2240.6858656600507</v>
      </c>
      <c r="N42" s="149">
        <v>2240.6858656600507</v>
      </c>
      <c r="O42" s="149">
        <v>2240.6858656600507</v>
      </c>
      <c r="P42" s="149">
        <v>2240.6858656600507</v>
      </c>
      <c r="Q42" s="149">
        <v>2240.6858656600507</v>
      </c>
      <c r="R42" s="149">
        <v>2240.6858656600507</v>
      </c>
      <c r="S42" s="59">
        <f>'1014 projects'!L44</f>
        <v>59.5</v>
      </c>
      <c r="T42" s="59">
        <f>'1014 projects'!N44</f>
        <v>1</v>
      </c>
    </row>
    <row r="43" spans="1:20" x14ac:dyDescent="0.3">
      <c r="A43">
        <v>40</v>
      </c>
      <c r="B43" s="50" t="str">
        <f>'1014 projects'!C45</f>
        <v>75060522</v>
      </c>
      <c r="C43" s="7" t="str">
        <f>'1014 projects'!Q45</f>
        <v>NSP56</v>
      </c>
      <c r="D43" s="211">
        <v>27447.567043170984</v>
      </c>
      <c r="E43" s="211">
        <v>27447.567043170984</v>
      </c>
      <c r="F43" s="211">
        <v>27447.567043170984</v>
      </c>
      <c r="G43" s="211">
        <v>27447.567043170984</v>
      </c>
      <c r="H43" s="211">
        <v>27447.567043170984</v>
      </c>
      <c r="I43" s="211">
        <v>27447.567043170984</v>
      </c>
      <c r="J43" s="211">
        <v>27447.567043170984</v>
      </c>
      <c r="K43" s="211">
        <v>27447.567043170984</v>
      </c>
      <c r="L43" s="211">
        <v>27447.567043170984</v>
      </c>
      <c r="M43" s="211">
        <v>27447.567043170984</v>
      </c>
      <c r="N43" s="211">
        <v>27447.567043170984</v>
      </c>
      <c r="O43" s="211">
        <v>27447.567043170984</v>
      </c>
      <c r="P43" s="211">
        <v>27447.567043170984</v>
      </c>
      <c r="Q43" s="211">
        <v>27447.567043170984</v>
      </c>
      <c r="R43" s="211">
        <v>27447.567043170984</v>
      </c>
      <c r="S43" s="59">
        <f>'1014 projects'!L45</f>
        <v>196</v>
      </c>
      <c r="T43" s="59">
        <f>'1014 projects'!N45</f>
        <v>1</v>
      </c>
    </row>
    <row r="44" spans="1:20" x14ac:dyDescent="0.3">
      <c r="A44">
        <v>41</v>
      </c>
      <c r="B44" s="50" t="str">
        <f>'1014 projects'!C46</f>
        <v>75093476</v>
      </c>
      <c r="C44" s="7" t="str">
        <f>'1014 projects'!Q46</f>
        <v>NASN21</v>
      </c>
      <c r="D44" s="149">
        <v>17065.447008691521</v>
      </c>
      <c r="E44" s="149">
        <v>17065.447008691521</v>
      </c>
      <c r="F44" s="149">
        <v>17065.447008691521</v>
      </c>
      <c r="G44" s="149">
        <v>17065.447008691521</v>
      </c>
      <c r="H44" s="149">
        <v>17065.447008691521</v>
      </c>
      <c r="I44" s="149">
        <v>17065.447008691521</v>
      </c>
      <c r="J44" s="149">
        <v>17065.447008691521</v>
      </c>
      <c r="K44" s="149">
        <v>17065.447008691521</v>
      </c>
      <c r="L44" s="149">
        <v>17065.447008691521</v>
      </c>
      <c r="M44" s="149">
        <v>17065.447008691521</v>
      </c>
      <c r="N44" s="149">
        <v>17065.447008691521</v>
      </c>
      <c r="O44" s="149">
        <v>17065.447008691521</v>
      </c>
      <c r="P44" s="149">
        <v>17065.447008691521</v>
      </c>
      <c r="Q44" s="149">
        <v>17065.447008691521</v>
      </c>
      <c r="R44" s="149">
        <v>17065.447008691521</v>
      </c>
      <c r="S44" s="59">
        <f>'1014 projects'!L46</f>
        <v>40</v>
      </c>
      <c r="T44" s="59">
        <f>'1014 projects'!N46</f>
        <v>1</v>
      </c>
    </row>
    <row r="45" spans="1:20" x14ac:dyDescent="0.3">
      <c r="A45">
        <v>42</v>
      </c>
      <c r="B45" s="50" t="str">
        <f>'1014 projects'!C47</f>
        <v>75088155</v>
      </c>
      <c r="C45" s="7" t="str">
        <f>'1014 projects'!Q47</f>
        <v>NSP75</v>
      </c>
      <c r="D45" s="149">
        <v>18350.145547252825</v>
      </c>
      <c r="E45" s="149">
        <v>18350.145547252825</v>
      </c>
      <c r="F45" s="149">
        <v>18350.145547252825</v>
      </c>
      <c r="G45" s="149">
        <v>18350.145547252825</v>
      </c>
      <c r="H45" s="149">
        <v>18350.145547252825</v>
      </c>
      <c r="I45" s="149">
        <v>18350.145547252825</v>
      </c>
      <c r="J45" s="149">
        <v>18350.145547252825</v>
      </c>
      <c r="K45" s="149">
        <v>18350.145547252825</v>
      </c>
      <c r="L45" s="149">
        <v>18350.145547252825</v>
      </c>
      <c r="M45" s="149">
        <v>18350.145547252825</v>
      </c>
      <c r="N45" s="149">
        <v>18350.145547252825</v>
      </c>
      <c r="O45" s="149">
        <v>18350.145547252825</v>
      </c>
      <c r="P45" s="149">
        <v>18350.145547252825</v>
      </c>
      <c r="Q45" s="149">
        <v>18350.145547252825</v>
      </c>
      <c r="R45" s="149">
        <v>18350.145547252825</v>
      </c>
      <c r="S45" s="59">
        <f>'1014 projects'!L47</f>
        <v>83.8</v>
      </c>
      <c r="T45" s="59">
        <f>'1014 projects'!N47</f>
        <v>1</v>
      </c>
    </row>
    <row r="46" spans="1:20" x14ac:dyDescent="0.3">
      <c r="A46">
        <v>43</v>
      </c>
      <c r="B46" s="50" t="str">
        <f>'1014 projects'!C48</f>
        <v>75089798</v>
      </c>
      <c r="C46" s="7" t="str">
        <f>'1014 projects'!Q48</f>
        <v>NASN21</v>
      </c>
      <c r="D46" s="149">
        <v>13066.714964787256</v>
      </c>
      <c r="E46" s="149">
        <v>13066.714964787256</v>
      </c>
      <c r="F46" s="149">
        <v>13066.714964787256</v>
      </c>
      <c r="G46" s="149">
        <v>13066.714964787256</v>
      </c>
      <c r="H46" s="149">
        <v>13066.714964787256</v>
      </c>
      <c r="I46" s="149">
        <v>13066.714964787256</v>
      </c>
      <c r="J46" s="149">
        <v>13066.714964787256</v>
      </c>
      <c r="K46" s="149">
        <v>13066.714964787256</v>
      </c>
      <c r="L46" s="149">
        <v>13066.714964787256</v>
      </c>
      <c r="M46" s="149">
        <v>13066.714964787256</v>
      </c>
      <c r="N46" s="149">
        <v>13066.714964787256</v>
      </c>
      <c r="O46" s="149">
        <v>13066.714964787256</v>
      </c>
      <c r="P46" s="149">
        <v>13066.714964787256</v>
      </c>
      <c r="Q46" s="149">
        <v>13066.714964787256</v>
      </c>
      <c r="R46" s="149">
        <v>13066.714964787256</v>
      </c>
      <c r="S46" s="59">
        <f>'1014 projects'!L48</f>
        <v>71.3</v>
      </c>
      <c r="T46" s="59">
        <f>'1014 projects'!N48</f>
        <v>1</v>
      </c>
    </row>
    <row r="47" spans="1:20" x14ac:dyDescent="0.3">
      <c r="A47">
        <v>44</v>
      </c>
      <c r="B47" s="50">
        <f>'1014 projects'!C49</f>
        <v>0</v>
      </c>
      <c r="C47" s="7">
        <f>'1014 projects'!Q49</f>
        <v>0</v>
      </c>
      <c r="D47" s="149">
        <v>2386.9094287826865</v>
      </c>
      <c r="E47" s="149">
        <v>2386.9094287826865</v>
      </c>
      <c r="F47" s="149">
        <v>2386.9094287826865</v>
      </c>
      <c r="G47" s="149">
        <v>2386.9094287826865</v>
      </c>
      <c r="H47" s="149">
        <v>2386.9094287826865</v>
      </c>
      <c r="I47" s="149">
        <v>2386.9094287826865</v>
      </c>
      <c r="J47" s="149">
        <v>2386.9094287826865</v>
      </c>
      <c r="K47" s="149">
        <v>2386.9094287826865</v>
      </c>
      <c r="L47" s="149">
        <v>2386.9094287826865</v>
      </c>
      <c r="M47" s="149">
        <v>2386.9094287826865</v>
      </c>
      <c r="N47" s="149">
        <v>2386.9094287826865</v>
      </c>
      <c r="O47" s="149">
        <v>2386.9094287826865</v>
      </c>
      <c r="P47" s="149">
        <v>2386.9094287826865</v>
      </c>
      <c r="Q47" s="149">
        <v>2386.9094287826865</v>
      </c>
      <c r="R47" s="149">
        <v>2386.9094287826865</v>
      </c>
      <c r="S47" s="59">
        <f>'1014 projects'!L49</f>
        <v>0</v>
      </c>
      <c r="T47" s="59">
        <f>'1014 projects'!N49</f>
        <v>9</v>
      </c>
    </row>
    <row r="48" spans="1:20" x14ac:dyDescent="0.3">
      <c r="A48">
        <v>45</v>
      </c>
      <c r="B48" s="50" t="str">
        <f>'1014 projects'!C50</f>
        <v>75081423</v>
      </c>
      <c r="C48" s="7" t="str">
        <f>'1014 projects'!Q50</f>
        <v>NASN21</v>
      </c>
      <c r="D48" s="149">
        <v>16087.116148445877</v>
      </c>
      <c r="E48" s="149">
        <v>16087.116148445877</v>
      </c>
      <c r="F48" s="149">
        <v>16087.116148445877</v>
      </c>
      <c r="G48" s="149">
        <v>16087.116148445877</v>
      </c>
      <c r="H48" s="149">
        <v>16087.116148445877</v>
      </c>
      <c r="I48" s="149">
        <v>16087.116148445877</v>
      </c>
      <c r="J48" s="149">
        <v>16087.116148445877</v>
      </c>
      <c r="K48" s="149">
        <v>16087.116148445877</v>
      </c>
      <c r="L48" s="149">
        <v>16087.116148445877</v>
      </c>
      <c r="M48" s="149">
        <v>16087.116148445877</v>
      </c>
      <c r="N48" s="149">
        <v>16087.116148445877</v>
      </c>
      <c r="O48" s="149">
        <v>16087.116148445877</v>
      </c>
      <c r="P48" s="149">
        <v>16087.116148445877</v>
      </c>
      <c r="Q48" s="149">
        <v>16087.116148445877</v>
      </c>
      <c r="R48" s="149">
        <v>16087.116148445877</v>
      </c>
      <c r="S48" s="59">
        <f>'1014 projects'!L50</f>
        <v>135</v>
      </c>
      <c r="T48" s="59">
        <f>'1014 projects'!N50</f>
        <v>1</v>
      </c>
    </row>
    <row r="49" spans="1:20" x14ac:dyDescent="0.3">
      <c r="A49">
        <v>46</v>
      </c>
      <c r="B49" s="50">
        <f>'1014 projects'!C51</f>
        <v>0</v>
      </c>
      <c r="C49" s="7">
        <f>'1014 projects'!Q51</f>
        <v>0</v>
      </c>
      <c r="D49" s="149">
        <v>6017.5622999528041</v>
      </c>
      <c r="E49" s="149">
        <v>6017.5622999528041</v>
      </c>
      <c r="F49" s="149">
        <v>6017.5622999528041</v>
      </c>
      <c r="G49" s="149">
        <v>6017.5622999528041</v>
      </c>
      <c r="H49" s="149">
        <v>6017.5622999528041</v>
      </c>
      <c r="I49" s="149">
        <v>6017.5622999528041</v>
      </c>
      <c r="J49" s="149">
        <v>6017.5622999528041</v>
      </c>
      <c r="K49" s="149">
        <v>6017.5622999528041</v>
      </c>
      <c r="L49" s="149">
        <v>6017.5622999528041</v>
      </c>
      <c r="M49" s="149">
        <v>6017.5622999528041</v>
      </c>
      <c r="N49" s="149">
        <v>6017.5622999528041</v>
      </c>
      <c r="O49" s="149">
        <v>6017.5622999528041</v>
      </c>
      <c r="P49" s="149">
        <v>6017.5622999528041</v>
      </c>
      <c r="Q49" s="149">
        <v>6017.5622999528041</v>
      </c>
      <c r="R49" s="149">
        <v>6017.5622999528041</v>
      </c>
      <c r="S49" s="59">
        <f>'1014 projects'!L51</f>
        <v>0</v>
      </c>
      <c r="T49" s="59">
        <f>'1014 projects'!N51</f>
        <v>0</v>
      </c>
    </row>
    <row r="50" spans="1:20" x14ac:dyDescent="0.3">
      <c r="A50">
        <v>47</v>
      </c>
      <c r="B50" s="50" t="str">
        <f>'1014 projects'!C52</f>
        <v>75078358</v>
      </c>
      <c r="C50" s="7" t="str">
        <f>'1014 projects'!Q52</f>
        <v>NASN21</v>
      </c>
      <c r="D50" s="149">
        <v>18739.453139763205</v>
      </c>
      <c r="E50" s="149">
        <v>18739.453139763205</v>
      </c>
      <c r="F50" s="149">
        <v>18739.453139763205</v>
      </c>
      <c r="G50" s="149">
        <v>18739.453139763205</v>
      </c>
      <c r="H50" s="149">
        <v>18739.453139763205</v>
      </c>
      <c r="I50" s="149">
        <v>18739.453139763205</v>
      </c>
      <c r="J50" s="149">
        <v>18739.453139763205</v>
      </c>
      <c r="K50" s="149">
        <v>18739.453139763205</v>
      </c>
      <c r="L50" s="149">
        <v>18739.453139763205</v>
      </c>
      <c r="M50" s="149">
        <v>18739.453139763205</v>
      </c>
      <c r="N50" s="149">
        <v>18739.453139763205</v>
      </c>
      <c r="O50" s="149">
        <v>18739.453139763205</v>
      </c>
      <c r="P50" s="149">
        <v>18739.453139763205</v>
      </c>
      <c r="Q50" s="149">
        <v>18739.453139763205</v>
      </c>
      <c r="R50" s="149">
        <v>18739.453139763205</v>
      </c>
      <c r="S50" s="59">
        <f>'1014 projects'!L52</f>
        <v>102.5</v>
      </c>
      <c r="T50" s="59">
        <f>'1014 projects'!N52</f>
        <v>1</v>
      </c>
    </row>
    <row r="51" spans="1:20" x14ac:dyDescent="0.3">
      <c r="A51">
        <v>48</v>
      </c>
      <c r="B51" s="50" t="str">
        <f>'1014 projects'!C53</f>
        <v>75074655</v>
      </c>
      <c r="C51" s="7" t="str">
        <f>'1014 projects'!Q53</f>
        <v>NSP75</v>
      </c>
      <c r="D51" s="149">
        <v>37329.930356814533</v>
      </c>
      <c r="E51" s="149">
        <v>37329.930356814533</v>
      </c>
      <c r="F51" s="149">
        <v>37329.930356814533</v>
      </c>
      <c r="G51" s="149">
        <v>37329.930356814533</v>
      </c>
      <c r="H51" s="149">
        <v>37329.930356814533</v>
      </c>
      <c r="I51" s="149">
        <v>37329.930356814533</v>
      </c>
      <c r="J51" s="149">
        <v>37329.930356814533</v>
      </c>
      <c r="K51" s="149">
        <v>37329.930356814533</v>
      </c>
      <c r="L51" s="149">
        <v>37329.930356814533</v>
      </c>
      <c r="M51" s="149">
        <v>37329.930356814533</v>
      </c>
      <c r="N51" s="149">
        <v>37329.930356814533</v>
      </c>
      <c r="O51" s="149">
        <v>37329.930356814533</v>
      </c>
      <c r="P51" s="149">
        <v>37329.930356814533</v>
      </c>
      <c r="Q51" s="149">
        <v>37329.930356814533</v>
      </c>
      <c r="R51" s="149">
        <v>37329.930356814533</v>
      </c>
      <c r="S51" s="59">
        <f>'1014 projects'!L53</f>
        <v>207.5</v>
      </c>
      <c r="T51" s="59">
        <f>'1014 projects'!N53</f>
        <v>1</v>
      </c>
    </row>
    <row r="52" spans="1:20" x14ac:dyDescent="0.3">
      <c r="A52">
        <v>49</v>
      </c>
      <c r="B52" s="50" t="str">
        <f>'1014 projects'!C54</f>
        <v>75081130</v>
      </c>
      <c r="C52" s="7" t="str">
        <f>'1014 projects'!Q54</f>
        <v>NAST12</v>
      </c>
      <c r="D52" s="149">
        <v>4818.8363838372297</v>
      </c>
      <c r="E52" s="149">
        <v>4818.8363838372297</v>
      </c>
      <c r="F52" s="149">
        <v>4818.8363838372297</v>
      </c>
      <c r="G52" s="149">
        <v>4818.8363838372297</v>
      </c>
      <c r="H52" s="149">
        <v>4818.8363838372297</v>
      </c>
      <c r="I52" s="149">
        <v>4818.8363838372297</v>
      </c>
      <c r="J52" s="149">
        <v>4818.8363838372297</v>
      </c>
      <c r="K52" s="149">
        <v>4818.8363838372297</v>
      </c>
      <c r="L52" s="149">
        <v>4818.8363838372297</v>
      </c>
      <c r="M52" s="149">
        <v>4818.8363838372297</v>
      </c>
      <c r="N52" s="149">
        <v>4818.8363838372297</v>
      </c>
      <c r="O52" s="149">
        <v>4818.8363838372297</v>
      </c>
      <c r="P52" s="149">
        <v>4818.8363838372297</v>
      </c>
      <c r="Q52" s="149">
        <v>4818.8363838372297</v>
      </c>
      <c r="R52" s="149">
        <v>4818.8363838372297</v>
      </c>
      <c r="S52" s="59">
        <f>'1014 projects'!L54</f>
        <v>60</v>
      </c>
      <c r="T52" s="59">
        <f>'1014 projects'!N54</f>
        <v>1</v>
      </c>
    </row>
    <row r="53" spans="1:20" x14ac:dyDescent="0.3">
      <c r="A53">
        <v>50</v>
      </c>
      <c r="B53" s="50" t="str">
        <f>'1014 projects'!C55</f>
        <v>75085164</v>
      </c>
      <c r="C53" s="7" t="str">
        <f>'1014 projects'!Q55</f>
        <v>NASN21</v>
      </c>
      <c r="D53" s="149">
        <v>5770.463764691307</v>
      </c>
      <c r="E53" s="149">
        <v>5770.463764691307</v>
      </c>
      <c r="F53" s="149">
        <v>5770.463764691307</v>
      </c>
      <c r="G53" s="149">
        <v>5770.463764691307</v>
      </c>
      <c r="H53" s="149">
        <v>5770.463764691307</v>
      </c>
      <c r="I53" s="149">
        <v>5770.463764691307</v>
      </c>
      <c r="J53" s="149">
        <v>5770.463764691307</v>
      </c>
      <c r="K53" s="149">
        <v>5770.463764691307</v>
      </c>
      <c r="L53" s="149">
        <v>5770.463764691307</v>
      </c>
      <c r="M53" s="149">
        <v>5770.463764691307</v>
      </c>
      <c r="N53" s="149">
        <v>5770.463764691307</v>
      </c>
      <c r="O53" s="149">
        <v>5770.463764691307</v>
      </c>
      <c r="P53" s="149">
        <v>5770.463764691307</v>
      </c>
      <c r="Q53" s="149">
        <v>5770.463764691307</v>
      </c>
      <c r="R53" s="149">
        <v>5770.463764691307</v>
      </c>
      <c r="S53" s="59">
        <f>'1014 projects'!L55</f>
        <v>64</v>
      </c>
      <c r="T53" s="59">
        <f>'1014 projects'!N55</f>
        <v>1</v>
      </c>
    </row>
    <row r="55" spans="1:20" x14ac:dyDescent="0.3">
      <c r="A55" s="5" t="s">
        <v>99</v>
      </c>
      <c r="G55" s="138" t="s">
        <v>187</v>
      </c>
    </row>
    <row r="56" spans="1:20" ht="29.35" x14ac:dyDescent="0.3">
      <c r="A56" s="5" t="s">
        <v>51</v>
      </c>
      <c r="B56" s="58" t="s">
        <v>0</v>
      </c>
      <c r="C56" s="58" t="s">
        <v>29</v>
      </c>
      <c r="D56" s="36" t="str">
        <f>D$3</f>
        <v>2023-24</v>
      </c>
      <c r="E56" s="36" t="str">
        <f t="shared" ref="E56:R56" si="0">E$3</f>
        <v>2024-25</v>
      </c>
      <c r="F56" s="36" t="str">
        <f t="shared" si="0"/>
        <v>2025-26</v>
      </c>
      <c r="G56" s="36" t="str">
        <f t="shared" si="0"/>
        <v>2026-27</v>
      </c>
      <c r="H56" s="36" t="str">
        <f t="shared" si="0"/>
        <v>2027-28</v>
      </c>
      <c r="I56" s="36" t="str">
        <f t="shared" si="0"/>
        <v>2028-29</v>
      </c>
      <c r="J56" s="36" t="str">
        <f t="shared" si="0"/>
        <v>2029-30</v>
      </c>
      <c r="K56" s="36" t="str">
        <f t="shared" si="0"/>
        <v>2030-31</v>
      </c>
      <c r="L56" s="36" t="str">
        <f t="shared" si="0"/>
        <v>2031-32</v>
      </c>
      <c r="M56" s="36" t="str">
        <f t="shared" si="0"/>
        <v>2032-33</v>
      </c>
      <c r="N56" s="36" t="str">
        <f t="shared" si="0"/>
        <v>2033-34</v>
      </c>
      <c r="O56" s="36" t="str">
        <f t="shared" si="0"/>
        <v>2034-35</v>
      </c>
      <c r="P56" s="36" t="str">
        <f t="shared" si="0"/>
        <v>2035-36</v>
      </c>
      <c r="Q56" s="36" t="str">
        <f t="shared" si="0"/>
        <v>2036-37</v>
      </c>
      <c r="R56" s="36" t="str">
        <f t="shared" si="0"/>
        <v>2037-38</v>
      </c>
    </row>
    <row r="57" spans="1:20" x14ac:dyDescent="0.3">
      <c r="A57">
        <v>1</v>
      </c>
      <c r="B57" s="50" t="str">
        <f>B4</f>
        <v>75090096</v>
      </c>
      <c r="C57" s="7">
        <f>'1014 projects'!X6</f>
        <v>15</v>
      </c>
      <c r="D57" s="148">
        <v>1</v>
      </c>
      <c r="E57" s="148">
        <v>1</v>
      </c>
      <c r="F57" s="148">
        <v>1</v>
      </c>
      <c r="G57" s="148">
        <v>1</v>
      </c>
      <c r="H57" s="148">
        <v>1</v>
      </c>
      <c r="I57" s="21">
        <v>1</v>
      </c>
      <c r="J57" s="21">
        <v>1</v>
      </c>
      <c r="K57" s="21">
        <v>1</v>
      </c>
      <c r="L57" s="21">
        <v>1</v>
      </c>
      <c r="M57" s="21">
        <v>1</v>
      </c>
      <c r="N57" s="21">
        <v>1</v>
      </c>
      <c r="O57" s="21">
        <v>1</v>
      </c>
      <c r="P57" s="21">
        <v>1</v>
      </c>
      <c r="Q57" s="21">
        <v>1</v>
      </c>
      <c r="R57" s="21">
        <v>1</v>
      </c>
    </row>
    <row r="58" spans="1:20" x14ac:dyDescent="0.3">
      <c r="A58">
        <v>2</v>
      </c>
      <c r="B58" s="50" t="str">
        <f t="shared" ref="B58:B106" si="1">B5</f>
        <v>75077404</v>
      </c>
      <c r="C58" s="7">
        <f>'1014 projects'!X7</f>
        <v>15</v>
      </c>
      <c r="D58" s="148">
        <v>1</v>
      </c>
      <c r="E58" s="148">
        <v>1</v>
      </c>
      <c r="F58" s="148">
        <v>1</v>
      </c>
      <c r="G58" s="148">
        <v>1</v>
      </c>
      <c r="H58" s="148">
        <v>1</v>
      </c>
      <c r="I58" s="21">
        <v>1</v>
      </c>
      <c r="J58" s="21">
        <v>1</v>
      </c>
      <c r="K58" s="21">
        <v>1</v>
      </c>
      <c r="L58" s="21">
        <v>1</v>
      </c>
      <c r="M58" s="21">
        <v>1</v>
      </c>
      <c r="N58" s="21">
        <v>1</v>
      </c>
      <c r="O58" s="21">
        <v>1</v>
      </c>
      <c r="P58" s="21">
        <v>1</v>
      </c>
      <c r="Q58" s="21">
        <v>1</v>
      </c>
      <c r="R58" s="21">
        <v>1</v>
      </c>
    </row>
    <row r="59" spans="1:20" x14ac:dyDescent="0.3">
      <c r="A59">
        <v>3</v>
      </c>
      <c r="B59" s="50" t="str">
        <f t="shared" si="1"/>
        <v>75077903</v>
      </c>
      <c r="C59" s="7">
        <f>'1014 projects'!X8</f>
        <v>15</v>
      </c>
      <c r="D59" s="148">
        <v>1</v>
      </c>
      <c r="E59" s="148">
        <v>1</v>
      </c>
      <c r="F59" s="148">
        <v>1</v>
      </c>
      <c r="G59" s="148">
        <v>1</v>
      </c>
      <c r="H59" s="148">
        <v>1</v>
      </c>
      <c r="I59" s="21">
        <v>1</v>
      </c>
      <c r="J59" s="21">
        <v>1</v>
      </c>
      <c r="K59" s="21">
        <v>1</v>
      </c>
      <c r="L59" s="21">
        <v>1</v>
      </c>
      <c r="M59" s="21">
        <v>1</v>
      </c>
      <c r="N59" s="21">
        <v>1</v>
      </c>
      <c r="O59" s="21">
        <v>1</v>
      </c>
      <c r="P59" s="21">
        <v>1</v>
      </c>
      <c r="Q59" s="21">
        <v>1</v>
      </c>
      <c r="R59" s="21">
        <v>1</v>
      </c>
    </row>
    <row r="60" spans="1:20" x14ac:dyDescent="0.3">
      <c r="A60">
        <v>4</v>
      </c>
      <c r="B60" s="50" t="str">
        <f t="shared" si="1"/>
        <v>75078211</v>
      </c>
      <c r="C60" s="7">
        <f>'1014 projects'!X9</f>
        <v>15</v>
      </c>
      <c r="D60" s="148">
        <v>0.25</v>
      </c>
      <c r="E60" s="148">
        <v>0.3</v>
      </c>
      <c r="F60" s="148">
        <v>0.5</v>
      </c>
      <c r="G60" s="148">
        <v>0.75</v>
      </c>
      <c r="H60" s="148">
        <v>1</v>
      </c>
      <c r="I60" s="21">
        <v>1</v>
      </c>
      <c r="J60" s="21">
        <v>1</v>
      </c>
      <c r="K60" s="21">
        <v>1</v>
      </c>
      <c r="L60" s="21">
        <v>1</v>
      </c>
      <c r="M60" s="21">
        <v>1</v>
      </c>
      <c r="N60" s="21">
        <v>1</v>
      </c>
      <c r="O60" s="21">
        <v>1</v>
      </c>
      <c r="P60" s="21">
        <v>1</v>
      </c>
      <c r="Q60" s="21">
        <v>1</v>
      </c>
      <c r="R60" s="21">
        <v>1</v>
      </c>
    </row>
    <row r="61" spans="1:20" x14ac:dyDescent="0.3">
      <c r="A61">
        <v>5</v>
      </c>
      <c r="B61" s="50" t="str">
        <f t="shared" si="1"/>
        <v>75067688</v>
      </c>
      <c r="C61" s="7">
        <f>'1014 projects'!X10</f>
        <v>15</v>
      </c>
      <c r="D61" s="148">
        <v>0.2</v>
      </c>
      <c r="E61" s="148">
        <v>0.4</v>
      </c>
      <c r="F61" s="148">
        <v>0.6</v>
      </c>
      <c r="G61" s="148">
        <v>0.8</v>
      </c>
      <c r="H61" s="148">
        <v>1</v>
      </c>
      <c r="I61" s="21">
        <v>1</v>
      </c>
      <c r="J61" s="21">
        <v>1</v>
      </c>
      <c r="K61" s="21">
        <v>1</v>
      </c>
      <c r="L61" s="21">
        <v>1</v>
      </c>
      <c r="M61" s="21">
        <v>1</v>
      </c>
      <c r="N61" s="21">
        <v>1</v>
      </c>
      <c r="O61" s="21">
        <v>1</v>
      </c>
      <c r="P61" s="21">
        <v>1</v>
      </c>
      <c r="Q61" s="21">
        <v>1</v>
      </c>
      <c r="R61" s="21">
        <v>1</v>
      </c>
    </row>
    <row r="62" spans="1:20" x14ac:dyDescent="0.3">
      <c r="A62">
        <v>6</v>
      </c>
      <c r="B62" s="50" t="str">
        <f t="shared" si="1"/>
        <v>75084229</v>
      </c>
      <c r="C62" s="7">
        <f>'1014 projects'!X11</f>
        <v>15</v>
      </c>
      <c r="D62" s="148">
        <v>1</v>
      </c>
      <c r="E62" s="148">
        <v>1</v>
      </c>
      <c r="F62" s="148">
        <v>1</v>
      </c>
      <c r="G62" s="148">
        <v>1</v>
      </c>
      <c r="H62" s="148">
        <v>1</v>
      </c>
      <c r="I62" s="21">
        <v>1</v>
      </c>
      <c r="J62" s="21">
        <v>1</v>
      </c>
      <c r="K62" s="21">
        <v>1</v>
      </c>
      <c r="L62" s="21">
        <v>1</v>
      </c>
      <c r="M62" s="21">
        <v>1</v>
      </c>
      <c r="N62" s="21">
        <v>1</v>
      </c>
      <c r="O62" s="21">
        <v>1</v>
      </c>
      <c r="P62" s="21">
        <v>1</v>
      </c>
      <c r="Q62" s="21">
        <v>1</v>
      </c>
      <c r="R62" s="21">
        <v>1</v>
      </c>
    </row>
    <row r="63" spans="1:20" x14ac:dyDescent="0.3">
      <c r="A63">
        <v>7</v>
      </c>
      <c r="B63" s="50" t="str">
        <f t="shared" si="1"/>
        <v>75087003</v>
      </c>
      <c r="C63" s="7">
        <f>'1014 projects'!X12</f>
        <v>15</v>
      </c>
      <c r="D63" s="148">
        <v>1</v>
      </c>
      <c r="E63" s="148">
        <v>1</v>
      </c>
      <c r="F63" s="148">
        <v>1</v>
      </c>
      <c r="G63" s="148">
        <v>1</v>
      </c>
      <c r="H63" s="148">
        <v>1</v>
      </c>
      <c r="I63" s="21">
        <v>1</v>
      </c>
      <c r="J63" s="21">
        <v>1</v>
      </c>
      <c r="K63" s="21">
        <v>1</v>
      </c>
      <c r="L63" s="21">
        <v>1</v>
      </c>
      <c r="M63" s="21">
        <v>1</v>
      </c>
      <c r="N63" s="21">
        <v>1</v>
      </c>
      <c r="O63" s="21">
        <v>1</v>
      </c>
      <c r="P63" s="21">
        <v>1</v>
      </c>
      <c r="Q63" s="21">
        <v>1</v>
      </c>
      <c r="R63" s="21">
        <v>1</v>
      </c>
    </row>
    <row r="64" spans="1:20" x14ac:dyDescent="0.3">
      <c r="A64">
        <v>8</v>
      </c>
      <c r="B64" s="50" t="str">
        <f t="shared" si="1"/>
        <v>75089640</v>
      </c>
      <c r="C64" s="7">
        <f>'1014 projects'!X13</f>
        <v>15</v>
      </c>
      <c r="D64" s="148">
        <v>1</v>
      </c>
      <c r="E64" s="148">
        <v>1</v>
      </c>
      <c r="F64" s="148">
        <v>1</v>
      </c>
      <c r="G64" s="148">
        <v>1</v>
      </c>
      <c r="H64" s="148">
        <v>1</v>
      </c>
      <c r="I64" s="21">
        <v>1</v>
      </c>
      <c r="J64" s="21">
        <v>1</v>
      </c>
      <c r="K64" s="21">
        <v>1</v>
      </c>
      <c r="L64" s="21">
        <v>1</v>
      </c>
      <c r="M64" s="21">
        <v>1</v>
      </c>
      <c r="N64" s="21">
        <v>1</v>
      </c>
      <c r="O64" s="21">
        <v>1</v>
      </c>
      <c r="P64" s="21">
        <v>1</v>
      </c>
      <c r="Q64" s="21">
        <v>1</v>
      </c>
      <c r="R64" s="21">
        <v>1</v>
      </c>
    </row>
    <row r="65" spans="1:18" x14ac:dyDescent="0.3">
      <c r="A65">
        <v>9</v>
      </c>
      <c r="B65" s="50" t="str">
        <f t="shared" si="1"/>
        <v>75072730</v>
      </c>
      <c r="C65" s="7">
        <f>'1014 projects'!X14</f>
        <v>15</v>
      </c>
      <c r="D65" s="148">
        <v>1</v>
      </c>
      <c r="E65" s="148">
        <v>1</v>
      </c>
      <c r="F65" s="148">
        <v>1</v>
      </c>
      <c r="G65" s="148">
        <v>1</v>
      </c>
      <c r="H65" s="148">
        <v>1</v>
      </c>
      <c r="I65" s="21">
        <v>1</v>
      </c>
      <c r="J65" s="21">
        <v>1</v>
      </c>
      <c r="K65" s="21">
        <v>1</v>
      </c>
      <c r="L65" s="21">
        <v>1</v>
      </c>
      <c r="M65" s="21">
        <v>1</v>
      </c>
      <c r="N65" s="21">
        <v>1</v>
      </c>
      <c r="O65" s="21">
        <v>1</v>
      </c>
      <c r="P65" s="21">
        <v>1</v>
      </c>
      <c r="Q65" s="21">
        <v>1</v>
      </c>
      <c r="R65" s="21">
        <v>1</v>
      </c>
    </row>
    <row r="66" spans="1:18" x14ac:dyDescent="0.3">
      <c r="A66">
        <v>10</v>
      </c>
      <c r="B66" s="50" t="str">
        <f t="shared" si="1"/>
        <v>75055038</v>
      </c>
      <c r="C66" s="7">
        <f>'1014 projects'!X15</f>
        <v>15</v>
      </c>
      <c r="D66" s="148">
        <v>0.1</v>
      </c>
      <c r="E66" s="148">
        <v>0.7</v>
      </c>
      <c r="F66" s="148">
        <v>0.9</v>
      </c>
      <c r="G66" s="148">
        <v>0.95</v>
      </c>
      <c r="H66" s="148">
        <v>1</v>
      </c>
      <c r="I66" s="21">
        <v>1</v>
      </c>
      <c r="J66" s="21">
        <v>1</v>
      </c>
      <c r="K66" s="21">
        <v>1</v>
      </c>
      <c r="L66" s="21">
        <v>1</v>
      </c>
      <c r="M66" s="21">
        <v>1</v>
      </c>
      <c r="N66" s="21">
        <v>1</v>
      </c>
      <c r="O66" s="21">
        <v>1</v>
      </c>
      <c r="P66" s="21">
        <v>1</v>
      </c>
      <c r="Q66" s="21">
        <v>1</v>
      </c>
      <c r="R66" s="21">
        <v>1</v>
      </c>
    </row>
    <row r="67" spans="1:18" x14ac:dyDescent="0.3">
      <c r="A67">
        <v>11</v>
      </c>
      <c r="B67" s="50" t="str">
        <f t="shared" si="1"/>
        <v>75079161</v>
      </c>
      <c r="C67" s="7">
        <f>'1014 projects'!X16</f>
        <v>15</v>
      </c>
      <c r="D67" s="148">
        <v>1</v>
      </c>
      <c r="E67" s="148">
        <v>1</v>
      </c>
      <c r="F67" s="148">
        <v>1</v>
      </c>
      <c r="G67" s="148">
        <v>1</v>
      </c>
      <c r="H67" s="148">
        <v>1</v>
      </c>
      <c r="I67" s="21">
        <v>1</v>
      </c>
      <c r="J67" s="21">
        <v>1</v>
      </c>
      <c r="K67" s="21">
        <v>1</v>
      </c>
      <c r="L67" s="21">
        <v>1</v>
      </c>
      <c r="M67" s="21">
        <v>1</v>
      </c>
      <c r="N67" s="21">
        <v>1</v>
      </c>
      <c r="O67" s="21">
        <v>1</v>
      </c>
      <c r="P67" s="21">
        <v>1</v>
      </c>
      <c r="Q67" s="21">
        <v>1</v>
      </c>
      <c r="R67" s="21">
        <v>1</v>
      </c>
    </row>
    <row r="68" spans="1:18" x14ac:dyDescent="0.3">
      <c r="A68">
        <v>12</v>
      </c>
      <c r="B68" s="50" t="str">
        <f t="shared" si="1"/>
        <v>75088679</v>
      </c>
      <c r="C68" s="7">
        <f>'1014 projects'!X17</f>
        <v>15</v>
      </c>
      <c r="D68" s="148">
        <v>1</v>
      </c>
      <c r="E68" s="148">
        <v>1</v>
      </c>
      <c r="F68" s="148">
        <v>1</v>
      </c>
      <c r="G68" s="148">
        <v>1</v>
      </c>
      <c r="H68" s="148">
        <v>1</v>
      </c>
      <c r="I68" s="21">
        <v>1</v>
      </c>
      <c r="J68" s="21">
        <v>1</v>
      </c>
      <c r="K68" s="21">
        <v>1</v>
      </c>
      <c r="L68" s="21">
        <v>1</v>
      </c>
      <c r="M68" s="21">
        <v>1</v>
      </c>
      <c r="N68" s="21">
        <v>1</v>
      </c>
      <c r="O68" s="21">
        <v>1</v>
      </c>
      <c r="P68" s="21">
        <v>1</v>
      </c>
      <c r="Q68" s="21">
        <v>1</v>
      </c>
      <c r="R68" s="21">
        <v>1</v>
      </c>
    </row>
    <row r="69" spans="1:18" x14ac:dyDescent="0.3">
      <c r="A69">
        <v>13</v>
      </c>
      <c r="B69" s="50" t="str">
        <f t="shared" si="1"/>
        <v>75085538</v>
      </c>
      <c r="C69" s="7">
        <f>'1014 projects'!X18</f>
        <v>15</v>
      </c>
      <c r="D69" s="148">
        <v>1</v>
      </c>
      <c r="E69" s="148">
        <v>1</v>
      </c>
      <c r="F69" s="148">
        <v>1</v>
      </c>
      <c r="G69" s="148">
        <v>1</v>
      </c>
      <c r="H69" s="148">
        <v>1</v>
      </c>
      <c r="I69" s="21">
        <v>1</v>
      </c>
      <c r="J69" s="21">
        <v>1</v>
      </c>
      <c r="K69" s="21">
        <v>1</v>
      </c>
      <c r="L69" s="21">
        <v>1</v>
      </c>
      <c r="M69" s="21">
        <v>1</v>
      </c>
      <c r="N69" s="21">
        <v>1</v>
      </c>
      <c r="O69" s="21">
        <v>1</v>
      </c>
      <c r="P69" s="21">
        <v>1</v>
      </c>
      <c r="Q69" s="21">
        <v>1</v>
      </c>
      <c r="R69" s="21">
        <v>1</v>
      </c>
    </row>
    <row r="70" spans="1:18" x14ac:dyDescent="0.3">
      <c r="A70">
        <v>14</v>
      </c>
      <c r="B70" s="50" t="str">
        <f t="shared" si="1"/>
        <v>75089294</v>
      </c>
      <c r="C70" s="7">
        <f>'1014 projects'!X19</f>
        <v>15</v>
      </c>
      <c r="D70" s="148">
        <v>1</v>
      </c>
      <c r="E70" s="148">
        <v>1</v>
      </c>
      <c r="F70" s="148">
        <v>1</v>
      </c>
      <c r="G70" s="148">
        <v>1</v>
      </c>
      <c r="H70" s="148">
        <v>1</v>
      </c>
      <c r="I70" s="21">
        <v>1</v>
      </c>
      <c r="J70" s="21">
        <v>1</v>
      </c>
      <c r="K70" s="21">
        <v>1</v>
      </c>
      <c r="L70" s="21">
        <v>1</v>
      </c>
      <c r="M70" s="21">
        <v>1</v>
      </c>
      <c r="N70" s="21">
        <v>1</v>
      </c>
      <c r="O70" s="21">
        <v>1</v>
      </c>
      <c r="P70" s="21">
        <v>1</v>
      </c>
      <c r="Q70" s="21">
        <v>1</v>
      </c>
      <c r="R70" s="21">
        <v>1</v>
      </c>
    </row>
    <row r="71" spans="1:18" x14ac:dyDescent="0.3">
      <c r="A71">
        <v>15</v>
      </c>
      <c r="B71" s="50" t="str">
        <f t="shared" si="1"/>
        <v>75093308</v>
      </c>
      <c r="C71" s="7">
        <f>'1014 projects'!X20</f>
        <v>15</v>
      </c>
      <c r="D71" s="148">
        <v>1</v>
      </c>
      <c r="E71" s="148">
        <v>1</v>
      </c>
      <c r="F71" s="148">
        <v>1</v>
      </c>
      <c r="G71" s="148">
        <v>1</v>
      </c>
      <c r="H71" s="148">
        <v>1</v>
      </c>
      <c r="I71" s="21">
        <v>1</v>
      </c>
      <c r="J71" s="21">
        <v>1</v>
      </c>
      <c r="K71" s="21">
        <v>1</v>
      </c>
      <c r="L71" s="21">
        <v>1</v>
      </c>
      <c r="M71" s="21">
        <v>1</v>
      </c>
      <c r="N71" s="21">
        <v>1</v>
      </c>
      <c r="O71" s="21">
        <v>1</v>
      </c>
      <c r="P71" s="21">
        <v>1</v>
      </c>
      <c r="Q71" s="21">
        <v>1</v>
      </c>
      <c r="R71" s="21">
        <v>1</v>
      </c>
    </row>
    <row r="72" spans="1:18" x14ac:dyDescent="0.3">
      <c r="A72">
        <v>16</v>
      </c>
      <c r="B72" s="50" t="str">
        <f t="shared" si="1"/>
        <v>75080861</v>
      </c>
      <c r="C72" s="7">
        <f>'1014 projects'!X21</f>
        <v>15</v>
      </c>
      <c r="D72" s="148">
        <v>0.5</v>
      </c>
      <c r="E72" s="148">
        <v>1</v>
      </c>
      <c r="F72" s="148">
        <v>1</v>
      </c>
      <c r="G72" s="148">
        <v>1</v>
      </c>
      <c r="H72" s="148">
        <v>1</v>
      </c>
      <c r="I72" s="21">
        <v>1</v>
      </c>
      <c r="J72" s="21">
        <v>1</v>
      </c>
      <c r="K72" s="21">
        <v>1</v>
      </c>
      <c r="L72" s="21">
        <v>1</v>
      </c>
      <c r="M72" s="21">
        <v>1</v>
      </c>
      <c r="N72" s="21">
        <v>1</v>
      </c>
      <c r="O72" s="21">
        <v>1</v>
      </c>
      <c r="P72" s="21">
        <v>1</v>
      </c>
      <c r="Q72" s="21">
        <v>1</v>
      </c>
      <c r="R72" s="21">
        <v>1</v>
      </c>
    </row>
    <row r="73" spans="1:18" x14ac:dyDescent="0.3">
      <c r="A73">
        <v>17</v>
      </c>
      <c r="B73" s="50" t="str">
        <f t="shared" si="1"/>
        <v>75085366</v>
      </c>
      <c r="C73" s="7">
        <f>'1014 projects'!X22</f>
        <v>15</v>
      </c>
      <c r="D73" s="148">
        <v>1</v>
      </c>
      <c r="E73" s="148">
        <v>1</v>
      </c>
      <c r="F73" s="148">
        <v>1</v>
      </c>
      <c r="G73" s="148">
        <v>1</v>
      </c>
      <c r="H73" s="148">
        <v>1</v>
      </c>
      <c r="I73" s="21">
        <v>1</v>
      </c>
      <c r="J73" s="21">
        <v>1</v>
      </c>
      <c r="K73" s="21">
        <v>1</v>
      </c>
      <c r="L73" s="21">
        <v>1</v>
      </c>
      <c r="M73" s="21">
        <v>1</v>
      </c>
      <c r="N73" s="21">
        <v>1</v>
      </c>
      <c r="O73" s="21">
        <v>1</v>
      </c>
      <c r="P73" s="21">
        <v>1</v>
      </c>
      <c r="Q73" s="21">
        <v>1</v>
      </c>
      <c r="R73" s="21">
        <v>1</v>
      </c>
    </row>
    <row r="74" spans="1:18" x14ac:dyDescent="0.3">
      <c r="A74">
        <v>18</v>
      </c>
      <c r="B74" s="50" t="str">
        <f t="shared" si="1"/>
        <v>75088855</v>
      </c>
      <c r="C74" s="7">
        <f>'1014 projects'!X23</f>
        <v>15</v>
      </c>
      <c r="D74" s="148">
        <v>0.2</v>
      </c>
      <c r="E74" s="148">
        <v>0.4</v>
      </c>
      <c r="F74" s="148">
        <v>0.6</v>
      </c>
      <c r="G74" s="148">
        <v>0.8</v>
      </c>
      <c r="H74" s="148">
        <v>1</v>
      </c>
      <c r="I74" s="21">
        <v>1</v>
      </c>
      <c r="J74" s="21">
        <v>1</v>
      </c>
      <c r="K74" s="21">
        <v>1</v>
      </c>
      <c r="L74" s="21">
        <v>1</v>
      </c>
      <c r="M74" s="21">
        <v>1</v>
      </c>
      <c r="N74" s="21">
        <v>1</v>
      </c>
      <c r="O74" s="21">
        <v>1</v>
      </c>
      <c r="P74" s="21">
        <v>1</v>
      </c>
      <c r="Q74" s="21">
        <v>1</v>
      </c>
      <c r="R74" s="21">
        <v>1</v>
      </c>
    </row>
    <row r="75" spans="1:18" x14ac:dyDescent="0.3">
      <c r="A75">
        <v>19</v>
      </c>
      <c r="B75" s="50" t="str">
        <f t="shared" si="1"/>
        <v>75090071</v>
      </c>
      <c r="C75" s="7">
        <f>'1014 projects'!X24</f>
        <v>15</v>
      </c>
      <c r="D75" s="148">
        <v>1</v>
      </c>
      <c r="E75" s="148">
        <v>1</v>
      </c>
      <c r="F75" s="148">
        <v>1</v>
      </c>
      <c r="G75" s="148">
        <v>1</v>
      </c>
      <c r="H75" s="148">
        <v>1</v>
      </c>
      <c r="I75" s="21">
        <v>1</v>
      </c>
      <c r="J75" s="21">
        <v>1</v>
      </c>
      <c r="K75" s="21">
        <v>1</v>
      </c>
      <c r="L75" s="21">
        <v>1</v>
      </c>
      <c r="M75" s="21">
        <v>1</v>
      </c>
      <c r="N75" s="21">
        <v>1</v>
      </c>
      <c r="O75" s="21">
        <v>1</v>
      </c>
      <c r="P75" s="21">
        <v>1</v>
      </c>
      <c r="Q75" s="21">
        <v>1</v>
      </c>
      <c r="R75" s="21">
        <v>1</v>
      </c>
    </row>
    <row r="76" spans="1:18" x14ac:dyDescent="0.3">
      <c r="A76">
        <v>20</v>
      </c>
      <c r="B76" s="50" t="str">
        <f t="shared" si="1"/>
        <v>75094398</v>
      </c>
      <c r="C76" s="7">
        <f>'1014 projects'!X25</f>
        <v>15</v>
      </c>
      <c r="D76" s="148">
        <v>1</v>
      </c>
      <c r="E76" s="148">
        <v>1</v>
      </c>
      <c r="F76" s="148">
        <v>1</v>
      </c>
      <c r="G76" s="148">
        <v>1</v>
      </c>
      <c r="H76" s="148">
        <v>1</v>
      </c>
      <c r="I76" s="21">
        <v>1</v>
      </c>
      <c r="J76" s="21">
        <v>1</v>
      </c>
      <c r="K76" s="21">
        <v>1</v>
      </c>
      <c r="L76" s="21">
        <v>1</v>
      </c>
      <c r="M76" s="21">
        <v>1</v>
      </c>
      <c r="N76" s="21">
        <v>1</v>
      </c>
      <c r="O76" s="21">
        <v>1</v>
      </c>
      <c r="P76" s="21">
        <v>1</v>
      </c>
      <c r="Q76" s="21">
        <v>1</v>
      </c>
      <c r="R76" s="21">
        <v>1</v>
      </c>
    </row>
    <row r="77" spans="1:18" x14ac:dyDescent="0.3">
      <c r="A77">
        <v>21</v>
      </c>
      <c r="B77" s="50" t="str">
        <f t="shared" si="1"/>
        <v>75082753</v>
      </c>
      <c r="C77" s="7">
        <f>'1014 projects'!X26</f>
        <v>15</v>
      </c>
      <c r="D77" s="148">
        <v>1</v>
      </c>
      <c r="E77" s="148">
        <v>1</v>
      </c>
      <c r="F77" s="148">
        <v>1</v>
      </c>
      <c r="G77" s="148">
        <v>1</v>
      </c>
      <c r="H77" s="148">
        <v>1</v>
      </c>
      <c r="I77" s="21">
        <v>1</v>
      </c>
      <c r="J77" s="21">
        <v>1</v>
      </c>
      <c r="K77" s="21">
        <v>1</v>
      </c>
      <c r="L77" s="21">
        <v>1</v>
      </c>
      <c r="M77" s="21">
        <v>1</v>
      </c>
      <c r="N77" s="21">
        <v>1</v>
      </c>
      <c r="O77" s="21">
        <v>1</v>
      </c>
      <c r="P77" s="21">
        <v>1</v>
      </c>
      <c r="Q77" s="21">
        <v>1</v>
      </c>
      <c r="R77" s="21">
        <v>1</v>
      </c>
    </row>
    <row r="78" spans="1:18" x14ac:dyDescent="0.3">
      <c r="A78">
        <v>22</v>
      </c>
      <c r="B78" s="50" t="str">
        <f t="shared" si="1"/>
        <v>75079993</v>
      </c>
      <c r="C78" s="7">
        <f>'1014 projects'!X27</f>
        <v>15</v>
      </c>
      <c r="D78" s="148">
        <v>1</v>
      </c>
      <c r="E78" s="148">
        <v>1</v>
      </c>
      <c r="F78" s="148">
        <v>1</v>
      </c>
      <c r="G78" s="148">
        <v>1</v>
      </c>
      <c r="H78" s="148">
        <v>1</v>
      </c>
      <c r="I78" s="21">
        <v>1</v>
      </c>
      <c r="J78" s="21">
        <v>1</v>
      </c>
      <c r="K78" s="21">
        <v>1</v>
      </c>
      <c r="L78" s="21">
        <v>1</v>
      </c>
      <c r="M78" s="21">
        <v>1</v>
      </c>
      <c r="N78" s="21">
        <v>1</v>
      </c>
      <c r="O78" s="21">
        <v>1</v>
      </c>
      <c r="P78" s="21">
        <v>1</v>
      </c>
      <c r="Q78" s="21">
        <v>1</v>
      </c>
      <c r="R78" s="21">
        <v>1</v>
      </c>
    </row>
    <row r="79" spans="1:18" x14ac:dyDescent="0.3">
      <c r="A79">
        <v>23</v>
      </c>
      <c r="B79" s="50" t="str">
        <f t="shared" si="1"/>
        <v>75083984</v>
      </c>
      <c r="C79" s="7">
        <f>'1014 projects'!X28</f>
        <v>15</v>
      </c>
      <c r="D79" s="148">
        <v>1</v>
      </c>
      <c r="E79" s="148">
        <v>1</v>
      </c>
      <c r="F79" s="148">
        <v>1</v>
      </c>
      <c r="G79" s="148">
        <v>1</v>
      </c>
      <c r="H79" s="148">
        <v>1</v>
      </c>
      <c r="I79" s="21">
        <v>1</v>
      </c>
      <c r="J79" s="21">
        <v>1</v>
      </c>
      <c r="K79" s="21">
        <v>1</v>
      </c>
      <c r="L79" s="21">
        <v>1</v>
      </c>
      <c r="M79" s="21">
        <v>1</v>
      </c>
      <c r="N79" s="21">
        <v>1</v>
      </c>
      <c r="O79" s="21">
        <v>1</v>
      </c>
      <c r="P79" s="21">
        <v>1</v>
      </c>
      <c r="Q79" s="21">
        <v>1</v>
      </c>
      <c r="R79" s="21">
        <v>1</v>
      </c>
    </row>
    <row r="80" spans="1:18" x14ac:dyDescent="0.3">
      <c r="A80">
        <v>24</v>
      </c>
      <c r="B80" s="50" t="str">
        <f t="shared" si="1"/>
        <v>75090929</v>
      </c>
      <c r="C80" s="7">
        <f>'1014 projects'!X29</f>
        <v>15</v>
      </c>
      <c r="D80" s="148">
        <v>1</v>
      </c>
      <c r="E80" s="148">
        <v>1</v>
      </c>
      <c r="F80" s="148">
        <v>1</v>
      </c>
      <c r="G80" s="148">
        <v>1</v>
      </c>
      <c r="H80" s="148">
        <v>1</v>
      </c>
      <c r="I80" s="21">
        <v>1</v>
      </c>
      <c r="J80" s="21">
        <v>1</v>
      </c>
      <c r="K80" s="21">
        <v>1</v>
      </c>
      <c r="L80" s="21">
        <v>1</v>
      </c>
      <c r="M80" s="21">
        <v>1</v>
      </c>
      <c r="N80" s="21">
        <v>1</v>
      </c>
      <c r="O80" s="21">
        <v>1</v>
      </c>
      <c r="P80" s="21">
        <v>1</v>
      </c>
      <c r="Q80" s="21">
        <v>1</v>
      </c>
      <c r="R80" s="21">
        <v>1</v>
      </c>
    </row>
    <row r="81" spans="1:18" x14ac:dyDescent="0.3">
      <c r="A81">
        <v>25</v>
      </c>
      <c r="B81" s="50" t="str">
        <f t="shared" si="1"/>
        <v>75075826</v>
      </c>
      <c r="C81" s="7">
        <f>'1014 projects'!X30</f>
        <v>15</v>
      </c>
      <c r="D81" s="148">
        <v>0</v>
      </c>
      <c r="E81" s="148">
        <v>0</v>
      </c>
      <c r="F81" s="148">
        <v>0</v>
      </c>
      <c r="G81" s="148">
        <v>0</v>
      </c>
      <c r="H81" s="148">
        <v>1</v>
      </c>
      <c r="I81" s="21">
        <v>1</v>
      </c>
      <c r="J81" s="21">
        <v>1</v>
      </c>
      <c r="K81" s="21">
        <v>1</v>
      </c>
      <c r="L81" s="21">
        <v>1</v>
      </c>
      <c r="M81" s="21">
        <v>1</v>
      </c>
      <c r="N81" s="21">
        <v>1</v>
      </c>
      <c r="O81" s="21">
        <v>1</v>
      </c>
      <c r="P81" s="21">
        <v>1</v>
      </c>
      <c r="Q81" s="21">
        <v>1</v>
      </c>
      <c r="R81" s="21">
        <v>1</v>
      </c>
    </row>
    <row r="82" spans="1:18" x14ac:dyDescent="0.3">
      <c r="A82">
        <v>26</v>
      </c>
      <c r="B82" s="50" t="str">
        <f t="shared" si="1"/>
        <v>75079446</v>
      </c>
      <c r="C82" s="7">
        <f>'1014 projects'!X31</f>
        <v>15</v>
      </c>
      <c r="D82" s="148">
        <v>1</v>
      </c>
      <c r="E82" s="148">
        <v>1</v>
      </c>
      <c r="F82" s="148">
        <v>1</v>
      </c>
      <c r="G82" s="148">
        <v>1</v>
      </c>
      <c r="H82" s="148">
        <v>1</v>
      </c>
      <c r="I82" s="21">
        <v>1</v>
      </c>
      <c r="J82" s="21">
        <v>1</v>
      </c>
      <c r="K82" s="21">
        <v>1</v>
      </c>
      <c r="L82" s="21">
        <v>1</v>
      </c>
      <c r="M82" s="21">
        <v>1</v>
      </c>
      <c r="N82" s="21">
        <v>1</v>
      </c>
      <c r="O82" s="21">
        <v>1</v>
      </c>
      <c r="P82" s="21">
        <v>1</v>
      </c>
      <c r="Q82" s="21">
        <v>1</v>
      </c>
      <c r="R82" s="21">
        <v>1</v>
      </c>
    </row>
    <row r="83" spans="1:18" x14ac:dyDescent="0.3">
      <c r="A83">
        <v>27</v>
      </c>
      <c r="B83" s="50" t="str">
        <f t="shared" si="1"/>
        <v>75091372</v>
      </c>
      <c r="C83" s="7">
        <f>'1014 projects'!X32</f>
        <v>15</v>
      </c>
      <c r="D83" s="148">
        <v>1</v>
      </c>
      <c r="E83" s="148">
        <v>1</v>
      </c>
      <c r="F83" s="148">
        <v>1</v>
      </c>
      <c r="G83" s="148">
        <v>1</v>
      </c>
      <c r="H83" s="148">
        <v>1</v>
      </c>
      <c r="I83" s="21">
        <v>1</v>
      </c>
      <c r="J83" s="21">
        <v>1</v>
      </c>
      <c r="K83" s="21">
        <v>1</v>
      </c>
      <c r="L83" s="21">
        <v>1</v>
      </c>
      <c r="M83" s="21">
        <v>1</v>
      </c>
      <c r="N83" s="21">
        <v>1</v>
      </c>
      <c r="O83" s="21">
        <v>1</v>
      </c>
      <c r="P83" s="21">
        <v>1</v>
      </c>
      <c r="Q83" s="21">
        <v>1</v>
      </c>
      <c r="R83" s="21">
        <v>1</v>
      </c>
    </row>
    <row r="84" spans="1:18" x14ac:dyDescent="0.3">
      <c r="A84">
        <v>28</v>
      </c>
      <c r="B84" s="50" t="str">
        <f t="shared" si="1"/>
        <v>75084806</v>
      </c>
      <c r="C84" s="7">
        <f>'1014 projects'!X33</f>
        <v>15</v>
      </c>
      <c r="D84" s="148">
        <v>1</v>
      </c>
      <c r="E84" s="148">
        <v>1</v>
      </c>
      <c r="F84" s="148">
        <v>1</v>
      </c>
      <c r="G84" s="148">
        <v>1</v>
      </c>
      <c r="H84" s="148">
        <v>1</v>
      </c>
      <c r="I84" s="21">
        <v>1</v>
      </c>
      <c r="J84" s="21">
        <v>1</v>
      </c>
      <c r="K84" s="21">
        <v>1</v>
      </c>
      <c r="L84" s="21">
        <v>1</v>
      </c>
      <c r="M84" s="21">
        <v>1</v>
      </c>
      <c r="N84" s="21">
        <v>1</v>
      </c>
      <c r="O84" s="21">
        <v>1</v>
      </c>
      <c r="P84" s="21">
        <v>1</v>
      </c>
      <c r="Q84" s="21">
        <v>1</v>
      </c>
      <c r="R84" s="21">
        <v>1</v>
      </c>
    </row>
    <row r="85" spans="1:18" x14ac:dyDescent="0.3">
      <c r="A85">
        <v>29</v>
      </c>
      <c r="B85" s="50" t="str">
        <f t="shared" si="1"/>
        <v>75084512</v>
      </c>
      <c r="C85" s="7">
        <f>'1014 projects'!X34</f>
        <v>15</v>
      </c>
      <c r="D85" s="148">
        <v>1</v>
      </c>
      <c r="E85" s="148">
        <v>1</v>
      </c>
      <c r="F85" s="148">
        <v>1</v>
      </c>
      <c r="G85" s="148">
        <v>1</v>
      </c>
      <c r="H85" s="148">
        <v>1</v>
      </c>
      <c r="I85" s="21">
        <v>1</v>
      </c>
      <c r="J85" s="21">
        <v>1</v>
      </c>
      <c r="K85" s="21">
        <v>1</v>
      </c>
      <c r="L85" s="21">
        <v>1</v>
      </c>
      <c r="M85" s="21">
        <v>1</v>
      </c>
      <c r="N85" s="21">
        <v>1</v>
      </c>
      <c r="O85" s="21">
        <v>1</v>
      </c>
      <c r="P85" s="21">
        <v>1</v>
      </c>
      <c r="Q85" s="21">
        <v>1</v>
      </c>
      <c r="R85" s="21">
        <v>1</v>
      </c>
    </row>
    <row r="86" spans="1:18" x14ac:dyDescent="0.3">
      <c r="A86">
        <v>30</v>
      </c>
      <c r="B86" s="50" t="str">
        <f t="shared" si="1"/>
        <v>75089909</v>
      </c>
      <c r="C86" s="7">
        <f>'1014 projects'!X35</f>
        <v>15</v>
      </c>
      <c r="D86" s="148">
        <v>1</v>
      </c>
      <c r="E86" s="148">
        <v>1</v>
      </c>
      <c r="F86" s="148">
        <v>1</v>
      </c>
      <c r="G86" s="148">
        <v>1</v>
      </c>
      <c r="H86" s="148">
        <v>1</v>
      </c>
      <c r="I86" s="21">
        <v>1</v>
      </c>
      <c r="J86" s="21">
        <v>1</v>
      </c>
      <c r="K86" s="21">
        <v>1</v>
      </c>
      <c r="L86" s="21">
        <v>1</v>
      </c>
      <c r="M86" s="21">
        <v>1</v>
      </c>
      <c r="N86" s="21">
        <v>1</v>
      </c>
      <c r="O86" s="21">
        <v>1</v>
      </c>
      <c r="P86" s="21">
        <v>1</v>
      </c>
      <c r="Q86" s="21">
        <v>1</v>
      </c>
      <c r="R86" s="21">
        <v>1</v>
      </c>
    </row>
    <row r="87" spans="1:18" x14ac:dyDescent="0.3">
      <c r="A87">
        <v>31</v>
      </c>
      <c r="B87" s="50" t="str">
        <f t="shared" si="1"/>
        <v>75084775</v>
      </c>
      <c r="C87" s="7">
        <f>'1014 projects'!X36</f>
        <v>15</v>
      </c>
      <c r="D87" s="148">
        <v>1</v>
      </c>
      <c r="E87" s="148">
        <v>1</v>
      </c>
      <c r="F87" s="148">
        <v>1</v>
      </c>
      <c r="G87" s="148">
        <v>1</v>
      </c>
      <c r="H87" s="148">
        <v>1</v>
      </c>
      <c r="I87" s="21">
        <v>1</v>
      </c>
      <c r="J87" s="21">
        <v>1</v>
      </c>
      <c r="K87" s="21">
        <v>1</v>
      </c>
      <c r="L87" s="21">
        <v>1</v>
      </c>
      <c r="M87" s="21">
        <v>1</v>
      </c>
      <c r="N87" s="21">
        <v>1</v>
      </c>
      <c r="O87" s="21">
        <v>1</v>
      </c>
      <c r="P87" s="21">
        <v>1</v>
      </c>
      <c r="Q87" s="21">
        <v>1</v>
      </c>
      <c r="R87" s="21">
        <v>1</v>
      </c>
    </row>
    <row r="88" spans="1:18" x14ac:dyDescent="0.3">
      <c r="A88">
        <v>32</v>
      </c>
      <c r="B88" s="50" t="str">
        <f t="shared" si="1"/>
        <v>75086649</v>
      </c>
      <c r="C88" s="7">
        <f>'1014 projects'!X37</f>
        <v>15</v>
      </c>
      <c r="D88" s="148">
        <v>1</v>
      </c>
      <c r="E88" s="148">
        <v>1</v>
      </c>
      <c r="F88" s="148">
        <v>1</v>
      </c>
      <c r="G88" s="148">
        <v>1</v>
      </c>
      <c r="H88" s="148">
        <v>1</v>
      </c>
      <c r="I88" s="21">
        <v>1</v>
      </c>
      <c r="J88" s="21">
        <v>1</v>
      </c>
      <c r="K88" s="21">
        <v>1</v>
      </c>
      <c r="L88" s="21">
        <v>1</v>
      </c>
      <c r="M88" s="21">
        <v>1</v>
      </c>
      <c r="N88" s="21">
        <v>1</v>
      </c>
      <c r="O88" s="21">
        <v>1</v>
      </c>
      <c r="P88" s="21">
        <v>1</v>
      </c>
      <c r="Q88" s="21">
        <v>1</v>
      </c>
      <c r="R88" s="21">
        <v>1</v>
      </c>
    </row>
    <row r="89" spans="1:18" x14ac:dyDescent="0.3">
      <c r="A89">
        <v>33</v>
      </c>
      <c r="B89" s="50" t="str">
        <f t="shared" si="1"/>
        <v>75079264</v>
      </c>
      <c r="C89" s="7">
        <f>'1014 projects'!X38</f>
        <v>15</v>
      </c>
      <c r="D89" s="148">
        <v>1</v>
      </c>
      <c r="E89" s="148">
        <v>1</v>
      </c>
      <c r="F89" s="148">
        <v>1</v>
      </c>
      <c r="G89" s="148">
        <v>1</v>
      </c>
      <c r="H89" s="148">
        <v>1</v>
      </c>
      <c r="I89" s="21">
        <v>1</v>
      </c>
      <c r="J89" s="21">
        <v>1</v>
      </c>
      <c r="K89" s="21">
        <v>1</v>
      </c>
      <c r="L89" s="21">
        <v>1</v>
      </c>
      <c r="M89" s="21">
        <v>1</v>
      </c>
      <c r="N89" s="21">
        <v>1</v>
      </c>
      <c r="O89" s="21">
        <v>1</v>
      </c>
      <c r="P89" s="21">
        <v>1</v>
      </c>
      <c r="Q89" s="21">
        <v>1</v>
      </c>
      <c r="R89" s="21">
        <v>1</v>
      </c>
    </row>
    <row r="90" spans="1:18" x14ac:dyDescent="0.3">
      <c r="A90">
        <v>34</v>
      </c>
      <c r="B90" s="50" t="str">
        <f t="shared" si="1"/>
        <v>75078492</v>
      </c>
      <c r="C90" s="7">
        <f>'1014 projects'!X39</f>
        <v>15</v>
      </c>
      <c r="D90" s="148">
        <v>0.1</v>
      </c>
      <c r="E90" s="148">
        <v>0.2</v>
      </c>
      <c r="F90" s="148">
        <v>0.4</v>
      </c>
      <c r="G90" s="148">
        <v>0.6</v>
      </c>
      <c r="H90" s="148">
        <v>1</v>
      </c>
      <c r="I90" s="21">
        <v>1</v>
      </c>
      <c r="J90" s="21">
        <v>1</v>
      </c>
      <c r="K90" s="21">
        <v>1</v>
      </c>
      <c r="L90" s="21">
        <v>1</v>
      </c>
      <c r="M90" s="21">
        <v>1</v>
      </c>
      <c r="N90" s="21">
        <v>1</v>
      </c>
      <c r="O90" s="21">
        <v>1</v>
      </c>
      <c r="P90" s="21">
        <v>1</v>
      </c>
      <c r="Q90" s="21">
        <v>1</v>
      </c>
      <c r="R90" s="21">
        <v>1</v>
      </c>
    </row>
    <row r="91" spans="1:18" x14ac:dyDescent="0.3">
      <c r="A91">
        <v>35</v>
      </c>
      <c r="B91" s="50" t="str">
        <f t="shared" si="1"/>
        <v>75080863</v>
      </c>
      <c r="C91" s="7">
        <f>'1014 projects'!X40</f>
        <v>15</v>
      </c>
      <c r="D91" s="148">
        <v>1</v>
      </c>
      <c r="E91" s="148">
        <v>1</v>
      </c>
      <c r="F91" s="148">
        <v>1</v>
      </c>
      <c r="G91" s="148">
        <v>1</v>
      </c>
      <c r="H91" s="148">
        <v>1</v>
      </c>
      <c r="I91" s="21">
        <v>1</v>
      </c>
      <c r="J91" s="21">
        <v>1</v>
      </c>
      <c r="K91" s="21">
        <v>1</v>
      </c>
      <c r="L91" s="21">
        <v>1</v>
      </c>
      <c r="M91" s="21">
        <v>1</v>
      </c>
      <c r="N91" s="21">
        <v>1</v>
      </c>
      <c r="O91" s="21">
        <v>1</v>
      </c>
      <c r="P91" s="21">
        <v>1</v>
      </c>
      <c r="Q91" s="21">
        <v>1</v>
      </c>
      <c r="R91" s="21">
        <v>1</v>
      </c>
    </row>
    <row r="92" spans="1:18" x14ac:dyDescent="0.3">
      <c r="A92">
        <v>36</v>
      </c>
      <c r="B92" s="50" t="str">
        <f t="shared" si="1"/>
        <v>75077056</v>
      </c>
      <c r="C92" s="7">
        <f>'1014 projects'!X41</f>
        <v>15</v>
      </c>
      <c r="D92" s="148">
        <v>1</v>
      </c>
      <c r="E92" s="148">
        <v>1</v>
      </c>
      <c r="F92" s="148">
        <v>1</v>
      </c>
      <c r="G92" s="148">
        <v>1</v>
      </c>
      <c r="H92" s="148">
        <v>1</v>
      </c>
      <c r="I92" s="21">
        <v>1</v>
      </c>
      <c r="J92" s="21">
        <v>1</v>
      </c>
      <c r="K92" s="21">
        <v>1</v>
      </c>
      <c r="L92" s="21">
        <v>1</v>
      </c>
      <c r="M92" s="21">
        <v>1</v>
      </c>
      <c r="N92" s="21">
        <v>1</v>
      </c>
      <c r="O92" s="21">
        <v>1</v>
      </c>
      <c r="P92" s="21">
        <v>1</v>
      </c>
      <c r="Q92" s="21">
        <v>1</v>
      </c>
      <c r="R92" s="21">
        <v>1</v>
      </c>
    </row>
    <row r="93" spans="1:18" x14ac:dyDescent="0.3">
      <c r="A93">
        <v>37</v>
      </c>
      <c r="B93" s="50" t="str">
        <f t="shared" si="1"/>
        <v>75096058</v>
      </c>
      <c r="C93" s="7">
        <f>'1014 projects'!X42</f>
        <v>15</v>
      </c>
      <c r="D93" s="148">
        <v>1</v>
      </c>
      <c r="E93" s="148">
        <v>1</v>
      </c>
      <c r="F93" s="148">
        <v>1</v>
      </c>
      <c r="G93" s="148">
        <v>1</v>
      </c>
      <c r="H93" s="148">
        <v>1</v>
      </c>
      <c r="I93" s="21">
        <v>1</v>
      </c>
      <c r="J93" s="21">
        <v>1</v>
      </c>
      <c r="K93" s="21">
        <v>1</v>
      </c>
      <c r="L93" s="21">
        <v>1</v>
      </c>
      <c r="M93" s="21">
        <v>1</v>
      </c>
      <c r="N93" s="21">
        <v>1</v>
      </c>
      <c r="O93" s="21">
        <v>1</v>
      </c>
      <c r="P93" s="21">
        <v>1</v>
      </c>
      <c r="Q93" s="21">
        <v>1</v>
      </c>
      <c r="R93" s="21">
        <v>1</v>
      </c>
    </row>
    <row r="94" spans="1:18" x14ac:dyDescent="0.3">
      <c r="A94">
        <v>38</v>
      </c>
      <c r="B94" s="50" t="str">
        <f t="shared" si="1"/>
        <v>75043272</v>
      </c>
      <c r="C94" s="7">
        <f>'1014 projects'!X43</f>
        <v>15</v>
      </c>
      <c r="D94" s="148">
        <v>1</v>
      </c>
      <c r="E94" s="148">
        <v>1</v>
      </c>
      <c r="F94" s="148">
        <v>1</v>
      </c>
      <c r="G94" s="148">
        <v>1</v>
      </c>
      <c r="H94" s="148">
        <v>1</v>
      </c>
      <c r="I94" s="21">
        <v>1</v>
      </c>
      <c r="J94" s="21">
        <v>1</v>
      </c>
      <c r="K94" s="21">
        <v>1</v>
      </c>
      <c r="L94" s="21">
        <v>1</v>
      </c>
      <c r="M94" s="21">
        <v>1</v>
      </c>
      <c r="N94" s="21">
        <v>1</v>
      </c>
      <c r="O94" s="21">
        <v>1</v>
      </c>
      <c r="P94" s="21">
        <v>1</v>
      </c>
      <c r="Q94" s="21">
        <v>1</v>
      </c>
      <c r="R94" s="21">
        <v>1</v>
      </c>
    </row>
    <row r="95" spans="1:18" x14ac:dyDescent="0.3">
      <c r="A95">
        <v>39</v>
      </c>
      <c r="B95" s="50" t="str">
        <f t="shared" si="1"/>
        <v>75090268</v>
      </c>
      <c r="C95" s="7">
        <f>'1014 projects'!X44</f>
        <v>15</v>
      </c>
      <c r="D95" s="148">
        <v>1</v>
      </c>
      <c r="E95" s="148">
        <v>1</v>
      </c>
      <c r="F95" s="148">
        <v>1</v>
      </c>
      <c r="G95" s="148">
        <v>1</v>
      </c>
      <c r="H95" s="148">
        <v>1</v>
      </c>
      <c r="I95" s="21">
        <v>1</v>
      </c>
      <c r="J95" s="21">
        <v>1</v>
      </c>
      <c r="K95" s="21">
        <v>1</v>
      </c>
      <c r="L95" s="21">
        <v>1</v>
      </c>
      <c r="M95" s="21">
        <v>1</v>
      </c>
      <c r="N95" s="21">
        <v>1</v>
      </c>
      <c r="O95" s="21">
        <v>1</v>
      </c>
      <c r="P95" s="21">
        <v>1</v>
      </c>
      <c r="Q95" s="21">
        <v>1</v>
      </c>
      <c r="R95" s="21">
        <v>1</v>
      </c>
    </row>
    <row r="96" spans="1:18" x14ac:dyDescent="0.3">
      <c r="A96">
        <v>40</v>
      </c>
      <c r="B96" s="50" t="str">
        <f t="shared" si="1"/>
        <v>75060522</v>
      </c>
      <c r="C96" s="7">
        <f>'1014 projects'!X45</f>
        <v>15</v>
      </c>
      <c r="D96" s="148">
        <v>1</v>
      </c>
      <c r="E96" s="148">
        <v>1</v>
      </c>
      <c r="F96" s="148">
        <v>1</v>
      </c>
      <c r="G96" s="148">
        <v>1</v>
      </c>
      <c r="H96" s="148">
        <v>1</v>
      </c>
      <c r="I96" s="21">
        <v>1</v>
      </c>
      <c r="J96" s="21">
        <v>1</v>
      </c>
      <c r="K96" s="21">
        <v>1</v>
      </c>
      <c r="L96" s="21">
        <v>1</v>
      </c>
      <c r="M96" s="21">
        <v>1</v>
      </c>
      <c r="N96" s="21">
        <v>1</v>
      </c>
      <c r="O96" s="21">
        <v>1</v>
      </c>
      <c r="P96" s="21">
        <v>1</v>
      </c>
      <c r="Q96" s="21">
        <v>1</v>
      </c>
      <c r="R96" s="21">
        <v>1</v>
      </c>
    </row>
    <row r="97" spans="1:18" x14ac:dyDescent="0.3">
      <c r="A97">
        <v>41</v>
      </c>
      <c r="B97" s="50" t="str">
        <f t="shared" si="1"/>
        <v>75093476</v>
      </c>
      <c r="C97" s="7">
        <f>'1014 projects'!X46</f>
        <v>15</v>
      </c>
      <c r="D97" s="148">
        <v>1</v>
      </c>
      <c r="E97" s="148">
        <v>1</v>
      </c>
      <c r="F97" s="148">
        <v>1</v>
      </c>
      <c r="G97" s="148">
        <v>1</v>
      </c>
      <c r="H97" s="148">
        <v>1</v>
      </c>
      <c r="I97" s="21">
        <v>1</v>
      </c>
      <c r="J97" s="21">
        <v>1</v>
      </c>
      <c r="K97" s="21">
        <v>1</v>
      </c>
      <c r="L97" s="21">
        <v>1</v>
      </c>
      <c r="M97" s="21">
        <v>1</v>
      </c>
      <c r="N97" s="21">
        <v>1</v>
      </c>
      <c r="O97" s="21">
        <v>1</v>
      </c>
      <c r="P97" s="21">
        <v>1</v>
      </c>
      <c r="Q97" s="21">
        <v>1</v>
      </c>
      <c r="R97" s="21">
        <v>1</v>
      </c>
    </row>
    <row r="98" spans="1:18" x14ac:dyDescent="0.3">
      <c r="A98">
        <v>42</v>
      </c>
      <c r="B98" s="50" t="str">
        <f t="shared" si="1"/>
        <v>75088155</v>
      </c>
      <c r="C98" s="7">
        <f>'1014 projects'!X47</f>
        <v>15</v>
      </c>
      <c r="D98" s="148">
        <v>1</v>
      </c>
      <c r="E98" s="148">
        <v>1</v>
      </c>
      <c r="F98" s="148">
        <v>1</v>
      </c>
      <c r="G98" s="148">
        <v>1</v>
      </c>
      <c r="H98" s="148">
        <v>1</v>
      </c>
      <c r="I98" s="21">
        <v>1</v>
      </c>
      <c r="J98" s="21">
        <v>1</v>
      </c>
      <c r="K98" s="21">
        <v>1</v>
      </c>
      <c r="L98" s="21">
        <v>1</v>
      </c>
      <c r="M98" s="21">
        <v>1</v>
      </c>
      <c r="N98" s="21">
        <v>1</v>
      </c>
      <c r="O98" s="21">
        <v>1</v>
      </c>
      <c r="P98" s="21">
        <v>1</v>
      </c>
      <c r="Q98" s="21">
        <v>1</v>
      </c>
      <c r="R98" s="21">
        <v>1</v>
      </c>
    </row>
    <row r="99" spans="1:18" x14ac:dyDescent="0.3">
      <c r="A99">
        <v>43</v>
      </c>
      <c r="B99" s="50" t="str">
        <f t="shared" si="1"/>
        <v>75089798</v>
      </c>
      <c r="C99" s="7">
        <f>'1014 projects'!X48</f>
        <v>15</v>
      </c>
      <c r="D99" s="148">
        <v>1</v>
      </c>
      <c r="E99" s="148">
        <v>1</v>
      </c>
      <c r="F99" s="148">
        <v>1</v>
      </c>
      <c r="G99" s="148">
        <v>1</v>
      </c>
      <c r="H99" s="148">
        <v>1</v>
      </c>
      <c r="I99" s="21">
        <v>1</v>
      </c>
      <c r="J99" s="21">
        <v>1</v>
      </c>
      <c r="K99" s="21">
        <v>1</v>
      </c>
      <c r="L99" s="21">
        <v>1</v>
      </c>
      <c r="M99" s="21">
        <v>1</v>
      </c>
      <c r="N99" s="21">
        <v>1</v>
      </c>
      <c r="O99" s="21">
        <v>1</v>
      </c>
      <c r="P99" s="21">
        <v>1</v>
      </c>
      <c r="Q99" s="21">
        <v>1</v>
      </c>
      <c r="R99" s="21">
        <v>1</v>
      </c>
    </row>
    <row r="100" spans="1:18" x14ac:dyDescent="0.3">
      <c r="A100">
        <v>44</v>
      </c>
      <c r="B100" s="50">
        <f t="shared" si="1"/>
        <v>0</v>
      </c>
      <c r="C100" s="7">
        <f>'1014 projects'!X49</f>
        <v>15</v>
      </c>
      <c r="D100" s="148">
        <v>1</v>
      </c>
      <c r="E100" s="148">
        <v>1</v>
      </c>
      <c r="F100" s="148">
        <v>1</v>
      </c>
      <c r="G100" s="148">
        <v>1</v>
      </c>
      <c r="H100" s="148">
        <v>1</v>
      </c>
      <c r="I100" s="21">
        <v>1</v>
      </c>
      <c r="J100" s="21">
        <v>1</v>
      </c>
      <c r="K100" s="21">
        <v>1</v>
      </c>
      <c r="L100" s="21">
        <v>1</v>
      </c>
      <c r="M100" s="21">
        <v>1</v>
      </c>
      <c r="N100" s="21">
        <v>1</v>
      </c>
      <c r="O100" s="21">
        <v>1</v>
      </c>
      <c r="P100" s="21">
        <v>1</v>
      </c>
      <c r="Q100" s="21">
        <v>1</v>
      </c>
      <c r="R100" s="21">
        <v>1</v>
      </c>
    </row>
    <row r="101" spans="1:18" x14ac:dyDescent="0.3">
      <c r="A101">
        <v>45</v>
      </c>
      <c r="B101" s="50" t="str">
        <f t="shared" si="1"/>
        <v>75081423</v>
      </c>
      <c r="C101" s="7">
        <f>'1014 projects'!X50</f>
        <v>15</v>
      </c>
      <c r="D101" s="148">
        <v>1</v>
      </c>
      <c r="E101" s="148">
        <v>1</v>
      </c>
      <c r="F101" s="148">
        <v>1</v>
      </c>
      <c r="G101" s="148">
        <v>1</v>
      </c>
      <c r="H101" s="148">
        <v>1</v>
      </c>
      <c r="I101" s="21">
        <v>1</v>
      </c>
      <c r="J101" s="21">
        <v>1</v>
      </c>
      <c r="K101" s="21">
        <v>1</v>
      </c>
      <c r="L101" s="21">
        <v>1</v>
      </c>
      <c r="M101" s="21">
        <v>1</v>
      </c>
      <c r="N101" s="21">
        <v>1</v>
      </c>
      <c r="O101" s="21">
        <v>1</v>
      </c>
      <c r="P101" s="21">
        <v>1</v>
      </c>
      <c r="Q101" s="21">
        <v>1</v>
      </c>
      <c r="R101" s="21">
        <v>1</v>
      </c>
    </row>
    <row r="102" spans="1:18" x14ac:dyDescent="0.3">
      <c r="A102">
        <v>46</v>
      </c>
      <c r="B102" s="50">
        <f t="shared" si="1"/>
        <v>0</v>
      </c>
      <c r="C102" s="7">
        <f>'1014 projects'!X51</f>
        <v>0</v>
      </c>
      <c r="D102" s="148">
        <v>1</v>
      </c>
      <c r="E102" s="148">
        <v>1</v>
      </c>
      <c r="F102" s="148">
        <v>1</v>
      </c>
      <c r="G102" s="148">
        <v>1</v>
      </c>
      <c r="H102" s="148">
        <v>1</v>
      </c>
      <c r="I102" s="21">
        <v>1</v>
      </c>
      <c r="J102" s="21">
        <v>1</v>
      </c>
      <c r="K102" s="21">
        <v>1</v>
      </c>
      <c r="L102" s="21">
        <v>1</v>
      </c>
      <c r="M102" s="21">
        <v>1</v>
      </c>
      <c r="N102" s="21">
        <v>1</v>
      </c>
      <c r="O102" s="21">
        <v>1</v>
      </c>
      <c r="P102" s="21">
        <v>1</v>
      </c>
      <c r="Q102" s="21">
        <v>1</v>
      </c>
      <c r="R102" s="21">
        <v>1</v>
      </c>
    </row>
    <row r="103" spans="1:18" x14ac:dyDescent="0.3">
      <c r="A103">
        <v>47</v>
      </c>
      <c r="B103" s="50" t="str">
        <f t="shared" si="1"/>
        <v>75078358</v>
      </c>
      <c r="C103" s="7">
        <f>'1014 projects'!X52</f>
        <v>15</v>
      </c>
      <c r="D103" s="148">
        <v>1</v>
      </c>
      <c r="E103" s="148">
        <v>1</v>
      </c>
      <c r="F103" s="148">
        <v>1</v>
      </c>
      <c r="G103" s="148">
        <v>1</v>
      </c>
      <c r="H103" s="148">
        <v>1</v>
      </c>
      <c r="I103" s="21">
        <v>1</v>
      </c>
      <c r="J103" s="21">
        <v>1</v>
      </c>
      <c r="K103" s="21">
        <v>1</v>
      </c>
      <c r="L103" s="21">
        <v>1</v>
      </c>
      <c r="M103" s="21">
        <v>1</v>
      </c>
      <c r="N103" s="21">
        <v>1</v>
      </c>
      <c r="O103" s="21">
        <v>1</v>
      </c>
      <c r="P103" s="21">
        <v>1</v>
      </c>
      <c r="Q103" s="21">
        <v>1</v>
      </c>
      <c r="R103" s="21">
        <v>1</v>
      </c>
    </row>
    <row r="104" spans="1:18" x14ac:dyDescent="0.3">
      <c r="A104">
        <v>48</v>
      </c>
      <c r="B104" s="50" t="str">
        <f t="shared" si="1"/>
        <v>75074655</v>
      </c>
      <c r="C104" s="7">
        <f>'1014 projects'!X53</f>
        <v>15</v>
      </c>
      <c r="D104" s="148">
        <v>1</v>
      </c>
      <c r="E104" s="148">
        <v>1</v>
      </c>
      <c r="F104" s="148">
        <v>1</v>
      </c>
      <c r="G104" s="148">
        <v>1</v>
      </c>
      <c r="H104" s="148">
        <v>1</v>
      </c>
      <c r="I104" s="21">
        <v>1</v>
      </c>
      <c r="J104" s="21">
        <v>1</v>
      </c>
      <c r="K104" s="21">
        <v>1</v>
      </c>
      <c r="L104" s="21">
        <v>1</v>
      </c>
      <c r="M104" s="21">
        <v>1</v>
      </c>
      <c r="N104" s="21">
        <v>1</v>
      </c>
      <c r="O104" s="21">
        <v>1</v>
      </c>
      <c r="P104" s="21">
        <v>1</v>
      </c>
      <c r="Q104" s="21">
        <v>1</v>
      </c>
      <c r="R104" s="21">
        <v>1</v>
      </c>
    </row>
    <row r="105" spans="1:18" x14ac:dyDescent="0.3">
      <c r="A105">
        <v>49</v>
      </c>
      <c r="B105" s="50" t="str">
        <f t="shared" si="1"/>
        <v>75081130</v>
      </c>
      <c r="C105" s="7">
        <f>'1014 projects'!X54</f>
        <v>15</v>
      </c>
      <c r="D105" s="148">
        <v>1</v>
      </c>
      <c r="E105" s="148">
        <v>1</v>
      </c>
      <c r="F105" s="148">
        <v>1</v>
      </c>
      <c r="G105" s="148">
        <v>1</v>
      </c>
      <c r="H105" s="148">
        <v>1</v>
      </c>
      <c r="I105" s="21">
        <v>1</v>
      </c>
      <c r="J105" s="21">
        <v>1</v>
      </c>
      <c r="K105" s="21">
        <v>1</v>
      </c>
      <c r="L105" s="21">
        <v>1</v>
      </c>
      <c r="M105" s="21">
        <v>1</v>
      </c>
      <c r="N105" s="21">
        <v>1</v>
      </c>
      <c r="O105" s="21">
        <v>1</v>
      </c>
      <c r="P105" s="21">
        <v>1</v>
      </c>
      <c r="Q105" s="21">
        <v>1</v>
      </c>
      <c r="R105" s="21">
        <v>1</v>
      </c>
    </row>
    <row r="106" spans="1:18" x14ac:dyDescent="0.3">
      <c r="A106">
        <v>50</v>
      </c>
      <c r="B106" s="50" t="str">
        <f t="shared" si="1"/>
        <v>75085164</v>
      </c>
      <c r="C106" s="7">
        <f>'1014 projects'!X55</f>
        <v>15</v>
      </c>
      <c r="D106" s="148">
        <v>1</v>
      </c>
      <c r="E106" s="148">
        <v>1</v>
      </c>
      <c r="F106" s="148">
        <v>1</v>
      </c>
      <c r="G106" s="148">
        <v>1</v>
      </c>
      <c r="H106" s="148">
        <v>1</v>
      </c>
      <c r="I106" s="21">
        <v>1</v>
      </c>
      <c r="J106" s="21">
        <v>1</v>
      </c>
      <c r="K106" s="21">
        <v>1</v>
      </c>
      <c r="L106" s="21">
        <v>1</v>
      </c>
      <c r="M106" s="21">
        <v>1</v>
      </c>
      <c r="N106" s="21">
        <v>1</v>
      </c>
      <c r="O106" s="21">
        <v>1</v>
      </c>
      <c r="P106" s="21">
        <v>1</v>
      </c>
      <c r="Q106" s="21">
        <v>1</v>
      </c>
      <c r="R106" s="21">
        <v>1</v>
      </c>
    </row>
    <row r="108" spans="1:18" x14ac:dyDescent="0.3">
      <c r="A108" s="5" t="s">
        <v>60</v>
      </c>
      <c r="G108" s="138" t="s">
        <v>188</v>
      </c>
    </row>
    <row r="109" spans="1:18" ht="29.35" x14ac:dyDescent="0.3">
      <c r="A109" s="5" t="s">
        <v>51</v>
      </c>
      <c r="B109" s="58" t="s">
        <v>0</v>
      </c>
      <c r="C109" s="58" t="s">
        <v>29</v>
      </c>
      <c r="D109" s="36" t="str">
        <f>D$3</f>
        <v>2023-24</v>
      </c>
      <c r="E109" s="36" t="str">
        <f t="shared" ref="E109:R109" si="2">E$3</f>
        <v>2024-25</v>
      </c>
      <c r="F109" s="36" t="str">
        <f t="shared" si="2"/>
        <v>2025-26</v>
      </c>
      <c r="G109" s="36" t="str">
        <f t="shared" si="2"/>
        <v>2026-27</v>
      </c>
      <c r="H109" s="36" t="str">
        <f t="shared" si="2"/>
        <v>2027-28</v>
      </c>
      <c r="I109" s="36" t="str">
        <f t="shared" si="2"/>
        <v>2028-29</v>
      </c>
      <c r="J109" s="36" t="str">
        <f t="shared" si="2"/>
        <v>2029-30</v>
      </c>
      <c r="K109" s="36" t="str">
        <f t="shared" si="2"/>
        <v>2030-31</v>
      </c>
      <c r="L109" s="36" t="str">
        <f t="shared" si="2"/>
        <v>2031-32</v>
      </c>
      <c r="M109" s="36" t="str">
        <f t="shared" si="2"/>
        <v>2032-33</v>
      </c>
      <c r="N109" s="36" t="str">
        <f t="shared" si="2"/>
        <v>2033-34</v>
      </c>
      <c r="O109" s="36" t="str">
        <f t="shared" si="2"/>
        <v>2034-35</v>
      </c>
      <c r="P109" s="36" t="str">
        <f t="shared" si="2"/>
        <v>2035-36</v>
      </c>
      <c r="Q109" s="36" t="str">
        <f t="shared" si="2"/>
        <v>2036-37</v>
      </c>
      <c r="R109" s="36" t="str">
        <f t="shared" si="2"/>
        <v>2037-38</v>
      </c>
    </row>
    <row r="110" spans="1:18" x14ac:dyDescent="0.3">
      <c r="A110">
        <v>1</v>
      </c>
      <c r="B110" s="50" t="str">
        <f>B4</f>
        <v>75090096</v>
      </c>
      <c r="C110" s="7">
        <f>C57</f>
        <v>15</v>
      </c>
      <c r="D110">
        <f>'1014 projects'!$V6</f>
        <v>1</v>
      </c>
      <c r="E110">
        <f>'1014 projects'!$V6</f>
        <v>1</v>
      </c>
      <c r="F110">
        <f>'1014 projects'!$V6</f>
        <v>1</v>
      </c>
      <c r="G110">
        <f>'1014 projects'!$V6</f>
        <v>1</v>
      </c>
      <c r="H110">
        <f>'1014 projects'!$V6</f>
        <v>1</v>
      </c>
      <c r="I110">
        <f>'1014 projects'!$V6</f>
        <v>1</v>
      </c>
      <c r="J110">
        <f>'1014 projects'!$V6</f>
        <v>1</v>
      </c>
      <c r="K110">
        <f>'1014 projects'!$V6</f>
        <v>1</v>
      </c>
      <c r="L110">
        <f>'1014 projects'!$V6</f>
        <v>1</v>
      </c>
      <c r="M110">
        <f>'1014 projects'!$V6</f>
        <v>1</v>
      </c>
      <c r="N110">
        <f>'1014 projects'!$V6</f>
        <v>1</v>
      </c>
      <c r="O110">
        <f>'1014 projects'!$V6</f>
        <v>1</v>
      </c>
      <c r="P110">
        <f>'1014 projects'!$V6</f>
        <v>1</v>
      </c>
      <c r="Q110">
        <f>'1014 projects'!$V6</f>
        <v>1</v>
      </c>
      <c r="R110">
        <f>'1014 projects'!$V6</f>
        <v>1</v>
      </c>
    </row>
    <row r="111" spans="1:18" x14ac:dyDescent="0.3">
      <c r="A111">
        <v>2</v>
      </c>
      <c r="B111" s="50" t="str">
        <f t="shared" ref="B111:B159" si="3">B5</f>
        <v>75077404</v>
      </c>
      <c r="C111" s="7">
        <f t="shared" ref="C111:C159" si="4">C58</f>
        <v>15</v>
      </c>
      <c r="D111">
        <f>'1014 projects'!$V7</f>
        <v>1</v>
      </c>
      <c r="E111">
        <f>'1014 projects'!$V7</f>
        <v>1</v>
      </c>
      <c r="F111">
        <f>'1014 projects'!$V7</f>
        <v>1</v>
      </c>
      <c r="G111">
        <f>'1014 projects'!$V7</f>
        <v>1</v>
      </c>
      <c r="H111">
        <f>'1014 projects'!$V7</f>
        <v>1</v>
      </c>
      <c r="I111">
        <f>'1014 projects'!$V7</f>
        <v>1</v>
      </c>
      <c r="J111">
        <f>'1014 projects'!$V7</f>
        <v>1</v>
      </c>
      <c r="K111">
        <f>'1014 projects'!$V7</f>
        <v>1</v>
      </c>
      <c r="L111">
        <f>'1014 projects'!$V7</f>
        <v>1</v>
      </c>
      <c r="M111">
        <f>'1014 projects'!$V7</f>
        <v>1</v>
      </c>
      <c r="N111">
        <f>'1014 projects'!$V7</f>
        <v>1</v>
      </c>
      <c r="O111">
        <f>'1014 projects'!$V7</f>
        <v>1</v>
      </c>
      <c r="P111">
        <f>'1014 projects'!$V7</f>
        <v>1</v>
      </c>
      <c r="Q111">
        <f>'1014 projects'!$V7</f>
        <v>1</v>
      </c>
      <c r="R111">
        <f>'1014 projects'!$V7</f>
        <v>1</v>
      </c>
    </row>
    <row r="112" spans="1:18" x14ac:dyDescent="0.3">
      <c r="A112">
        <v>3</v>
      </c>
      <c r="B112" s="50" t="str">
        <f t="shared" si="3"/>
        <v>75077903</v>
      </c>
      <c r="C112" s="7">
        <f t="shared" si="4"/>
        <v>15</v>
      </c>
      <c r="D112">
        <f>'1014 projects'!$V8</f>
        <v>0.33333333333333331</v>
      </c>
      <c r="E112">
        <f>'1014 projects'!$V8</f>
        <v>0.33333333333333331</v>
      </c>
      <c r="F112">
        <f>'1014 projects'!$V8</f>
        <v>0.33333333333333331</v>
      </c>
      <c r="G112">
        <f>'1014 projects'!$V8</f>
        <v>0.33333333333333331</v>
      </c>
      <c r="H112">
        <f>'1014 projects'!$V8</f>
        <v>0.33333333333333331</v>
      </c>
      <c r="I112">
        <f>'1014 projects'!$V8</f>
        <v>0.33333333333333331</v>
      </c>
      <c r="J112">
        <f>'1014 projects'!$V8</f>
        <v>0.33333333333333331</v>
      </c>
      <c r="K112">
        <f>'1014 projects'!$V8</f>
        <v>0.33333333333333331</v>
      </c>
      <c r="L112">
        <f>'1014 projects'!$V8</f>
        <v>0.33333333333333331</v>
      </c>
      <c r="M112">
        <f>'1014 projects'!$V8</f>
        <v>0.33333333333333331</v>
      </c>
      <c r="N112">
        <f>'1014 projects'!$V8</f>
        <v>0.33333333333333331</v>
      </c>
      <c r="O112">
        <f>'1014 projects'!$V8</f>
        <v>0.33333333333333331</v>
      </c>
      <c r="P112">
        <f>'1014 projects'!$V8</f>
        <v>0.33333333333333331</v>
      </c>
      <c r="Q112">
        <f>'1014 projects'!$V8</f>
        <v>0.33333333333333331</v>
      </c>
      <c r="R112">
        <f>'1014 projects'!$V8</f>
        <v>0.33333333333333331</v>
      </c>
    </row>
    <row r="113" spans="1:18" x14ac:dyDescent="0.3">
      <c r="A113">
        <v>4</v>
      </c>
      <c r="B113" s="50" t="str">
        <f t="shared" si="3"/>
        <v>75078211</v>
      </c>
      <c r="C113" s="7">
        <f t="shared" si="4"/>
        <v>15</v>
      </c>
      <c r="D113">
        <f>'1014 projects'!$V9</f>
        <v>1</v>
      </c>
      <c r="E113">
        <f>'1014 projects'!$V9</f>
        <v>1</v>
      </c>
      <c r="F113">
        <f>'1014 projects'!$V9</f>
        <v>1</v>
      </c>
      <c r="G113">
        <f>'1014 projects'!$V9</f>
        <v>1</v>
      </c>
      <c r="H113">
        <f>'1014 projects'!$V9</f>
        <v>1</v>
      </c>
      <c r="I113">
        <f>'1014 projects'!$V9</f>
        <v>1</v>
      </c>
      <c r="J113">
        <f>'1014 projects'!$V9</f>
        <v>1</v>
      </c>
      <c r="K113">
        <f>'1014 projects'!$V9</f>
        <v>1</v>
      </c>
      <c r="L113">
        <f>'1014 projects'!$V9</f>
        <v>1</v>
      </c>
      <c r="M113">
        <f>'1014 projects'!$V9</f>
        <v>1</v>
      </c>
      <c r="N113">
        <f>'1014 projects'!$V9</f>
        <v>1</v>
      </c>
      <c r="O113">
        <f>'1014 projects'!$V9</f>
        <v>1</v>
      </c>
      <c r="P113">
        <f>'1014 projects'!$V9</f>
        <v>1</v>
      </c>
      <c r="Q113">
        <f>'1014 projects'!$V9</f>
        <v>1</v>
      </c>
      <c r="R113">
        <f>'1014 projects'!$V9</f>
        <v>1</v>
      </c>
    </row>
    <row r="114" spans="1:18" x14ac:dyDescent="0.3">
      <c r="A114">
        <v>5</v>
      </c>
      <c r="B114" s="50" t="str">
        <f t="shared" si="3"/>
        <v>75067688</v>
      </c>
      <c r="C114" s="7">
        <f t="shared" si="4"/>
        <v>15</v>
      </c>
      <c r="D114">
        <f>'1014 projects'!$V10</f>
        <v>1</v>
      </c>
      <c r="E114">
        <f>'1014 projects'!$V10</f>
        <v>1</v>
      </c>
      <c r="F114">
        <f>'1014 projects'!$V10</f>
        <v>1</v>
      </c>
      <c r="G114">
        <f>'1014 projects'!$V10</f>
        <v>1</v>
      </c>
      <c r="H114">
        <f>'1014 projects'!$V10</f>
        <v>1</v>
      </c>
      <c r="I114">
        <f>'1014 projects'!$V10</f>
        <v>1</v>
      </c>
      <c r="J114">
        <f>'1014 projects'!$V10</f>
        <v>1</v>
      </c>
      <c r="K114">
        <f>'1014 projects'!$V10</f>
        <v>1</v>
      </c>
      <c r="L114">
        <f>'1014 projects'!$V10</f>
        <v>1</v>
      </c>
      <c r="M114">
        <f>'1014 projects'!$V10</f>
        <v>1</v>
      </c>
      <c r="N114">
        <f>'1014 projects'!$V10</f>
        <v>1</v>
      </c>
      <c r="O114">
        <f>'1014 projects'!$V10</f>
        <v>1</v>
      </c>
      <c r="P114">
        <f>'1014 projects'!$V10</f>
        <v>1</v>
      </c>
      <c r="Q114">
        <f>'1014 projects'!$V10</f>
        <v>1</v>
      </c>
      <c r="R114">
        <f>'1014 projects'!$V10</f>
        <v>1</v>
      </c>
    </row>
    <row r="115" spans="1:18" x14ac:dyDescent="0.3">
      <c r="A115">
        <v>6</v>
      </c>
      <c r="B115" s="50" t="str">
        <f t="shared" si="3"/>
        <v>75084229</v>
      </c>
      <c r="C115" s="7">
        <f t="shared" si="4"/>
        <v>15</v>
      </c>
      <c r="D115">
        <f>'1014 projects'!$V11</f>
        <v>1</v>
      </c>
      <c r="E115">
        <f>'1014 projects'!$V11</f>
        <v>1</v>
      </c>
      <c r="F115">
        <f>'1014 projects'!$V11</f>
        <v>1</v>
      </c>
      <c r="G115">
        <f>'1014 projects'!$V11</f>
        <v>1</v>
      </c>
      <c r="H115">
        <f>'1014 projects'!$V11</f>
        <v>1</v>
      </c>
      <c r="I115">
        <f>'1014 projects'!$V11</f>
        <v>1</v>
      </c>
      <c r="J115">
        <f>'1014 projects'!$V11</f>
        <v>1</v>
      </c>
      <c r="K115">
        <f>'1014 projects'!$V11</f>
        <v>1</v>
      </c>
      <c r="L115">
        <f>'1014 projects'!$V11</f>
        <v>1</v>
      </c>
      <c r="M115">
        <f>'1014 projects'!$V11</f>
        <v>1</v>
      </c>
      <c r="N115">
        <f>'1014 projects'!$V11</f>
        <v>1</v>
      </c>
      <c r="O115">
        <f>'1014 projects'!$V11</f>
        <v>1</v>
      </c>
      <c r="P115">
        <f>'1014 projects'!$V11</f>
        <v>1</v>
      </c>
      <c r="Q115">
        <f>'1014 projects'!$V11</f>
        <v>1</v>
      </c>
      <c r="R115">
        <f>'1014 projects'!$V11</f>
        <v>1</v>
      </c>
    </row>
    <row r="116" spans="1:18" x14ac:dyDescent="0.3">
      <c r="A116">
        <v>7</v>
      </c>
      <c r="B116" s="50" t="str">
        <f t="shared" si="3"/>
        <v>75087003</v>
      </c>
      <c r="C116" s="7">
        <f t="shared" si="4"/>
        <v>15</v>
      </c>
      <c r="D116">
        <f>'1014 projects'!$V12</f>
        <v>1</v>
      </c>
      <c r="E116">
        <f>'1014 projects'!$V12</f>
        <v>1</v>
      </c>
      <c r="F116">
        <f>'1014 projects'!$V12</f>
        <v>1</v>
      </c>
      <c r="G116">
        <f>'1014 projects'!$V12</f>
        <v>1</v>
      </c>
      <c r="H116">
        <f>'1014 projects'!$V12</f>
        <v>1</v>
      </c>
      <c r="I116">
        <f>'1014 projects'!$V12</f>
        <v>1</v>
      </c>
      <c r="J116">
        <f>'1014 projects'!$V12</f>
        <v>1</v>
      </c>
      <c r="K116">
        <f>'1014 projects'!$V12</f>
        <v>1</v>
      </c>
      <c r="L116">
        <f>'1014 projects'!$V12</f>
        <v>1</v>
      </c>
      <c r="M116">
        <f>'1014 projects'!$V12</f>
        <v>1</v>
      </c>
      <c r="N116">
        <f>'1014 projects'!$V12</f>
        <v>1</v>
      </c>
      <c r="O116">
        <f>'1014 projects'!$V12</f>
        <v>1</v>
      </c>
      <c r="P116">
        <f>'1014 projects'!$V12</f>
        <v>1</v>
      </c>
      <c r="Q116">
        <f>'1014 projects'!$V12</f>
        <v>1</v>
      </c>
      <c r="R116">
        <f>'1014 projects'!$V12</f>
        <v>1</v>
      </c>
    </row>
    <row r="117" spans="1:18" x14ac:dyDescent="0.3">
      <c r="A117">
        <v>8</v>
      </c>
      <c r="B117" s="50" t="str">
        <f t="shared" si="3"/>
        <v>75089640</v>
      </c>
      <c r="C117" s="7">
        <f t="shared" si="4"/>
        <v>15</v>
      </c>
      <c r="D117">
        <f>'1014 projects'!$V13</f>
        <v>1</v>
      </c>
      <c r="E117">
        <f>'1014 projects'!$V13</f>
        <v>1</v>
      </c>
      <c r="F117">
        <f>'1014 projects'!$V13</f>
        <v>1</v>
      </c>
      <c r="G117">
        <f>'1014 projects'!$V13</f>
        <v>1</v>
      </c>
      <c r="H117">
        <f>'1014 projects'!$V13</f>
        <v>1</v>
      </c>
      <c r="I117">
        <f>'1014 projects'!$V13</f>
        <v>1</v>
      </c>
      <c r="J117">
        <f>'1014 projects'!$V13</f>
        <v>1</v>
      </c>
      <c r="K117">
        <f>'1014 projects'!$V13</f>
        <v>1</v>
      </c>
      <c r="L117">
        <f>'1014 projects'!$V13</f>
        <v>1</v>
      </c>
      <c r="M117">
        <f>'1014 projects'!$V13</f>
        <v>1</v>
      </c>
      <c r="N117">
        <f>'1014 projects'!$V13</f>
        <v>1</v>
      </c>
      <c r="O117">
        <f>'1014 projects'!$V13</f>
        <v>1</v>
      </c>
      <c r="P117">
        <f>'1014 projects'!$V13</f>
        <v>1</v>
      </c>
      <c r="Q117">
        <f>'1014 projects'!$V13</f>
        <v>1</v>
      </c>
      <c r="R117">
        <f>'1014 projects'!$V13</f>
        <v>1</v>
      </c>
    </row>
    <row r="118" spans="1:18" x14ac:dyDescent="0.3">
      <c r="A118">
        <v>9</v>
      </c>
      <c r="B118" s="50" t="str">
        <f t="shared" si="3"/>
        <v>75072730</v>
      </c>
      <c r="C118" s="7">
        <f t="shared" si="4"/>
        <v>15</v>
      </c>
      <c r="D118">
        <f>'1014 projects'!$V14</f>
        <v>1</v>
      </c>
      <c r="E118">
        <f>'1014 projects'!$V14</f>
        <v>1</v>
      </c>
      <c r="F118">
        <f>'1014 projects'!$V14</f>
        <v>1</v>
      </c>
      <c r="G118">
        <f>'1014 projects'!$V14</f>
        <v>1</v>
      </c>
      <c r="H118">
        <f>'1014 projects'!$V14</f>
        <v>1</v>
      </c>
      <c r="I118">
        <f>'1014 projects'!$V14</f>
        <v>1</v>
      </c>
      <c r="J118">
        <f>'1014 projects'!$V14</f>
        <v>1</v>
      </c>
      <c r="K118">
        <f>'1014 projects'!$V14</f>
        <v>1</v>
      </c>
      <c r="L118">
        <f>'1014 projects'!$V14</f>
        <v>1</v>
      </c>
      <c r="M118">
        <f>'1014 projects'!$V14</f>
        <v>1</v>
      </c>
      <c r="N118">
        <f>'1014 projects'!$V14</f>
        <v>1</v>
      </c>
      <c r="O118">
        <f>'1014 projects'!$V14</f>
        <v>1</v>
      </c>
      <c r="P118">
        <f>'1014 projects'!$V14</f>
        <v>1</v>
      </c>
      <c r="Q118">
        <f>'1014 projects'!$V14</f>
        <v>1</v>
      </c>
      <c r="R118">
        <f>'1014 projects'!$V14</f>
        <v>1</v>
      </c>
    </row>
    <row r="119" spans="1:18" x14ac:dyDescent="0.3">
      <c r="A119">
        <v>10</v>
      </c>
      <c r="B119" s="50" t="str">
        <f t="shared" si="3"/>
        <v>75055038</v>
      </c>
      <c r="C119" s="7">
        <f t="shared" si="4"/>
        <v>15</v>
      </c>
      <c r="D119">
        <f>'1014 projects'!$V15</f>
        <v>1</v>
      </c>
      <c r="E119">
        <f>'1014 projects'!$V15</f>
        <v>1</v>
      </c>
      <c r="F119">
        <f>'1014 projects'!$V15</f>
        <v>1</v>
      </c>
      <c r="G119">
        <f>'1014 projects'!$V15</f>
        <v>1</v>
      </c>
      <c r="H119">
        <f>'1014 projects'!$V15</f>
        <v>1</v>
      </c>
      <c r="I119">
        <f>'1014 projects'!$V15</f>
        <v>1</v>
      </c>
      <c r="J119">
        <f>'1014 projects'!$V15</f>
        <v>1</v>
      </c>
      <c r="K119">
        <f>'1014 projects'!$V15</f>
        <v>1</v>
      </c>
      <c r="L119">
        <f>'1014 projects'!$V15</f>
        <v>1</v>
      </c>
      <c r="M119">
        <f>'1014 projects'!$V15</f>
        <v>1</v>
      </c>
      <c r="N119">
        <f>'1014 projects'!$V15</f>
        <v>1</v>
      </c>
      <c r="O119">
        <f>'1014 projects'!$V15</f>
        <v>1</v>
      </c>
      <c r="P119">
        <f>'1014 projects'!$V15</f>
        <v>1</v>
      </c>
      <c r="Q119">
        <f>'1014 projects'!$V15</f>
        <v>1</v>
      </c>
      <c r="R119">
        <f>'1014 projects'!$V15</f>
        <v>1</v>
      </c>
    </row>
    <row r="120" spans="1:18" x14ac:dyDescent="0.3">
      <c r="A120">
        <v>11</v>
      </c>
      <c r="B120" s="50" t="str">
        <f t="shared" si="3"/>
        <v>75079161</v>
      </c>
      <c r="C120" s="7">
        <f t="shared" si="4"/>
        <v>15</v>
      </c>
      <c r="D120">
        <f>'1014 projects'!$V16</f>
        <v>0.5</v>
      </c>
      <c r="E120">
        <f>'1014 projects'!$V16</f>
        <v>0.5</v>
      </c>
      <c r="F120">
        <f>'1014 projects'!$V16</f>
        <v>0.5</v>
      </c>
      <c r="G120">
        <f>'1014 projects'!$V16</f>
        <v>0.5</v>
      </c>
      <c r="H120">
        <f>'1014 projects'!$V16</f>
        <v>0.5</v>
      </c>
      <c r="I120">
        <f>'1014 projects'!$V16</f>
        <v>0.5</v>
      </c>
      <c r="J120">
        <f>'1014 projects'!$V16</f>
        <v>0.5</v>
      </c>
      <c r="K120">
        <f>'1014 projects'!$V16</f>
        <v>0.5</v>
      </c>
      <c r="L120">
        <f>'1014 projects'!$V16</f>
        <v>0.5</v>
      </c>
      <c r="M120">
        <f>'1014 projects'!$V16</f>
        <v>0.5</v>
      </c>
      <c r="N120">
        <f>'1014 projects'!$V16</f>
        <v>0.5</v>
      </c>
      <c r="O120">
        <f>'1014 projects'!$V16</f>
        <v>0.5</v>
      </c>
      <c r="P120">
        <f>'1014 projects'!$V16</f>
        <v>0.5</v>
      </c>
      <c r="Q120">
        <f>'1014 projects'!$V16</f>
        <v>0.5</v>
      </c>
      <c r="R120">
        <f>'1014 projects'!$V16</f>
        <v>0.5</v>
      </c>
    </row>
    <row r="121" spans="1:18" x14ac:dyDescent="0.3">
      <c r="A121">
        <v>12</v>
      </c>
      <c r="B121" s="50" t="str">
        <f t="shared" si="3"/>
        <v>75088679</v>
      </c>
      <c r="C121" s="7">
        <f t="shared" si="4"/>
        <v>15</v>
      </c>
      <c r="D121">
        <f>'1014 projects'!$V17</f>
        <v>1</v>
      </c>
      <c r="E121">
        <f>'1014 projects'!$V17</f>
        <v>1</v>
      </c>
      <c r="F121">
        <f>'1014 projects'!$V17</f>
        <v>1</v>
      </c>
      <c r="G121">
        <f>'1014 projects'!$V17</f>
        <v>1</v>
      </c>
      <c r="H121">
        <f>'1014 projects'!$V17</f>
        <v>1</v>
      </c>
      <c r="I121">
        <f>'1014 projects'!$V17</f>
        <v>1</v>
      </c>
      <c r="J121">
        <f>'1014 projects'!$V17</f>
        <v>1</v>
      </c>
      <c r="K121">
        <f>'1014 projects'!$V17</f>
        <v>1</v>
      </c>
      <c r="L121">
        <f>'1014 projects'!$V17</f>
        <v>1</v>
      </c>
      <c r="M121">
        <f>'1014 projects'!$V17</f>
        <v>1</v>
      </c>
      <c r="N121">
        <f>'1014 projects'!$V17</f>
        <v>1</v>
      </c>
      <c r="O121">
        <f>'1014 projects'!$V17</f>
        <v>1</v>
      </c>
      <c r="P121">
        <f>'1014 projects'!$V17</f>
        <v>1</v>
      </c>
      <c r="Q121">
        <f>'1014 projects'!$V17</f>
        <v>1</v>
      </c>
      <c r="R121">
        <f>'1014 projects'!$V17</f>
        <v>1</v>
      </c>
    </row>
    <row r="122" spans="1:18" x14ac:dyDescent="0.3">
      <c r="A122">
        <v>13</v>
      </c>
      <c r="B122" s="50" t="str">
        <f t="shared" si="3"/>
        <v>75085538</v>
      </c>
      <c r="C122" s="7">
        <f t="shared" si="4"/>
        <v>15</v>
      </c>
      <c r="D122">
        <f>'1014 projects'!$V18</f>
        <v>1</v>
      </c>
      <c r="E122">
        <f>'1014 projects'!$V18</f>
        <v>1</v>
      </c>
      <c r="F122">
        <f>'1014 projects'!$V18</f>
        <v>1</v>
      </c>
      <c r="G122">
        <f>'1014 projects'!$V18</f>
        <v>1</v>
      </c>
      <c r="H122">
        <f>'1014 projects'!$V18</f>
        <v>1</v>
      </c>
      <c r="I122">
        <f>'1014 projects'!$V18</f>
        <v>1</v>
      </c>
      <c r="J122">
        <f>'1014 projects'!$V18</f>
        <v>1</v>
      </c>
      <c r="K122">
        <f>'1014 projects'!$V18</f>
        <v>1</v>
      </c>
      <c r="L122">
        <f>'1014 projects'!$V18</f>
        <v>1</v>
      </c>
      <c r="M122">
        <f>'1014 projects'!$V18</f>
        <v>1</v>
      </c>
      <c r="N122">
        <f>'1014 projects'!$V18</f>
        <v>1</v>
      </c>
      <c r="O122">
        <f>'1014 projects'!$V18</f>
        <v>1</v>
      </c>
      <c r="P122">
        <f>'1014 projects'!$V18</f>
        <v>1</v>
      </c>
      <c r="Q122">
        <f>'1014 projects'!$V18</f>
        <v>1</v>
      </c>
      <c r="R122">
        <f>'1014 projects'!$V18</f>
        <v>1</v>
      </c>
    </row>
    <row r="123" spans="1:18" x14ac:dyDescent="0.3">
      <c r="A123">
        <v>14</v>
      </c>
      <c r="B123" s="50" t="str">
        <f t="shared" si="3"/>
        <v>75089294</v>
      </c>
      <c r="C123" s="7">
        <f t="shared" si="4"/>
        <v>15</v>
      </c>
      <c r="D123">
        <f>'1014 projects'!$V19</f>
        <v>1</v>
      </c>
      <c r="E123">
        <f>'1014 projects'!$V19</f>
        <v>1</v>
      </c>
      <c r="F123">
        <f>'1014 projects'!$V19</f>
        <v>1</v>
      </c>
      <c r="G123">
        <f>'1014 projects'!$V19</f>
        <v>1</v>
      </c>
      <c r="H123">
        <f>'1014 projects'!$V19</f>
        <v>1</v>
      </c>
      <c r="I123">
        <f>'1014 projects'!$V19</f>
        <v>1</v>
      </c>
      <c r="J123">
        <f>'1014 projects'!$V19</f>
        <v>1</v>
      </c>
      <c r="K123">
        <f>'1014 projects'!$V19</f>
        <v>1</v>
      </c>
      <c r="L123">
        <f>'1014 projects'!$V19</f>
        <v>1</v>
      </c>
      <c r="M123">
        <f>'1014 projects'!$V19</f>
        <v>1</v>
      </c>
      <c r="N123">
        <f>'1014 projects'!$V19</f>
        <v>1</v>
      </c>
      <c r="O123">
        <f>'1014 projects'!$V19</f>
        <v>1</v>
      </c>
      <c r="P123">
        <f>'1014 projects'!$V19</f>
        <v>1</v>
      </c>
      <c r="Q123">
        <f>'1014 projects'!$V19</f>
        <v>1</v>
      </c>
      <c r="R123">
        <f>'1014 projects'!$V19</f>
        <v>1</v>
      </c>
    </row>
    <row r="124" spans="1:18" x14ac:dyDescent="0.3">
      <c r="A124">
        <v>15</v>
      </c>
      <c r="B124" s="50" t="str">
        <f t="shared" si="3"/>
        <v>75093308</v>
      </c>
      <c r="C124" s="7">
        <f t="shared" si="4"/>
        <v>15</v>
      </c>
      <c r="D124">
        <f>'1014 projects'!$V20</f>
        <v>1</v>
      </c>
      <c r="E124">
        <f>'1014 projects'!$V20</f>
        <v>1</v>
      </c>
      <c r="F124">
        <f>'1014 projects'!$V20</f>
        <v>1</v>
      </c>
      <c r="G124">
        <f>'1014 projects'!$V20</f>
        <v>1</v>
      </c>
      <c r="H124">
        <f>'1014 projects'!$V20</f>
        <v>1</v>
      </c>
      <c r="I124">
        <f>'1014 projects'!$V20</f>
        <v>1</v>
      </c>
      <c r="J124">
        <f>'1014 projects'!$V20</f>
        <v>1</v>
      </c>
      <c r="K124">
        <f>'1014 projects'!$V20</f>
        <v>1</v>
      </c>
      <c r="L124">
        <f>'1014 projects'!$V20</f>
        <v>1</v>
      </c>
      <c r="M124">
        <f>'1014 projects'!$V20</f>
        <v>1</v>
      </c>
      <c r="N124">
        <f>'1014 projects'!$V20</f>
        <v>1</v>
      </c>
      <c r="O124">
        <f>'1014 projects'!$V20</f>
        <v>1</v>
      </c>
      <c r="P124">
        <f>'1014 projects'!$V20</f>
        <v>1</v>
      </c>
      <c r="Q124">
        <f>'1014 projects'!$V20</f>
        <v>1</v>
      </c>
      <c r="R124">
        <f>'1014 projects'!$V20</f>
        <v>1</v>
      </c>
    </row>
    <row r="125" spans="1:18" x14ac:dyDescent="0.3">
      <c r="A125">
        <v>16</v>
      </c>
      <c r="B125" s="50" t="str">
        <f t="shared" si="3"/>
        <v>75080861</v>
      </c>
      <c r="C125" s="7">
        <f t="shared" si="4"/>
        <v>15</v>
      </c>
      <c r="D125">
        <f>'1014 projects'!$V21</f>
        <v>1</v>
      </c>
      <c r="E125">
        <f>'1014 projects'!$V21</f>
        <v>1</v>
      </c>
      <c r="F125">
        <f>'1014 projects'!$V21</f>
        <v>1</v>
      </c>
      <c r="G125">
        <f>'1014 projects'!$V21</f>
        <v>1</v>
      </c>
      <c r="H125">
        <f>'1014 projects'!$V21</f>
        <v>1</v>
      </c>
      <c r="I125">
        <f>'1014 projects'!$V21</f>
        <v>1</v>
      </c>
      <c r="J125">
        <f>'1014 projects'!$V21</f>
        <v>1</v>
      </c>
      <c r="K125">
        <f>'1014 projects'!$V21</f>
        <v>1</v>
      </c>
      <c r="L125">
        <f>'1014 projects'!$V21</f>
        <v>1</v>
      </c>
      <c r="M125">
        <f>'1014 projects'!$V21</f>
        <v>1</v>
      </c>
      <c r="N125">
        <f>'1014 projects'!$V21</f>
        <v>1</v>
      </c>
      <c r="O125">
        <f>'1014 projects'!$V21</f>
        <v>1</v>
      </c>
      <c r="P125">
        <f>'1014 projects'!$V21</f>
        <v>1</v>
      </c>
      <c r="Q125">
        <f>'1014 projects'!$V21</f>
        <v>1</v>
      </c>
      <c r="R125">
        <f>'1014 projects'!$V21</f>
        <v>1</v>
      </c>
    </row>
    <row r="126" spans="1:18" x14ac:dyDescent="0.3">
      <c r="A126">
        <v>17</v>
      </c>
      <c r="B126" s="50" t="str">
        <f t="shared" si="3"/>
        <v>75085366</v>
      </c>
      <c r="C126" s="7">
        <f t="shared" si="4"/>
        <v>15</v>
      </c>
      <c r="D126">
        <f>'1014 projects'!$V22</f>
        <v>1</v>
      </c>
      <c r="E126">
        <f>'1014 projects'!$V22</f>
        <v>1</v>
      </c>
      <c r="F126">
        <f>'1014 projects'!$V22</f>
        <v>1</v>
      </c>
      <c r="G126">
        <f>'1014 projects'!$V22</f>
        <v>1</v>
      </c>
      <c r="H126">
        <f>'1014 projects'!$V22</f>
        <v>1</v>
      </c>
      <c r="I126">
        <f>'1014 projects'!$V22</f>
        <v>1</v>
      </c>
      <c r="J126">
        <f>'1014 projects'!$V22</f>
        <v>1</v>
      </c>
      <c r="K126">
        <f>'1014 projects'!$V22</f>
        <v>1</v>
      </c>
      <c r="L126">
        <f>'1014 projects'!$V22</f>
        <v>1</v>
      </c>
      <c r="M126">
        <f>'1014 projects'!$V22</f>
        <v>1</v>
      </c>
      <c r="N126">
        <f>'1014 projects'!$V22</f>
        <v>1</v>
      </c>
      <c r="O126">
        <f>'1014 projects'!$V22</f>
        <v>1</v>
      </c>
      <c r="P126">
        <f>'1014 projects'!$V22</f>
        <v>1</v>
      </c>
      <c r="Q126">
        <f>'1014 projects'!$V22</f>
        <v>1</v>
      </c>
      <c r="R126">
        <f>'1014 projects'!$V22</f>
        <v>1</v>
      </c>
    </row>
    <row r="127" spans="1:18" x14ac:dyDescent="0.3">
      <c r="A127">
        <v>18</v>
      </c>
      <c r="B127" s="50" t="str">
        <f t="shared" si="3"/>
        <v>75088855</v>
      </c>
      <c r="C127" s="7">
        <f t="shared" si="4"/>
        <v>15</v>
      </c>
      <c r="D127">
        <f>'1014 projects'!$V23</f>
        <v>1</v>
      </c>
      <c r="E127">
        <f>'1014 projects'!$V23</f>
        <v>1</v>
      </c>
      <c r="F127">
        <f>'1014 projects'!$V23</f>
        <v>1</v>
      </c>
      <c r="G127">
        <f>'1014 projects'!$V23</f>
        <v>1</v>
      </c>
      <c r="H127">
        <f>'1014 projects'!$V23</f>
        <v>1</v>
      </c>
      <c r="I127">
        <f>'1014 projects'!$V23</f>
        <v>1</v>
      </c>
      <c r="J127">
        <f>'1014 projects'!$V23</f>
        <v>1</v>
      </c>
      <c r="K127">
        <f>'1014 projects'!$V23</f>
        <v>1</v>
      </c>
      <c r="L127">
        <f>'1014 projects'!$V23</f>
        <v>1</v>
      </c>
      <c r="M127">
        <f>'1014 projects'!$V23</f>
        <v>1</v>
      </c>
      <c r="N127">
        <f>'1014 projects'!$V23</f>
        <v>1</v>
      </c>
      <c r="O127">
        <f>'1014 projects'!$V23</f>
        <v>1</v>
      </c>
      <c r="P127">
        <f>'1014 projects'!$V23</f>
        <v>1</v>
      </c>
      <c r="Q127">
        <f>'1014 projects'!$V23</f>
        <v>1</v>
      </c>
      <c r="R127">
        <f>'1014 projects'!$V23</f>
        <v>1</v>
      </c>
    </row>
    <row r="128" spans="1:18" x14ac:dyDescent="0.3">
      <c r="A128">
        <v>19</v>
      </c>
      <c r="B128" s="50" t="str">
        <f t="shared" si="3"/>
        <v>75090071</v>
      </c>
      <c r="C128" s="7">
        <f t="shared" si="4"/>
        <v>15</v>
      </c>
      <c r="D128">
        <f>'1014 projects'!$V24</f>
        <v>1</v>
      </c>
      <c r="E128">
        <f>'1014 projects'!$V24</f>
        <v>1</v>
      </c>
      <c r="F128">
        <f>'1014 projects'!$V24</f>
        <v>1</v>
      </c>
      <c r="G128">
        <f>'1014 projects'!$V24</f>
        <v>1</v>
      </c>
      <c r="H128">
        <f>'1014 projects'!$V24</f>
        <v>1</v>
      </c>
      <c r="I128">
        <f>'1014 projects'!$V24</f>
        <v>1</v>
      </c>
      <c r="J128">
        <f>'1014 projects'!$V24</f>
        <v>1</v>
      </c>
      <c r="K128">
        <f>'1014 projects'!$V24</f>
        <v>1</v>
      </c>
      <c r="L128">
        <f>'1014 projects'!$V24</f>
        <v>1</v>
      </c>
      <c r="M128">
        <f>'1014 projects'!$V24</f>
        <v>1</v>
      </c>
      <c r="N128">
        <f>'1014 projects'!$V24</f>
        <v>1</v>
      </c>
      <c r="O128">
        <f>'1014 projects'!$V24</f>
        <v>1</v>
      </c>
      <c r="P128">
        <f>'1014 projects'!$V24</f>
        <v>1</v>
      </c>
      <c r="Q128">
        <f>'1014 projects'!$V24</f>
        <v>1</v>
      </c>
      <c r="R128">
        <f>'1014 projects'!$V24</f>
        <v>1</v>
      </c>
    </row>
    <row r="129" spans="1:18" x14ac:dyDescent="0.3">
      <c r="A129">
        <v>20</v>
      </c>
      <c r="B129" s="50" t="str">
        <f t="shared" si="3"/>
        <v>75094398</v>
      </c>
      <c r="C129" s="7">
        <f t="shared" si="4"/>
        <v>15</v>
      </c>
      <c r="D129">
        <f>'1014 projects'!$V25</f>
        <v>1</v>
      </c>
      <c r="E129">
        <f>'1014 projects'!$V25</f>
        <v>1</v>
      </c>
      <c r="F129">
        <f>'1014 projects'!$V25</f>
        <v>1</v>
      </c>
      <c r="G129">
        <f>'1014 projects'!$V25</f>
        <v>1</v>
      </c>
      <c r="H129">
        <f>'1014 projects'!$V25</f>
        <v>1</v>
      </c>
      <c r="I129">
        <f>'1014 projects'!$V25</f>
        <v>1</v>
      </c>
      <c r="J129">
        <f>'1014 projects'!$V25</f>
        <v>1</v>
      </c>
      <c r="K129">
        <f>'1014 projects'!$V25</f>
        <v>1</v>
      </c>
      <c r="L129">
        <f>'1014 projects'!$V25</f>
        <v>1</v>
      </c>
      <c r="M129">
        <f>'1014 projects'!$V25</f>
        <v>1</v>
      </c>
      <c r="N129">
        <f>'1014 projects'!$V25</f>
        <v>1</v>
      </c>
      <c r="O129">
        <f>'1014 projects'!$V25</f>
        <v>1</v>
      </c>
      <c r="P129">
        <f>'1014 projects'!$V25</f>
        <v>1</v>
      </c>
      <c r="Q129">
        <f>'1014 projects'!$V25</f>
        <v>1</v>
      </c>
      <c r="R129">
        <f>'1014 projects'!$V25</f>
        <v>1</v>
      </c>
    </row>
    <row r="130" spans="1:18" x14ac:dyDescent="0.3">
      <c r="A130">
        <v>21</v>
      </c>
      <c r="B130" s="50" t="str">
        <f t="shared" si="3"/>
        <v>75082753</v>
      </c>
      <c r="C130" s="7">
        <f t="shared" si="4"/>
        <v>15</v>
      </c>
      <c r="D130">
        <f>'1014 projects'!$V26</f>
        <v>1</v>
      </c>
      <c r="E130">
        <f>'1014 projects'!$V26</f>
        <v>1</v>
      </c>
      <c r="F130">
        <f>'1014 projects'!$V26</f>
        <v>1</v>
      </c>
      <c r="G130">
        <f>'1014 projects'!$V26</f>
        <v>1</v>
      </c>
      <c r="H130">
        <f>'1014 projects'!$V26</f>
        <v>1</v>
      </c>
      <c r="I130">
        <f>'1014 projects'!$V26</f>
        <v>1</v>
      </c>
      <c r="J130">
        <f>'1014 projects'!$V26</f>
        <v>1</v>
      </c>
      <c r="K130">
        <f>'1014 projects'!$V26</f>
        <v>1</v>
      </c>
      <c r="L130">
        <f>'1014 projects'!$V26</f>
        <v>1</v>
      </c>
      <c r="M130">
        <f>'1014 projects'!$V26</f>
        <v>1</v>
      </c>
      <c r="N130">
        <f>'1014 projects'!$V26</f>
        <v>1</v>
      </c>
      <c r="O130">
        <f>'1014 projects'!$V26</f>
        <v>1</v>
      </c>
      <c r="P130">
        <f>'1014 projects'!$V26</f>
        <v>1</v>
      </c>
      <c r="Q130">
        <f>'1014 projects'!$V26</f>
        <v>1</v>
      </c>
      <c r="R130">
        <f>'1014 projects'!$V26</f>
        <v>1</v>
      </c>
    </row>
    <row r="131" spans="1:18" x14ac:dyDescent="0.3">
      <c r="A131">
        <v>22</v>
      </c>
      <c r="B131" s="50" t="str">
        <f t="shared" si="3"/>
        <v>75079993</v>
      </c>
      <c r="C131" s="7">
        <f t="shared" si="4"/>
        <v>15</v>
      </c>
      <c r="D131">
        <f>'1014 projects'!$V27</f>
        <v>1</v>
      </c>
      <c r="E131">
        <f>'1014 projects'!$V27</f>
        <v>1</v>
      </c>
      <c r="F131">
        <f>'1014 projects'!$V27</f>
        <v>1</v>
      </c>
      <c r="G131">
        <f>'1014 projects'!$V27</f>
        <v>1</v>
      </c>
      <c r="H131">
        <f>'1014 projects'!$V27</f>
        <v>1</v>
      </c>
      <c r="I131">
        <f>'1014 projects'!$V27</f>
        <v>1</v>
      </c>
      <c r="J131">
        <f>'1014 projects'!$V27</f>
        <v>1</v>
      </c>
      <c r="K131">
        <f>'1014 projects'!$V27</f>
        <v>1</v>
      </c>
      <c r="L131">
        <f>'1014 projects'!$V27</f>
        <v>1</v>
      </c>
      <c r="M131">
        <f>'1014 projects'!$V27</f>
        <v>1</v>
      </c>
      <c r="N131">
        <f>'1014 projects'!$V27</f>
        <v>1</v>
      </c>
      <c r="O131">
        <f>'1014 projects'!$V27</f>
        <v>1</v>
      </c>
      <c r="P131">
        <f>'1014 projects'!$V27</f>
        <v>1</v>
      </c>
      <c r="Q131">
        <f>'1014 projects'!$V27</f>
        <v>1</v>
      </c>
      <c r="R131">
        <f>'1014 projects'!$V27</f>
        <v>1</v>
      </c>
    </row>
    <row r="132" spans="1:18" x14ac:dyDescent="0.3">
      <c r="A132">
        <v>23</v>
      </c>
      <c r="B132" s="50" t="str">
        <f t="shared" si="3"/>
        <v>75083984</v>
      </c>
      <c r="C132" s="7">
        <f t="shared" si="4"/>
        <v>15</v>
      </c>
      <c r="D132">
        <f>'1014 projects'!$V28</f>
        <v>1</v>
      </c>
      <c r="E132">
        <f>'1014 projects'!$V28</f>
        <v>1</v>
      </c>
      <c r="F132">
        <f>'1014 projects'!$V28</f>
        <v>1</v>
      </c>
      <c r="G132">
        <f>'1014 projects'!$V28</f>
        <v>1</v>
      </c>
      <c r="H132">
        <f>'1014 projects'!$V28</f>
        <v>1</v>
      </c>
      <c r="I132">
        <f>'1014 projects'!$V28</f>
        <v>1</v>
      </c>
      <c r="J132">
        <f>'1014 projects'!$V28</f>
        <v>1</v>
      </c>
      <c r="K132">
        <f>'1014 projects'!$V28</f>
        <v>1</v>
      </c>
      <c r="L132">
        <f>'1014 projects'!$V28</f>
        <v>1</v>
      </c>
      <c r="M132">
        <f>'1014 projects'!$V28</f>
        <v>1</v>
      </c>
      <c r="N132">
        <f>'1014 projects'!$V28</f>
        <v>1</v>
      </c>
      <c r="O132">
        <f>'1014 projects'!$V28</f>
        <v>1</v>
      </c>
      <c r="P132">
        <f>'1014 projects'!$V28</f>
        <v>1</v>
      </c>
      <c r="Q132">
        <f>'1014 projects'!$V28</f>
        <v>1</v>
      </c>
      <c r="R132">
        <f>'1014 projects'!$V28</f>
        <v>1</v>
      </c>
    </row>
    <row r="133" spans="1:18" x14ac:dyDescent="0.3">
      <c r="A133">
        <v>24</v>
      </c>
      <c r="B133" s="50" t="str">
        <f t="shared" si="3"/>
        <v>75090929</v>
      </c>
      <c r="C133" s="7">
        <f t="shared" si="4"/>
        <v>15</v>
      </c>
      <c r="D133">
        <f>'1014 projects'!$V29</f>
        <v>1</v>
      </c>
      <c r="E133">
        <f>'1014 projects'!$V29</f>
        <v>1</v>
      </c>
      <c r="F133">
        <f>'1014 projects'!$V29</f>
        <v>1</v>
      </c>
      <c r="G133">
        <f>'1014 projects'!$V29</f>
        <v>1</v>
      </c>
      <c r="H133">
        <f>'1014 projects'!$V29</f>
        <v>1</v>
      </c>
      <c r="I133">
        <f>'1014 projects'!$V29</f>
        <v>1</v>
      </c>
      <c r="J133">
        <f>'1014 projects'!$V29</f>
        <v>1</v>
      </c>
      <c r="K133">
        <f>'1014 projects'!$V29</f>
        <v>1</v>
      </c>
      <c r="L133">
        <f>'1014 projects'!$V29</f>
        <v>1</v>
      </c>
      <c r="M133">
        <f>'1014 projects'!$V29</f>
        <v>1</v>
      </c>
      <c r="N133">
        <f>'1014 projects'!$V29</f>
        <v>1</v>
      </c>
      <c r="O133">
        <f>'1014 projects'!$V29</f>
        <v>1</v>
      </c>
      <c r="P133">
        <f>'1014 projects'!$V29</f>
        <v>1</v>
      </c>
      <c r="Q133">
        <f>'1014 projects'!$V29</f>
        <v>1</v>
      </c>
      <c r="R133">
        <f>'1014 projects'!$V29</f>
        <v>1</v>
      </c>
    </row>
    <row r="134" spans="1:18" x14ac:dyDescent="0.3">
      <c r="A134">
        <v>25</v>
      </c>
      <c r="B134" s="50" t="str">
        <f t="shared" si="3"/>
        <v>75075826</v>
      </c>
      <c r="C134" s="7">
        <f t="shared" si="4"/>
        <v>15</v>
      </c>
      <c r="D134">
        <f>'1014 projects'!$V30</f>
        <v>1</v>
      </c>
      <c r="E134">
        <f>'1014 projects'!$V30</f>
        <v>1</v>
      </c>
      <c r="F134">
        <f>'1014 projects'!$V30</f>
        <v>1</v>
      </c>
      <c r="G134">
        <f>'1014 projects'!$V30</f>
        <v>1</v>
      </c>
      <c r="H134">
        <f>'1014 projects'!$V30</f>
        <v>1</v>
      </c>
      <c r="I134">
        <f>'1014 projects'!$V30</f>
        <v>1</v>
      </c>
      <c r="J134">
        <f>'1014 projects'!$V30</f>
        <v>1</v>
      </c>
      <c r="K134">
        <f>'1014 projects'!$V30</f>
        <v>1</v>
      </c>
      <c r="L134">
        <f>'1014 projects'!$V30</f>
        <v>1</v>
      </c>
      <c r="M134">
        <f>'1014 projects'!$V30</f>
        <v>1</v>
      </c>
      <c r="N134">
        <f>'1014 projects'!$V30</f>
        <v>1</v>
      </c>
      <c r="O134">
        <f>'1014 projects'!$V30</f>
        <v>1</v>
      </c>
      <c r="P134">
        <f>'1014 projects'!$V30</f>
        <v>1</v>
      </c>
      <c r="Q134">
        <f>'1014 projects'!$V30</f>
        <v>1</v>
      </c>
      <c r="R134">
        <f>'1014 projects'!$V30</f>
        <v>1</v>
      </c>
    </row>
    <row r="135" spans="1:18" x14ac:dyDescent="0.3">
      <c r="A135">
        <v>26</v>
      </c>
      <c r="B135" s="50" t="str">
        <f t="shared" si="3"/>
        <v>75079446</v>
      </c>
      <c r="C135" s="7">
        <f t="shared" si="4"/>
        <v>15</v>
      </c>
      <c r="D135">
        <f>'1014 projects'!$V31</f>
        <v>1</v>
      </c>
      <c r="E135">
        <f>'1014 projects'!$V31</f>
        <v>1</v>
      </c>
      <c r="F135">
        <f>'1014 projects'!$V31</f>
        <v>1</v>
      </c>
      <c r="G135">
        <f>'1014 projects'!$V31</f>
        <v>1</v>
      </c>
      <c r="H135">
        <f>'1014 projects'!$V31</f>
        <v>1</v>
      </c>
      <c r="I135">
        <f>'1014 projects'!$V31</f>
        <v>1</v>
      </c>
      <c r="J135">
        <f>'1014 projects'!$V31</f>
        <v>1</v>
      </c>
      <c r="K135">
        <f>'1014 projects'!$V31</f>
        <v>1</v>
      </c>
      <c r="L135">
        <f>'1014 projects'!$V31</f>
        <v>1</v>
      </c>
      <c r="M135">
        <f>'1014 projects'!$V31</f>
        <v>1</v>
      </c>
      <c r="N135">
        <f>'1014 projects'!$V31</f>
        <v>1</v>
      </c>
      <c r="O135">
        <f>'1014 projects'!$V31</f>
        <v>1</v>
      </c>
      <c r="P135">
        <f>'1014 projects'!$V31</f>
        <v>1</v>
      </c>
      <c r="Q135">
        <f>'1014 projects'!$V31</f>
        <v>1</v>
      </c>
      <c r="R135">
        <f>'1014 projects'!$V31</f>
        <v>1</v>
      </c>
    </row>
    <row r="136" spans="1:18" x14ac:dyDescent="0.3">
      <c r="A136">
        <v>27</v>
      </c>
      <c r="B136" s="50" t="str">
        <f t="shared" si="3"/>
        <v>75091372</v>
      </c>
      <c r="C136" s="7">
        <f t="shared" si="4"/>
        <v>15</v>
      </c>
      <c r="D136">
        <f>'1014 projects'!$V32</f>
        <v>1</v>
      </c>
      <c r="E136">
        <f>'1014 projects'!$V32</f>
        <v>1</v>
      </c>
      <c r="F136">
        <f>'1014 projects'!$V32</f>
        <v>1</v>
      </c>
      <c r="G136">
        <f>'1014 projects'!$V32</f>
        <v>1</v>
      </c>
      <c r="H136">
        <f>'1014 projects'!$V32</f>
        <v>1</v>
      </c>
      <c r="I136">
        <f>'1014 projects'!$V32</f>
        <v>1</v>
      </c>
      <c r="J136">
        <f>'1014 projects'!$V32</f>
        <v>1</v>
      </c>
      <c r="K136">
        <f>'1014 projects'!$V32</f>
        <v>1</v>
      </c>
      <c r="L136">
        <f>'1014 projects'!$V32</f>
        <v>1</v>
      </c>
      <c r="M136">
        <f>'1014 projects'!$V32</f>
        <v>1</v>
      </c>
      <c r="N136">
        <f>'1014 projects'!$V32</f>
        <v>1</v>
      </c>
      <c r="O136">
        <f>'1014 projects'!$V32</f>
        <v>1</v>
      </c>
      <c r="P136">
        <f>'1014 projects'!$V32</f>
        <v>1</v>
      </c>
      <c r="Q136">
        <f>'1014 projects'!$V32</f>
        <v>1</v>
      </c>
      <c r="R136">
        <f>'1014 projects'!$V32</f>
        <v>1</v>
      </c>
    </row>
    <row r="137" spans="1:18" x14ac:dyDescent="0.3">
      <c r="A137">
        <v>28</v>
      </c>
      <c r="B137" s="50" t="str">
        <f t="shared" si="3"/>
        <v>75084806</v>
      </c>
      <c r="C137" s="7">
        <f t="shared" si="4"/>
        <v>15</v>
      </c>
      <c r="D137">
        <f>'1014 projects'!$V33</f>
        <v>1</v>
      </c>
      <c r="E137">
        <f>'1014 projects'!$V33</f>
        <v>1</v>
      </c>
      <c r="F137">
        <f>'1014 projects'!$V33</f>
        <v>1</v>
      </c>
      <c r="G137">
        <f>'1014 projects'!$V33</f>
        <v>1</v>
      </c>
      <c r="H137">
        <f>'1014 projects'!$V33</f>
        <v>1</v>
      </c>
      <c r="I137">
        <f>'1014 projects'!$V33</f>
        <v>1</v>
      </c>
      <c r="J137">
        <f>'1014 projects'!$V33</f>
        <v>1</v>
      </c>
      <c r="K137">
        <f>'1014 projects'!$V33</f>
        <v>1</v>
      </c>
      <c r="L137">
        <f>'1014 projects'!$V33</f>
        <v>1</v>
      </c>
      <c r="M137">
        <f>'1014 projects'!$V33</f>
        <v>1</v>
      </c>
      <c r="N137">
        <f>'1014 projects'!$V33</f>
        <v>1</v>
      </c>
      <c r="O137">
        <f>'1014 projects'!$V33</f>
        <v>1</v>
      </c>
      <c r="P137">
        <f>'1014 projects'!$V33</f>
        <v>1</v>
      </c>
      <c r="Q137">
        <f>'1014 projects'!$V33</f>
        <v>1</v>
      </c>
      <c r="R137">
        <f>'1014 projects'!$V33</f>
        <v>1</v>
      </c>
    </row>
    <row r="138" spans="1:18" x14ac:dyDescent="0.3">
      <c r="A138">
        <v>29</v>
      </c>
      <c r="B138" s="50" t="str">
        <f t="shared" si="3"/>
        <v>75084512</v>
      </c>
      <c r="C138" s="7">
        <f t="shared" si="4"/>
        <v>15</v>
      </c>
      <c r="D138">
        <f>'1014 projects'!$V34</f>
        <v>1</v>
      </c>
      <c r="E138">
        <f>'1014 projects'!$V34</f>
        <v>1</v>
      </c>
      <c r="F138">
        <f>'1014 projects'!$V34</f>
        <v>1</v>
      </c>
      <c r="G138">
        <f>'1014 projects'!$V34</f>
        <v>1</v>
      </c>
      <c r="H138">
        <f>'1014 projects'!$V34</f>
        <v>1</v>
      </c>
      <c r="I138">
        <f>'1014 projects'!$V34</f>
        <v>1</v>
      </c>
      <c r="J138">
        <f>'1014 projects'!$V34</f>
        <v>1</v>
      </c>
      <c r="K138">
        <f>'1014 projects'!$V34</f>
        <v>1</v>
      </c>
      <c r="L138">
        <f>'1014 projects'!$V34</f>
        <v>1</v>
      </c>
      <c r="M138">
        <f>'1014 projects'!$V34</f>
        <v>1</v>
      </c>
      <c r="N138">
        <f>'1014 projects'!$V34</f>
        <v>1</v>
      </c>
      <c r="O138">
        <f>'1014 projects'!$V34</f>
        <v>1</v>
      </c>
      <c r="P138">
        <f>'1014 projects'!$V34</f>
        <v>1</v>
      </c>
      <c r="Q138">
        <f>'1014 projects'!$V34</f>
        <v>1</v>
      </c>
      <c r="R138">
        <f>'1014 projects'!$V34</f>
        <v>1</v>
      </c>
    </row>
    <row r="139" spans="1:18" x14ac:dyDescent="0.3">
      <c r="A139">
        <v>30</v>
      </c>
      <c r="B139" s="50" t="str">
        <f t="shared" si="3"/>
        <v>75089909</v>
      </c>
      <c r="C139" s="7">
        <f t="shared" si="4"/>
        <v>15</v>
      </c>
      <c r="D139">
        <f>'1014 projects'!$V35</f>
        <v>1</v>
      </c>
      <c r="E139">
        <f>'1014 projects'!$V35</f>
        <v>1</v>
      </c>
      <c r="F139">
        <f>'1014 projects'!$V35</f>
        <v>1</v>
      </c>
      <c r="G139">
        <f>'1014 projects'!$V35</f>
        <v>1</v>
      </c>
      <c r="H139">
        <f>'1014 projects'!$V35</f>
        <v>1</v>
      </c>
      <c r="I139">
        <f>'1014 projects'!$V35</f>
        <v>1</v>
      </c>
      <c r="J139">
        <f>'1014 projects'!$V35</f>
        <v>1</v>
      </c>
      <c r="K139">
        <f>'1014 projects'!$V35</f>
        <v>1</v>
      </c>
      <c r="L139">
        <f>'1014 projects'!$V35</f>
        <v>1</v>
      </c>
      <c r="M139">
        <f>'1014 projects'!$V35</f>
        <v>1</v>
      </c>
      <c r="N139">
        <f>'1014 projects'!$V35</f>
        <v>1</v>
      </c>
      <c r="O139">
        <f>'1014 projects'!$V35</f>
        <v>1</v>
      </c>
      <c r="P139">
        <f>'1014 projects'!$V35</f>
        <v>1</v>
      </c>
      <c r="Q139">
        <f>'1014 projects'!$V35</f>
        <v>1</v>
      </c>
      <c r="R139">
        <f>'1014 projects'!$V35</f>
        <v>1</v>
      </c>
    </row>
    <row r="140" spans="1:18" x14ac:dyDescent="0.3">
      <c r="A140">
        <v>31</v>
      </c>
      <c r="B140" s="50" t="str">
        <f t="shared" si="3"/>
        <v>75084775</v>
      </c>
      <c r="C140" s="7">
        <f t="shared" si="4"/>
        <v>15</v>
      </c>
      <c r="D140">
        <f>'1014 projects'!$V36</f>
        <v>1</v>
      </c>
      <c r="E140">
        <f>'1014 projects'!$V36</f>
        <v>1</v>
      </c>
      <c r="F140">
        <f>'1014 projects'!$V36</f>
        <v>1</v>
      </c>
      <c r="G140">
        <f>'1014 projects'!$V36</f>
        <v>1</v>
      </c>
      <c r="H140">
        <f>'1014 projects'!$V36</f>
        <v>1</v>
      </c>
      <c r="I140">
        <f>'1014 projects'!$V36</f>
        <v>1</v>
      </c>
      <c r="J140">
        <f>'1014 projects'!$V36</f>
        <v>1</v>
      </c>
      <c r="K140">
        <f>'1014 projects'!$V36</f>
        <v>1</v>
      </c>
      <c r="L140">
        <f>'1014 projects'!$V36</f>
        <v>1</v>
      </c>
      <c r="M140">
        <f>'1014 projects'!$V36</f>
        <v>1</v>
      </c>
      <c r="N140">
        <f>'1014 projects'!$V36</f>
        <v>1</v>
      </c>
      <c r="O140">
        <f>'1014 projects'!$V36</f>
        <v>1</v>
      </c>
      <c r="P140">
        <f>'1014 projects'!$V36</f>
        <v>1</v>
      </c>
      <c r="Q140">
        <f>'1014 projects'!$V36</f>
        <v>1</v>
      </c>
      <c r="R140">
        <f>'1014 projects'!$V36</f>
        <v>1</v>
      </c>
    </row>
    <row r="141" spans="1:18" x14ac:dyDescent="0.3">
      <c r="A141">
        <v>32</v>
      </c>
      <c r="B141" s="50" t="str">
        <f t="shared" si="3"/>
        <v>75086649</v>
      </c>
      <c r="C141" s="7">
        <f t="shared" si="4"/>
        <v>15</v>
      </c>
      <c r="D141">
        <f>'1014 projects'!$V37</f>
        <v>1</v>
      </c>
      <c r="E141">
        <f>'1014 projects'!$V37</f>
        <v>1</v>
      </c>
      <c r="F141">
        <f>'1014 projects'!$V37</f>
        <v>1</v>
      </c>
      <c r="G141">
        <f>'1014 projects'!$V37</f>
        <v>1</v>
      </c>
      <c r="H141">
        <f>'1014 projects'!$V37</f>
        <v>1</v>
      </c>
      <c r="I141">
        <f>'1014 projects'!$V37</f>
        <v>1</v>
      </c>
      <c r="J141">
        <f>'1014 projects'!$V37</f>
        <v>1</v>
      </c>
      <c r="K141">
        <f>'1014 projects'!$V37</f>
        <v>1</v>
      </c>
      <c r="L141">
        <f>'1014 projects'!$V37</f>
        <v>1</v>
      </c>
      <c r="M141">
        <f>'1014 projects'!$V37</f>
        <v>1</v>
      </c>
      <c r="N141">
        <f>'1014 projects'!$V37</f>
        <v>1</v>
      </c>
      <c r="O141">
        <f>'1014 projects'!$V37</f>
        <v>1</v>
      </c>
      <c r="P141">
        <f>'1014 projects'!$V37</f>
        <v>1</v>
      </c>
      <c r="Q141">
        <f>'1014 projects'!$V37</f>
        <v>1</v>
      </c>
      <c r="R141">
        <f>'1014 projects'!$V37</f>
        <v>1</v>
      </c>
    </row>
    <row r="142" spans="1:18" x14ac:dyDescent="0.3">
      <c r="A142">
        <v>33</v>
      </c>
      <c r="B142" s="50" t="str">
        <f t="shared" si="3"/>
        <v>75079264</v>
      </c>
      <c r="C142" s="7">
        <f t="shared" si="4"/>
        <v>15</v>
      </c>
      <c r="D142">
        <f>'1014 projects'!$V38</f>
        <v>1</v>
      </c>
      <c r="E142">
        <f>'1014 projects'!$V38</f>
        <v>1</v>
      </c>
      <c r="F142">
        <f>'1014 projects'!$V38</f>
        <v>1</v>
      </c>
      <c r="G142">
        <f>'1014 projects'!$V38</f>
        <v>1</v>
      </c>
      <c r="H142">
        <f>'1014 projects'!$V38</f>
        <v>1</v>
      </c>
      <c r="I142">
        <f>'1014 projects'!$V38</f>
        <v>1</v>
      </c>
      <c r="J142">
        <f>'1014 projects'!$V38</f>
        <v>1</v>
      </c>
      <c r="K142">
        <f>'1014 projects'!$V38</f>
        <v>1</v>
      </c>
      <c r="L142">
        <f>'1014 projects'!$V38</f>
        <v>1</v>
      </c>
      <c r="M142">
        <f>'1014 projects'!$V38</f>
        <v>1</v>
      </c>
      <c r="N142">
        <f>'1014 projects'!$V38</f>
        <v>1</v>
      </c>
      <c r="O142">
        <f>'1014 projects'!$V38</f>
        <v>1</v>
      </c>
      <c r="P142">
        <f>'1014 projects'!$V38</f>
        <v>1</v>
      </c>
      <c r="Q142">
        <f>'1014 projects'!$V38</f>
        <v>1</v>
      </c>
      <c r="R142">
        <f>'1014 projects'!$V38</f>
        <v>1</v>
      </c>
    </row>
    <row r="143" spans="1:18" x14ac:dyDescent="0.3">
      <c r="A143">
        <v>34</v>
      </c>
      <c r="B143" s="50" t="str">
        <f t="shared" si="3"/>
        <v>75078492</v>
      </c>
      <c r="C143" s="7">
        <f t="shared" si="4"/>
        <v>15</v>
      </c>
      <c r="D143">
        <f>'1014 projects'!$V39</f>
        <v>1</v>
      </c>
      <c r="E143">
        <f>'1014 projects'!$V39</f>
        <v>1</v>
      </c>
      <c r="F143">
        <f>'1014 projects'!$V39</f>
        <v>1</v>
      </c>
      <c r="G143">
        <f>'1014 projects'!$V39</f>
        <v>1</v>
      </c>
      <c r="H143">
        <f>'1014 projects'!$V39</f>
        <v>1</v>
      </c>
      <c r="I143">
        <f>'1014 projects'!$V39</f>
        <v>1</v>
      </c>
      <c r="J143">
        <f>'1014 projects'!$V39</f>
        <v>1</v>
      </c>
      <c r="K143">
        <f>'1014 projects'!$V39</f>
        <v>1</v>
      </c>
      <c r="L143">
        <f>'1014 projects'!$V39</f>
        <v>1</v>
      </c>
      <c r="M143">
        <f>'1014 projects'!$V39</f>
        <v>1</v>
      </c>
      <c r="N143">
        <f>'1014 projects'!$V39</f>
        <v>1</v>
      </c>
      <c r="O143">
        <f>'1014 projects'!$V39</f>
        <v>1</v>
      </c>
      <c r="P143">
        <f>'1014 projects'!$V39</f>
        <v>1</v>
      </c>
      <c r="Q143">
        <f>'1014 projects'!$V39</f>
        <v>1</v>
      </c>
      <c r="R143">
        <f>'1014 projects'!$V39</f>
        <v>1</v>
      </c>
    </row>
    <row r="144" spans="1:18" x14ac:dyDescent="0.3">
      <c r="A144">
        <v>35</v>
      </c>
      <c r="B144" s="50" t="str">
        <f t="shared" si="3"/>
        <v>75080863</v>
      </c>
      <c r="C144" s="7">
        <f t="shared" si="4"/>
        <v>15</v>
      </c>
      <c r="D144">
        <f>'1014 projects'!$V40</f>
        <v>1</v>
      </c>
      <c r="E144">
        <f>'1014 projects'!$V40</f>
        <v>1</v>
      </c>
      <c r="F144">
        <f>'1014 projects'!$V40</f>
        <v>1</v>
      </c>
      <c r="G144">
        <f>'1014 projects'!$V40</f>
        <v>1</v>
      </c>
      <c r="H144">
        <f>'1014 projects'!$V40</f>
        <v>1</v>
      </c>
      <c r="I144">
        <f>'1014 projects'!$V40</f>
        <v>1</v>
      </c>
      <c r="J144">
        <f>'1014 projects'!$V40</f>
        <v>1</v>
      </c>
      <c r="K144">
        <f>'1014 projects'!$V40</f>
        <v>1</v>
      </c>
      <c r="L144">
        <f>'1014 projects'!$V40</f>
        <v>1</v>
      </c>
      <c r="M144">
        <f>'1014 projects'!$V40</f>
        <v>1</v>
      </c>
      <c r="N144">
        <f>'1014 projects'!$V40</f>
        <v>1</v>
      </c>
      <c r="O144">
        <f>'1014 projects'!$V40</f>
        <v>1</v>
      </c>
      <c r="P144">
        <f>'1014 projects'!$V40</f>
        <v>1</v>
      </c>
      <c r="Q144">
        <f>'1014 projects'!$V40</f>
        <v>1</v>
      </c>
      <c r="R144">
        <f>'1014 projects'!$V40</f>
        <v>1</v>
      </c>
    </row>
    <row r="145" spans="1:18" x14ac:dyDescent="0.3">
      <c r="A145">
        <v>36</v>
      </c>
      <c r="B145" s="50" t="str">
        <f t="shared" si="3"/>
        <v>75077056</v>
      </c>
      <c r="C145" s="7">
        <f t="shared" si="4"/>
        <v>15</v>
      </c>
      <c r="D145">
        <f>'1014 projects'!$V41</f>
        <v>1</v>
      </c>
      <c r="E145">
        <f>'1014 projects'!$V41</f>
        <v>1</v>
      </c>
      <c r="F145">
        <f>'1014 projects'!$V41</f>
        <v>1</v>
      </c>
      <c r="G145">
        <f>'1014 projects'!$V41</f>
        <v>1</v>
      </c>
      <c r="H145">
        <f>'1014 projects'!$V41</f>
        <v>1</v>
      </c>
      <c r="I145">
        <f>'1014 projects'!$V41</f>
        <v>1</v>
      </c>
      <c r="J145">
        <f>'1014 projects'!$V41</f>
        <v>1</v>
      </c>
      <c r="K145">
        <f>'1014 projects'!$V41</f>
        <v>1</v>
      </c>
      <c r="L145">
        <f>'1014 projects'!$V41</f>
        <v>1</v>
      </c>
      <c r="M145">
        <f>'1014 projects'!$V41</f>
        <v>1</v>
      </c>
      <c r="N145">
        <f>'1014 projects'!$V41</f>
        <v>1</v>
      </c>
      <c r="O145">
        <f>'1014 projects'!$V41</f>
        <v>1</v>
      </c>
      <c r="P145">
        <f>'1014 projects'!$V41</f>
        <v>1</v>
      </c>
      <c r="Q145">
        <f>'1014 projects'!$V41</f>
        <v>1</v>
      </c>
      <c r="R145">
        <f>'1014 projects'!$V41</f>
        <v>1</v>
      </c>
    </row>
    <row r="146" spans="1:18" x14ac:dyDescent="0.3">
      <c r="A146">
        <v>37</v>
      </c>
      <c r="B146" s="50" t="str">
        <f t="shared" si="3"/>
        <v>75096058</v>
      </c>
      <c r="C146" s="7">
        <f t="shared" si="4"/>
        <v>15</v>
      </c>
      <c r="D146">
        <f>'1014 projects'!$V42</f>
        <v>1</v>
      </c>
      <c r="E146">
        <f>'1014 projects'!$V42</f>
        <v>1</v>
      </c>
      <c r="F146">
        <f>'1014 projects'!$V42</f>
        <v>1</v>
      </c>
      <c r="G146">
        <f>'1014 projects'!$V42</f>
        <v>1</v>
      </c>
      <c r="H146">
        <f>'1014 projects'!$V42</f>
        <v>1</v>
      </c>
      <c r="I146">
        <f>'1014 projects'!$V42</f>
        <v>1</v>
      </c>
      <c r="J146">
        <f>'1014 projects'!$V42</f>
        <v>1</v>
      </c>
      <c r="K146">
        <f>'1014 projects'!$V42</f>
        <v>1</v>
      </c>
      <c r="L146">
        <f>'1014 projects'!$V42</f>
        <v>1</v>
      </c>
      <c r="M146">
        <f>'1014 projects'!$V42</f>
        <v>1</v>
      </c>
      <c r="N146">
        <f>'1014 projects'!$V42</f>
        <v>1</v>
      </c>
      <c r="O146">
        <f>'1014 projects'!$V42</f>
        <v>1</v>
      </c>
      <c r="P146">
        <f>'1014 projects'!$V42</f>
        <v>1</v>
      </c>
      <c r="Q146">
        <f>'1014 projects'!$V42</f>
        <v>1</v>
      </c>
      <c r="R146">
        <f>'1014 projects'!$V42</f>
        <v>1</v>
      </c>
    </row>
    <row r="147" spans="1:18" x14ac:dyDescent="0.3">
      <c r="A147">
        <v>38</v>
      </c>
      <c r="B147" s="50" t="str">
        <f t="shared" si="3"/>
        <v>75043272</v>
      </c>
      <c r="C147" s="7">
        <f t="shared" si="4"/>
        <v>15</v>
      </c>
      <c r="D147">
        <f>'1014 projects'!$V43</f>
        <v>1</v>
      </c>
      <c r="E147">
        <f>'1014 projects'!$V43</f>
        <v>1</v>
      </c>
      <c r="F147">
        <f>'1014 projects'!$V43</f>
        <v>1</v>
      </c>
      <c r="G147">
        <f>'1014 projects'!$V43</f>
        <v>1</v>
      </c>
      <c r="H147">
        <f>'1014 projects'!$V43</f>
        <v>1</v>
      </c>
      <c r="I147">
        <f>'1014 projects'!$V43</f>
        <v>1</v>
      </c>
      <c r="J147">
        <f>'1014 projects'!$V43</f>
        <v>1</v>
      </c>
      <c r="K147">
        <f>'1014 projects'!$V43</f>
        <v>1</v>
      </c>
      <c r="L147">
        <f>'1014 projects'!$V43</f>
        <v>1</v>
      </c>
      <c r="M147">
        <f>'1014 projects'!$V43</f>
        <v>1</v>
      </c>
      <c r="N147">
        <f>'1014 projects'!$V43</f>
        <v>1</v>
      </c>
      <c r="O147">
        <f>'1014 projects'!$V43</f>
        <v>1</v>
      </c>
      <c r="P147">
        <f>'1014 projects'!$V43</f>
        <v>1</v>
      </c>
      <c r="Q147">
        <f>'1014 projects'!$V43</f>
        <v>1</v>
      </c>
      <c r="R147">
        <f>'1014 projects'!$V43</f>
        <v>1</v>
      </c>
    </row>
    <row r="148" spans="1:18" x14ac:dyDescent="0.3">
      <c r="A148">
        <v>39</v>
      </c>
      <c r="B148" s="50" t="str">
        <f t="shared" si="3"/>
        <v>75090268</v>
      </c>
      <c r="C148" s="7">
        <f t="shared" si="4"/>
        <v>15</v>
      </c>
      <c r="D148">
        <f>'1014 projects'!$V44</f>
        <v>1</v>
      </c>
      <c r="E148">
        <f>'1014 projects'!$V44</f>
        <v>1</v>
      </c>
      <c r="F148">
        <f>'1014 projects'!$V44</f>
        <v>1</v>
      </c>
      <c r="G148">
        <f>'1014 projects'!$V44</f>
        <v>1</v>
      </c>
      <c r="H148">
        <f>'1014 projects'!$V44</f>
        <v>1</v>
      </c>
      <c r="I148">
        <f>'1014 projects'!$V44</f>
        <v>1</v>
      </c>
      <c r="J148">
        <f>'1014 projects'!$V44</f>
        <v>1</v>
      </c>
      <c r="K148">
        <f>'1014 projects'!$V44</f>
        <v>1</v>
      </c>
      <c r="L148">
        <f>'1014 projects'!$V44</f>
        <v>1</v>
      </c>
      <c r="M148">
        <f>'1014 projects'!$V44</f>
        <v>1</v>
      </c>
      <c r="N148">
        <f>'1014 projects'!$V44</f>
        <v>1</v>
      </c>
      <c r="O148">
        <f>'1014 projects'!$V44</f>
        <v>1</v>
      </c>
      <c r="P148">
        <f>'1014 projects'!$V44</f>
        <v>1</v>
      </c>
      <c r="Q148">
        <f>'1014 projects'!$V44</f>
        <v>1</v>
      </c>
      <c r="R148">
        <f>'1014 projects'!$V44</f>
        <v>1</v>
      </c>
    </row>
    <row r="149" spans="1:18" x14ac:dyDescent="0.3">
      <c r="A149">
        <v>40</v>
      </c>
      <c r="B149" s="50" t="str">
        <f t="shared" si="3"/>
        <v>75060522</v>
      </c>
      <c r="C149" s="7">
        <f t="shared" si="4"/>
        <v>15</v>
      </c>
      <c r="D149">
        <f>'1014 projects'!$V45</f>
        <v>1</v>
      </c>
      <c r="E149">
        <f>'1014 projects'!$V45</f>
        <v>1</v>
      </c>
      <c r="F149">
        <f>'1014 projects'!$V45</f>
        <v>1</v>
      </c>
      <c r="G149">
        <f>'1014 projects'!$V45</f>
        <v>1</v>
      </c>
      <c r="H149">
        <f>'1014 projects'!$V45</f>
        <v>1</v>
      </c>
      <c r="I149">
        <f>'1014 projects'!$V45</f>
        <v>1</v>
      </c>
      <c r="J149">
        <f>'1014 projects'!$V45</f>
        <v>1</v>
      </c>
      <c r="K149">
        <f>'1014 projects'!$V45</f>
        <v>1</v>
      </c>
      <c r="L149">
        <f>'1014 projects'!$V45</f>
        <v>1</v>
      </c>
      <c r="M149">
        <f>'1014 projects'!$V45</f>
        <v>1</v>
      </c>
      <c r="N149">
        <f>'1014 projects'!$V45</f>
        <v>1</v>
      </c>
      <c r="O149">
        <f>'1014 projects'!$V45</f>
        <v>1</v>
      </c>
      <c r="P149">
        <f>'1014 projects'!$V45</f>
        <v>1</v>
      </c>
      <c r="Q149">
        <f>'1014 projects'!$V45</f>
        <v>1</v>
      </c>
      <c r="R149">
        <f>'1014 projects'!$V45</f>
        <v>1</v>
      </c>
    </row>
    <row r="150" spans="1:18" x14ac:dyDescent="0.3">
      <c r="A150">
        <v>41</v>
      </c>
      <c r="B150" s="50" t="str">
        <f t="shared" si="3"/>
        <v>75093476</v>
      </c>
      <c r="C150" s="7">
        <f t="shared" si="4"/>
        <v>15</v>
      </c>
      <c r="D150">
        <f>'1014 projects'!$V46</f>
        <v>1</v>
      </c>
      <c r="E150">
        <f>'1014 projects'!$V46</f>
        <v>1</v>
      </c>
      <c r="F150">
        <f>'1014 projects'!$V46</f>
        <v>1</v>
      </c>
      <c r="G150">
        <f>'1014 projects'!$V46</f>
        <v>1</v>
      </c>
      <c r="H150">
        <f>'1014 projects'!$V46</f>
        <v>1</v>
      </c>
      <c r="I150">
        <f>'1014 projects'!$V46</f>
        <v>1</v>
      </c>
      <c r="J150">
        <f>'1014 projects'!$V46</f>
        <v>1</v>
      </c>
      <c r="K150">
        <f>'1014 projects'!$V46</f>
        <v>1</v>
      </c>
      <c r="L150">
        <f>'1014 projects'!$V46</f>
        <v>1</v>
      </c>
      <c r="M150">
        <f>'1014 projects'!$V46</f>
        <v>1</v>
      </c>
      <c r="N150">
        <f>'1014 projects'!$V46</f>
        <v>1</v>
      </c>
      <c r="O150">
        <f>'1014 projects'!$V46</f>
        <v>1</v>
      </c>
      <c r="P150">
        <f>'1014 projects'!$V46</f>
        <v>1</v>
      </c>
      <c r="Q150">
        <f>'1014 projects'!$V46</f>
        <v>1</v>
      </c>
      <c r="R150">
        <f>'1014 projects'!$V46</f>
        <v>1</v>
      </c>
    </row>
    <row r="151" spans="1:18" x14ac:dyDescent="0.3">
      <c r="A151">
        <v>42</v>
      </c>
      <c r="B151" s="50" t="str">
        <f t="shared" si="3"/>
        <v>75088155</v>
      </c>
      <c r="C151" s="7">
        <f t="shared" si="4"/>
        <v>15</v>
      </c>
      <c r="D151">
        <f>'1014 projects'!$V47</f>
        <v>1</v>
      </c>
      <c r="E151">
        <f>'1014 projects'!$V47</f>
        <v>1</v>
      </c>
      <c r="F151">
        <f>'1014 projects'!$V47</f>
        <v>1</v>
      </c>
      <c r="G151">
        <f>'1014 projects'!$V47</f>
        <v>1</v>
      </c>
      <c r="H151">
        <f>'1014 projects'!$V47</f>
        <v>1</v>
      </c>
      <c r="I151">
        <f>'1014 projects'!$V47</f>
        <v>1</v>
      </c>
      <c r="J151">
        <f>'1014 projects'!$V47</f>
        <v>1</v>
      </c>
      <c r="K151">
        <f>'1014 projects'!$V47</f>
        <v>1</v>
      </c>
      <c r="L151">
        <f>'1014 projects'!$V47</f>
        <v>1</v>
      </c>
      <c r="M151">
        <f>'1014 projects'!$V47</f>
        <v>1</v>
      </c>
      <c r="N151">
        <f>'1014 projects'!$V47</f>
        <v>1</v>
      </c>
      <c r="O151">
        <f>'1014 projects'!$V47</f>
        <v>1</v>
      </c>
      <c r="P151">
        <f>'1014 projects'!$V47</f>
        <v>1</v>
      </c>
      <c r="Q151">
        <f>'1014 projects'!$V47</f>
        <v>1</v>
      </c>
      <c r="R151">
        <f>'1014 projects'!$V47</f>
        <v>1</v>
      </c>
    </row>
    <row r="152" spans="1:18" x14ac:dyDescent="0.3">
      <c r="A152">
        <v>43</v>
      </c>
      <c r="B152" s="50" t="str">
        <f t="shared" si="3"/>
        <v>75089798</v>
      </c>
      <c r="C152" s="7">
        <f t="shared" si="4"/>
        <v>15</v>
      </c>
      <c r="D152">
        <f>'1014 projects'!$V48</f>
        <v>1</v>
      </c>
      <c r="E152">
        <f>'1014 projects'!$V48</f>
        <v>1</v>
      </c>
      <c r="F152">
        <f>'1014 projects'!$V48</f>
        <v>1</v>
      </c>
      <c r="G152">
        <f>'1014 projects'!$V48</f>
        <v>1</v>
      </c>
      <c r="H152">
        <f>'1014 projects'!$V48</f>
        <v>1</v>
      </c>
      <c r="I152">
        <f>'1014 projects'!$V48</f>
        <v>1</v>
      </c>
      <c r="J152">
        <f>'1014 projects'!$V48</f>
        <v>1</v>
      </c>
      <c r="K152">
        <f>'1014 projects'!$V48</f>
        <v>1</v>
      </c>
      <c r="L152">
        <f>'1014 projects'!$V48</f>
        <v>1</v>
      </c>
      <c r="M152">
        <f>'1014 projects'!$V48</f>
        <v>1</v>
      </c>
      <c r="N152">
        <f>'1014 projects'!$V48</f>
        <v>1</v>
      </c>
      <c r="O152">
        <f>'1014 projects'!$V48</f>
        <v>1</v>
      </c>
      <c r="P152">
        <f>'1014 projects'!$V48</f>
        <v>1</v>
      </c>
      <c r="Q152">
        <f>'1014 projects'!$V48</f>
        <v>1</v>
      </c>
      <c r="R152">
        <f>'1014 projects'!$V48</f>
        <v>1</v>
      </c>
    </row>
    <row r="153" spans="1:18" x14ac:dyDescent="0.3">
      <c r="A153">
        <v>44</v>
      </c>
      <c r="B153" s="50">
        <f t="shared" si="3"/>
        <v>0</v>
      </c>
      <c r="C153" s="7">
        <f t="shared" si="4"/>
        <v>15</v>
      </c>
      <c r="D153">
        <f>'1014 projects'!$V49</f>
        <v>0</v>
      </c>
      <c r="E153">
        <f>'1014 projects'!$V49</f>
        <v>0</v>
      </c>
      <c r="F153">
        <f>'1014 projects'!$V49</f>
        <v>0</v>
      </c>
      <c r="G153">
        <f>'1014 projects'!$V49</f>
        <v>0</v>
      </c>
      <c r="H153">
        <f>'1014 projects'!$V49</f>
        <v>0</v>
      </c>
      <c r="I153">
        <f>'1014 projects'!$V49</f>
        <v>0</v>
      </c>
      <c r="J153">
        <f>'1014 projects'!$V49</f>
        <v>0</v>
      </c>
      <c r="K153">
        <f>'1014 projects'!$V49</f>
        <v>0</v>
      </c>
      <c r="L153">
        <f>'1014 projects'!$V49</f>
        <v>0</v>
      </c>
      <c r="M153">
        <f>'1014 projects'!$V49</f>
        <v>0</v>
      </c>
      <c r="N153">
        <f>'1014 projects'!$V49</f>
        <v>0</v>
      </c>
      <c r="O153">
        <f>'1014 projects'!$V49</f>
        <v>0</v>
      </c>
      <c r="P153">
        <f>'1014 projects'!$V49</f>
        <v>0</v>
      </c>
      <c r="Q153">
        <f>'1014 projects'!$V49</f>
        <v>0</v>
      </c>
      <c r="R153">
        <f>'1014 projects'!$V49</f>
        <v>0</v>
      </c>
    </row>
    <row r="154" spans="1:18" x14ac:dyDescent="0.3">
      <c r="A154">
        <v>45</v>
      </c>
      <c r="B154" s="50" t="str">
        <f t="shared" si="3"/>
        <v>75081423</v>
      </c>
      <c r="C154" s="7">
        <f t="shared" si="4"/>
        <v>15</v>
      </c>
      <c r="D154">
        <f>'1014 projects'!$V50</f>
        <v>1</v>
      </c>
      <c r="E154">
        <f>'1014 projects'!$V50</f>
        <v>1</v>
      </c>
      <c r="F154">
        <f>'1014 projects'!$V50</f>
        <v>1</v>
      </c>
      <c r="G154">
        <f>'1014 projects'!$V50</f>
        <v>1</v>
      </c>
      <c r="H154">
        <f>'1014 projects'!$V50</f>
        <v>1</v>
      </c>
      <c r="I154">
        <f>'1014 projects'!$V50</f>
        <v>1</v>
      </c>
      <c r="J154">
        <f>'1014 projects'!$V50</f>
        <v>1</v>
      </c>
      <c r="K154">
        <f>'1014 projects'!$V50</f>
        <v>1</v>
      </c>
      <c r="L154">
        <f>'1014 projects'!$V50</f>
        <v>1</v>
      </c>
      <c r="M154">
        <f>'1014 projects'!$V50</f>
        <v>1</v>
      </c>
      <c r="N154">
        <f>'1014 projects'!$V50</f>
        <v>1</v>
      </c>
      <c r="O154">
        <f>'1014 projects'!$V50</f>
        <v>1</v>
      </c>
      <c r="P154">
        <f>'1014 projects'!$V50</f>
        <v>1</v>
      </c>
      <c r="Q154">
        <f>'1014 projects'!$V50</f>
        <v>1</v>
      </c>
      <c r="R154">
        <f>'1014 projects'!$V50</f>
        <v>1</v>
      </c>
    </row>
    <row r="155" spans="1:18" x14ac:dyDescent="0.3">
      <c r="A155">
        <v>46</v>
      </c>
      <c r="B155" s="50">
        <f t="shared" si="3"/>
        <v>0</v>
      </c>
      <c r="C155" s="7">
        <f t="shared" si="4"/>
        <v>0</v>
      </c>
      <c r="D155">
        <f>'1014 projects'!$V51</f>
        <v>0</v>
      </c>
      <c r="E155">
        <f>'1014 projects'!$V51</f>
        <v>0</v>
      </c>
      <c r="F155">
        <f>'1014 projects'!$V51</f>
        <v>0</v>
      </c>
      <c r="G155">
        <f>'1014 projects'!$V51</f>
        <v>0</v>
      </c>
      <c r="H155">
        <f>'1014 projects'!$V51</f>
        <v>0</v>
      </c>
      <c r="I155">
        <f>'1014 projects'!$V51</f>
        <v>0</v>
      </c>
      <c r="J155">
        <f>'1014 projects'!$V51</f>
        <v>0</v>
      </c>
      <c r="K155">
        <f>'1014 projects'!$V51</f>
        <v>0</v>
      </c>
      <c r="L155">
        <f>'1014 projects'!$V51</f>
        <v>0</v>
      </c>
      <c r="M155">
        <f>'1014 projects'!$V51</f>
        <v>0</v>
      </c>
      <c r="N155">
        <f>'1014 projects'!$V51</f>
        <v>0</v>
      </c>
      <c r="O155">
        <f>'1014 projects'!$V51</f>
        <v>0</v>
      </c>
      <c r="P155">
        <f>'1014 projects'!$V51</f>
        <v>0</v>
      </c>
      <c r="Q155">
        <f>'1014 projects'!$V51</f>
        <v>0</v>
      </c>
      <c r="R155">
        <f>'1014 projects'!$V51</f>
        <v>0</v>
      </c>
    </row>
    <row r="156" spans="1:18" x14ac:dyDescent="0.3">
      <c r="A156">
        <v>47</v>
      </c>
      <c r="B156" s="50" t="str">
        <f t="shared" si="3"/>
        <v>75078358</v>
      </c>
      <c r="C156" s="7">
        <f t="shared" si="4"/>
        <v>15</v>
      </c>
      <c r="D156">
        <f>'1014 projects'!$V52</f>
        <v>1</v>
      </c>
      <c r="E156">
        <f>'1014 projects'!$V52</f>
        <v>1</v>
      </c>
      <c r="F156">
        <f>'1014 projects'!$V52</f>
        <v>1</v>
      </c>
      <c r="G156">
        <f>'1014 projects'!$V52</f>
        <v>1</v>
      </c>
      <c r="H156">
        <f>'1014 projects'!$V52</f>
        <v>1</v>
      </c>
      <c r="I156">
        <f>'1014 projects'!$V52</f>
        <v>1</v>
      </c>
      <c r="J156">
        <f>'1014 projects'!$V52</f>
        <v>1</v>
      </c>
      <c r="K156">
        <f>'1014 projects'!$V52</f>
        <v>1</v>
      </c>
      <c r="L156">
        <f>'1014 projects'!$V52</f>
        <v>1</v>
      </c>
      <c r="M156">
        <f>'1014 projects'!$V52</f>
        <v>1</v>
      </c>
      <c r="N156">
        <f>'1014 projects'!$V52</f>
        <v>1</v>
      </c>
      <c r="O156">
        <f>'1014 projects'!$V52</f>
        <v>1</v>
      </c>
      <c r="P156">
        <f>'1014 projects'!$V52</f>
        <v>1</v>
      </c>
      <c r="Q156">
        <f>'1014 projects'!$V52</f>
        <v>1</v>
      </c>
      <c r="R156">
        <f>'1014 projects'!$V52</f>
        <v>1</v>
      </c>
    </row>
    <row r="157" spans="1:18" x14ac:dyDescent="0.3">
      <c r="A157">
        <v>48</v>
      </c>
      <c r="B157" s="50" t="str">
        <f t="shared" si="3"/>
        <v>75074655</v>
      </c>
      <c r="C157" s="7">
        <f t="shared" si="4"/>
        <v>15</v>
      </c>
      <c r="D157">
        <f>'1014 projects'!$V53</f>
        <v>1</v>
      </c>
      <c r="E157">
        <f>'1014 projects'!$V53</f>
        <v>1</v>
      </c>
      <c r="F157">
        <f>'1014 projects'!$V53</f>
        <v>1</v>
      </c>
      <c r="G157">
        <f>'1014 projects'!$V53</f>
        <v>1</v>
      </c>
      <c r="H157">
        <f>'1014 projects'!$V53</f>
        <v>1</v>
      </c>
      <c r="I157">
        <f>'1014 projects'!$V53</f>
        <v>1</v>
      </c>
      <c r="J157">
        <f>'1014 projects'!$V53</f>
        <v>1</v>
      </c>
      <c r="K157">
        <f>'1014 projects'!$V53</f>
        <v>1</v>
      </c>
      <c r="L157">
        <f>'1014 projects'!$V53</f>
        <v>1</v>
      </c>
      <c r="M157">
        <f>'1014 projects'!$V53</f>
        <v>1</v>
      </c>
      <c r="N157">
        <f>'1014 projects'!$V53</f>
        <v>1</v>
      </c>
      <c r="O157">
        <f>'1014 projects'!$V53</f>
        <v>1</v>
      </c>
      <c r="P157">
        <f>'1014 projects'!$V53</f>
        <v>1</v>
      </c>
      <c r="Q157">
        <f>'1014 projects'!$V53</f>
        <v>1</v>
      </c>
      <c r="R157">
        <f>'1014 projects'!$V53</f>
        <v>1</v>
      </c>
    </row>
    <row r="158" spans="1:18" x14ac:dyDescent="0.3">
      <c r="A158">
        <v>49</v>
      </c>
      <c r="B158" s="50" t="str">
        <f t="shared" si="3"/>
        <v>75081130</v>
      </c>
      <c r="C158" s="7">
        <f t="shared" si="4"/>
        <v>15</v>
      </c>
      <c r="D158">
        <f>'1014 projects'!$V54</f>
        <v>1</v>
      </c>
      <c r="E158">
        <f>'1014 projects'!$V54</f>
        <v>1</v>
      </c>
      <c r="F158">
        <f>'1014 projects'!$V54</f>
        <v>1</v>
      </c>
      <c r="G158">
        <f>'1014 projects'!$V54</f>
        <v>1</v>
      </c>
      <c r="H158">
        <f>'1014 projects'!$V54</f>
        <v>1</v>
      </c>
      <c r="I158">
        <f>'1014 projects'!$V54</f>
        <v>1</v>
      </c>
      <c r="J158">
        <f>'1014 projects'!$V54</f>
        <v>1</v>
      </c>
      <c r="K158">
        <f>'1014 projects'!$V54</f>
        <v>1</v>
      </c>
      <c r="L158">
        <f>'1014 projects'!$V54</f>
        <v>1</v>
      </c>
      <c r="M158">
        <f>'1014 projects'!$V54</f>
        <v>1</v>
      </c>
      <c r="N158">
        <f>'1014 projects'!$V54</f>
        <v>1</v>
      </c>
      <c r="O158">
        <f>'1014 projects'!$V54</f>
        <v>1</v>
      </c>
      <c r="P158">
        <f>'1014 projects'!$V54</f>
        <v>1</v>
      </c>
      <c r="Q158">
        <f>'1014 projects'!$V54</f>
        <v>1</v>
      </c>
      <c r="R158">
        <f>'1014 projects'!$V54</f>
        <v>1</v>
      </c>
    </row>
    <row r="159" spans="1:18" x14ac:dyDescent="0.3">
      <c r="A159">
        <v>50</v>
      </c>
      <c r="B159" s="50" t="str">
        <f t="shared" si="3"/>
        <v>75085164</v>
      </c>
      <c r="C159" s="7">
        <f t="shared" si="4"/>
        <v>15</v>
      </c>
      <c r="D159">
        <f>'1014 projects'!$V55</f>
        <v>1</v>
      </c>
      <c r="E159">
        <f>'1014 projects'!$V55</f>
        <v>1</v>
      </c>
      <c r="F159">
        <f>'1014 projects'!$V55</f>
        <v>1</v>
      </c>
      <c r="G159">
        <f>'1014 projects'!$V55</f>
        <v>1</v>
      </c>
      <c r="H159">
        <f>'1014 projects'!$V55</f>
        <v>1</v>
      </c>
      <c r="I159">
        <f>'1014 projects'!$V55</f>
        <v>1</v>
      </c>
      <c r="J159">
        <f>'1014 projects'!$V55</f>
        <v>1</v>
      </c>
      <c r="K159">
        <f>'1014 projects'!$V55</f>
        <v>1</v>
      </c>
      <c r="L159">
        <f>'1014 projects'!$V55</f>
        <v>1</v>
      </c>
      <c r="M159">
        <f>'1014 projects'!$V55</f>
        <v>1</v>
      </c>
      <c r="N159">
        <f>'1014 projects'!$V55</f>
        <v>1</v>
      </c>
      <c r="O159">
        <f>'1014 projects'!$V55</f>
        <v>1</v>
      </c>
      <c r="P159">
        <f>'1014 projects'!$V55</f>
        <v>1</v>
      </c>
      <c r="Q159">
        <f>'1014 projects'!$V55</f>
        <v>1</v>
      </c>
      <c r="R159">
        <f>'1014 projects'!$V55</f>
        <v>1</v>
      </c>
    </row>
    <row r="161" spans="1:18" x14ac:dyDescent="0.3">
      <c r="A161" s="5" t="s">
        <v>185</v>
      </c>
    </row>
    <row r="162" spans="1:18" ht="29.35" x14ac:dyDescent="0.3">
      <c r="A162" s="5" t="s">
        <v>51</v>
      </c>
      <c r="B162" s="58" t="s">
        <v>0</v>
      </c>
      <c r="C162" s="58" t="s">
        <v>29</v>
      </c>
      <c r="D162" s="36" t="str">
        <f>D$3</f>
        <v>2023-24</v>
      </c>
      <c r="E162" s="36" t="str">
        <f t="shared" ref="E162:R162" si="5">E$3</f>
        <v>2024-25</v>
      </c>
      <c r="F162" s="36" t="str">
        <f t="shared" si="5"/>
        <v>2025-26</v>
      </c>
      <c r="G162" s="36" t="str">
        <f t="shared" si="5"/>
        <v>2026-27</v>
      </c>
      <c r="H162" s="36" t="str">
        <f t="shared" si="5"/>
        <v>2027-28</v>
      </c>
      <c r="I162" s="36" t="str">
        <f t="shared" si="5"/>
        <v>2028-29</v>
      </c>
      <c r="J162" s="36" t="str">
        <f t="shared" si="5"/>
        <v>2029-30</v>
      </c>
      <c r="K162" s="36" t="str">
        <f t="shared" si="5"/>
        <v>2030-31</v>
      </c>
      <c r="L162" s="36" t="str">
        <f t="shared" si="5"/>
        <v>2031-32</v>
      </c>
      <c r="M162" s="36" t="str">
        <f t="shared" si="5"/>
        <v>2032-33</v>
      </c>
      <c r="N162" s="36" t="str">
        <f t="shared" si="5"/>
        <v>2033-34</v>
      </c>
      <c r="O162" s="36" t="str">
        <f t="shared" si="5"/>
        <v>2034-35</v>
      </c>
      <c r="P162" s="36" t="str">
        <f t="shared" si="5"/>
        <v>2035-36</v>
      </c>
      <c r="Q162" s="36" t="str">
        <f t="shared" si="5"/>
        <v>2036-37</v>
      </c>
      <c r="R162" s="36" t="str">
        <f t="shared" si="5"/>
        <v>2037-38</v>
      </c>
    </row>
    <row r="163" spans="1:18" x14ac:dyDescent="0.3">
      <c r="A163">
        <v>1</v>
      </c>
      <c r="B163" s="50" t="str">
        <f>B4</f>
        <v>75090096</v>
      </c>
      <c r="C163" s="7">
        <f>C57</f>
        <v>15</v>
      </c>
      <c r="D163" s="51">
        <f t="shared" ref="D163:R163" si="6">D4*D57*D110</f>
        <v>14787</v>
      </c>
      <c r="E163" s="51">
        <f t="shared" si="6"/>
        <v>14787</v>
      </c>
      <c r="F163" s="51">
        <f t="shared" si="6"/>
        <v>14787</v>
      </c>
      <c r="G163" s="51">
        <f t="shared" si="6"/>
        <v>14787</v>
      </c>
      <c r="H163" s="51">
        <f t="shared" si="6"/>
        <v>14787</v>
      </c>
      <c r="I163" s="51">
        <f t="shared" si="6"/>
        <v>14787</v>
      </c>
      <c r="J163" s="51">
        <f t="shared" si="6"/>
        <v>14787</v>
      </c>
      <c r="K163" s="51">
        <f t="shared" si="6"/>
        <v>14787</v>
      </c>
      <c r="L163" s="51">
        <f t="shared" si="6"/>
        <v>14787</v>
      </c>
      <c r="M163" s="51">
        <f t="shared" si="6"/>
        <v>14787</v>
      </c>
      <c r="N163" s="51">
        <f t="shared" si="6"/>
        <v>14787</v>
      </c>
      <c r="O163" s="51">
        <f t="shared" si="6"/>
        <v>14787</v>
      </c>
      <c r="P163" s="51">
        <f t="shared" si="6"/>
        <v>14787</v>
      </c>
      <c r="Q163" s="51">
        <f t="shared" si="6"/>
        <v>14787</v>
      </c>
      <c r="R163" s="51">
        <f t="shared" si="6"/>
        <v>14787</v>
      </c>
    </row>
    <row r="164" spans="1:18" x14ac:dyDescent="0.3">
      <c r="A164">
        <v>2</v>
      </c>
      <c r="B164" s="50" t="str">
        <f t="shared" ref="B164:B212" si="7">B5</f>
        <v>75077404</v>
      </c>
      <c r="C164" s="7">
        <f t="shared" ref="C164:C212" si="8">C58</f>
        <v>15</v>
      </c>
      <c r="D164" s="51">
        <f t="shared" ref="D164:R164" si="9">D5*D58*D111</f>
        <v>8168.7429719653619</v>
      </c>
      <c r="E164" s="51">
        <f t="shared" si="9"/>
        <v>8168.7429719653619</v>
      </c>
      <c r="F164" s="51">
        <f t="shared" si="9"/>
        <v>8168.7429719653619</v>
      </c>
      <c r="G164" s="51">
        <f t="shared" si="9"/>
        <v>8168.7429719653619</v>
      </c>
      <c r="H164" s="51">
        <f t="shared" si="9"/>
        <v>8168.7429719653619</v>
      </c>
      <c r="I164" s="51">
        <f t="shared" si="9"/>
        <v>8168.7429719653619</v>
      </c>
      <c r="J164" s="51">
        <f t="shared" si="9"/>
        <v>8168.7429719653619</v>
      </c>
      <c r="K164" s="51">
        <f t="shared" si="9"/>
        <v>8168.7429719653619</v>
      </c>
      <c r="L164" s="51">
        <f t="shared" si="9"/>
        <v>8168.7429719653619</v>
      </c>
      <c r="M164" s="51">
        <f t="shared" si="9"/>
        <v>8168.7429719653619</v>
      </c>
      <c r="N164" s="51">
        <f t="shared" si="9"/>
        <v>8168.7429719653619</v>
      </c>
      <c r="O164" s="51">
        <f t="shared" si="9"/>
        <v>8168.7429719653619</v>
      </c>
      <c r="P164" s="51">
        <f t="shared" si="9"/>
        <v>8168.7429719653619</v>
      </c>
      <c r="Q164" s="51">
        <f t="shared" si="9"/>
        <v>8168.7429719653619</v>
      </c>
      <c r="R164" s="51">
        <f t="shared" si="9"/>
        <v>8168.7429719653619</v>
      </c>
    </row>
    <row r="165" spans="1:18" x14ac:dyDescent="0.3">
      <c r="A165">
        <v>3</v>
      </c>
      <c r="B165" s="50" t="str">
        <f t="shared" si="7"/>
        <v>75077903</v>
      </c>
      <c r="C165" s="7">
        <f t="shared" si="8"/>
        <v>15</v>
      </c>
      <c r="D165" s="51">
        <f t="shared" ref="D165:R165" si="10">D6*D59*D112</f>
        <v>13494.666666666666</v>
      </c>
      <c r="E165" s="51">
        <f t="shared" si="10"/>
        <v>13494.666666666666</v>
      </c>
      <c r="F165" s="51">
        <f t="shared" si="10"/>
        <v>13494.666666666666</v>
      </c>
      <c r="G165" s="51">
        <f t="shared" si="10"/>
        <v>13494.666666666666</v>
      </c>
      <c r="H165" s="51">
        <f t="shared" si="10"/>
        <v>13494.666666666666</v>
      </c>
      <c r="I165" s="51">
        <f t="shared" si="10"/>
        <v>13494.666666666666</v>
      </c>
      <c r="J165" s="51">
        <f t="shared" si="10"/>
        <v>13494.666666666666</v>
      </c>
      <c r="K165" s="51">
        <f t="shared" si="10"/>
        <v>13494.666666666666</v>
      </c>
      <c r="L165" s="51">
        <f t="shared" si="10"/>
        <v>13494.666666666666</v>
      </c>
      <c r="M165" s="51">
        <f t="shared" si="10"/>
        <v>13494.666666666666</v>
      </c>
      <c r="N165" s="51">
        <f t="shared" si="10"/>
        <v>13494.666666666666</v>
      </c>
      <c r="O165" s="51">
        <f t="shared" si="10"/>
        <v>13494.666666666666</v>
      </c>
      <c r="P165" s="51">
        <f t="shared" si="10"/>
        <v>13494.666666666666</v>
      </c>
      <c r="Q165" s="51">
        <f t="shared" si="10"/>
        <v>13494.666666666666</v>
      </c>
      <c r="R165" s="51">
        <f t="shared" si="10"/>
        <v>13494.666666666666</v>
      </c>
    </row>
    <row r="166" spans="1:18" x14ac:dyDescent="0.3">
      <c r="A166">
        <v>4</v>
      </c>
      <c r="B166" s="50" t="str">
        <f t="shared" si="7"/>
        <v>75078211</v>
      </c>
      <c r="C166" s="7">
        <f t="shared" si="8"/>
        <v>15</v>
      </c>
      <c r="D166" s="51">
        <f t="shared" ref="D166:R166" si="11">D7*D60*D113</f>
        <v>17927.185569786623</v>
      </c>
      <c r="E166" s="51">
        <f t="shared" si="11"/>
        <v>21512.622683743946</v>
      </c>
      <c r="F166" s="51">
        <f t="shared" si="11"/>
        <v>35854.371139573246</v>
      </c>
      <c r="G166" s="51">
        <f t="shared" si="11"/>
        <v>53781.556709359866</v>
      </c>
      <c r="H166" s="51">
        <f t="shared" si="11"/>
        <v>71708.742279146492</v>
      </c>
      <c r="I166" s="51">
        <f t="shared" si="11"/>
        <v>71708.742279146492</v>
      </c>
      <c r="J166" s="51">
        <f t="shared" si="11"/>
        <v>71708.742279146492</v>
      </c>
      <c r="K166" s="51">
        <f t="shared" si="11"/>
        <v>71708.742279146492</v>
      </c>
      <c r="L166" s="51">
        <f t="shared" si="11"/>
        <v>71708.742279146492</v>
      </c>
      <c r="M166" s="51">
        <f t="shared" si="11"/>
        <v>71708.742279146492</v>
      </c>
      <c r="N166" s="51">
        <f t="shared" si="11"/>
        <v>71708.742279146492</v>
      </c>
      <c r="O166" s="51">
        <f t="shared" si="11"/>
        <v>71708.742279146492</v>
      </c>
      <c r="P166" s="51">
        <f t="shared" si="11"/>
        <v>71708.742279146492</v>
      </c>
      <c r="Q166" s="51">
        <f t="shared" si="11"/>
        <v>71708.742279146492</v>
      </c>
      <c r="R166" s="51">
        <f t="shared" si="11"/>
        <v>71708.742279146492</v>
      </c>
    </row>
    <row r="167" spans="1:18" x14ac:dyDescent="0.3">
      <c r="A167">
        <v>5</v>
      </c>
      <c r="B167" s="50" t="str">
        <f t="shared" si="7"/>
        <v>75067688</v>
      </c>
      <c r="C167" s="7">
        <f t="shared" si="8"/>
        <v>15</v>
      </c>
      <c r="D167" s="51">
        <f t="shared" ref="D167:R167" si="12">D8*D61*D114</f>
        <v>17591.223571763639</v>
      </c>
      <c r="E167" s="51">
        <f t="shared" si="12"/>
        <v>35182.447143527279</v>
      </c>
      <c r="F167" s="51">
        <f t="shared" si="12"/>
        <v>52773.670715290915</v>
      </c>
      <c r="G167" s="51">
        <f t="shared" si="12"/>
        <v>70364.894287054558</v>
      </c>
      <c r="H167" s="51">
        <f t="shared" si="12"/>
        <v>87956.117858818194</v>
      </c>
      <c r="I167" s="51">
        <f t="shared" si="12"/>
        <v>87956.117858818194</v>
      </c>
      <c r="J167" s="51">
        <f t="shared" si="12"/>
        <v>87956.117858818194</v>
      </c>
      <c r="K167" s="51">
        <f t="shared" si="12"/>
        <v>87956.117858818194</v>
      </c>
      <c r="L167" s="51">
        <f t="shared" si="12"/>
        <v>87956.117858818194</v>
      </c>
      <c r="M167" s="51">
        <f t="shared" si="12"/>
        <v>87956.117858818194</v>
      </c>
      <c r="N167" s="51">
        <f t="shared" si="12"/>
        <v>87956.117858818194</v>
      </c>
      <c r="O167" s="51">
        <f t="shared" si="12"/>
        <v>87956.117858818194</v>
      </c>
      <c r="P167" s="51">
        <f t="shared" si="12"/>
        <v>87956.117858818194</v>
      </c>
      <c r="Q167" s="51">
        <f t="shared" si="12"/>
        <v>87956.117858818194</v>
      </c>
      <c r="R167" s="51">
        <f t="shared" si="12"/>
        <v>87956.117858818194</v>
      </c>
    </row>
    <row r="168" spans="1:18" x14ac:dyDescent="0.3">
      <c r="A168">
        <v>6</v>
      </c>
      <c r="B168" s="50" t="str">
        <f t="shared" si="7"/>
        <v>75084229</v>
      </c>
      <c r="C168" s="7">
        <f t="shared" si="8"/>
        <v>15</v>
      </c>
      <c r="D168" s="51">
        <f t="shared" ref="D168:R168" si="13">D9*D62*D115</f>
        <v>6772.7104369316257</v>
      </c>
      <c r="E168" s="51">
        <f t="shared" si="13"/>
        <v>6772.7104369316257</v>
      </c>
      <c r="F168" s="51">
        <f t="shared" si="13"/>
        <v>6772.7104369316257</v>
      </c>
      <c r="G168" s="51">
        <f t="shared" si="13"/>
        <v>6772.7104369316257</v>
      </c>
      <c r="H168" s="51">
        <f t="shared" si="13"/>
        <v>6772.7104369316257</v>
      </c>
      <c r="I168" s="51">
        <f t="shared" si="13"/>
        <v>6772.7104369316257</v>
      </c>
      <c r="J168" s="51">
        <f t="shared" si="13"/>
        <v>6772.7104369316257</v>
      </c>
      <c r="K168" s="51">
        <f t="shared" si="13"/>
        <v>6772.7104369316257</v>
      </c>
      <c r="L168" s="51">
        <f t="shared" si="13"/>
        <v>6772.7104369316257</v>
      </c>
      <c r="M168" s="51">
        <f t="shared" si="13"/>
        <v>6772.7104369316257</v>
      </c>
      <c r="N168" s="51">
        <f t="shared" si="13"/>
        <v>6772.7104369316257</v>
      </c>
      <c r="O168" s="51">
        <f t="shared" si="13"/>
        <v>6772.7104369316257</v>
      </c>
      <c r="P168" s="51">
        <f t="shared" si="13"/>
        <v>6772.7104369316257</v>
      </c>
      <c r="Q168" s="51">
        <f t="shared" si="13"/>
        <v>6772.7104369316257</v>
      </c>
      <c r="R168" s="51">
        <f t="shared" si="13"/>
        <v>6772.7104369316257</v>
      </c>
    </row>
    <row r="169" spans="1:18" x14ac:dyDescent="0.3">
      <c r="A169">
        <v>7</v>
      </c>
      <c r="B169" s="50" t="str">
        <f t="shared" si="7"/>
        <v>75087003</v>
      </c>
      <c r="C169" s="7">
        <f t="shared" si="8"/>
        <v>15</v>
      </c>
      <c r="D169" s="51">
        <f t="shared" ref="D169:R169" si="14">D10*D63*D116</f>
        <v>12504.33536686055</v>
      </c>
      <c r="E169" s="51">
        <f t="shared" si="14"/>
        <v>12504.33536686055</v>
      </c>
      <c r="F169" s="51">
        <f t="shared" si="14"/>
        <v>12504.33536686055</v>
      </c>
      <c r="G169" s="51">
        <f t="shared" si="14"/>
        <v>12504.33536686055</v>
      </c>
      <c r="H169" s="51">
        <f t="shared" si="14"/>
        <v>12504.33536686055</v>
      </c>
      <c r="I169" s="51">
        <f t="shared" si="14"/>
        <v>12504.33536686055</v>
      </c>
      <c r="J169" s="51">
        <f t="shared" si="14"/>
        <v>12504.33536686055</v>
      </c>
      <c r="K169" s="51">
        <f t="shared" si="14"/>
        <v>12504.33536686055</v>
      </c>
      <c r="L169" s="51">
        <f t="shared" si="14"/>
        <v>12504.33536686055</v>
      </c>
      <c r="M169" s="51">
        <f t="shared" si="14"/>
        <v>12504.33536686055</v>
      </c>
      <c r="N169" s="51">
        <f t="shared" si="14"/>
        <v>12504.33536686055</v>
      </c>
      <c r="O169" s="51">
        <f t="shared" si="14"/>
        <v>12504.33536686055</v>
      </c>
      <c r="P169" s="51">
        <f t="shared" si="14"/>
        <v>12504.33536686055</v>
      </c>
      <c r="Q169" s="51">
        <f t="shared" si="14"/>
        <v>12504.33536686055</v>
      </c>
      <c r="R169" s="51">
        <f t="shared" si="14"/>
        <v>12504.33536686055</v>
      </c>
    </row>
    <row r="170" spans="1:18" x14ac:dyDescent="0.3">
      <c r="A170">
        <v>8</v>
      </c>
      <c r="B170" s="50" t="str">
        <f t="shared" si="7"/>
        <v>75089640</v>
      </c>
      <c r="C170" s="7">
        <f t="shared" si="8"/>
        <v>15</v>
      </c>
      <c r="D170" s="51">
        <f t="shared" ref="D170:R170" si="15">D11*D64*D117</f>
        <v>20554.729355755502</v>
      </c>
      <c r="E170" s="51">
        <f t="shared" si="15"/>
        <v>20554.729355755502</v>
      </c>
      <c r="F170" s="51">
        <f t="shared" si="15"/>
        <v>20554.729355755502</v>
      </c>
      <c r="G170" s="51">
        <f t="shared" si="15"/>
        <v>20554.729355755502</v>
      </c>
      <c r="H170" s="51">
        <f t="shared" si="15"/>
        <v>20554.729355755502</v>
      </c>
      <c r="I170" s="51">
        <f t="shared" si="15"/>
        <v>20554.729355755502</v>
      </c>
      <c r="J170" s="51">
        <f t="shared" si="15"/>
        <v>20554.729355755502</v>
      </c>
      <c r="K170" s="51">
        <f t="shared" si="15"/>
        <v>20554.729355755502</v>
      </c>
      <c r="L170" s="51">
        <f t="shared" si="15"/>
        <v>20554.729355755502</v>
      </c>
      <c r="M170" s="51">
        <f t="shared" si="15"/>
        <v>20554.729355755502</v>
      </c>
      <c r="N170" s="51">
        <f t="shared" si="15"/>
        <v>20554.729355755502</v>
      </c>
      <c r="O170" s="51">
        <f t="shared" si="15"/>
        <v>20554.729355755502</v>
      </c>
      <c r="P170" s="51">
        <f t="shared" si="15"/>
        <v>20554.729355755502</v>
      </c>
      <c r="Q170" s="51">
        <f t="shared" si="15"/>
        <v>20554.729355755502</v>
      </c>
      <c r="R170" s="51">
        <f t="shared" si="15"/>
        <v>20554.729355755502</v>
      </c>
    </row>
    <row r="171" spans="1:18" x14ac:dyDescent="0.3">
      <c r="A171">
        <v>9</v>
      </c>
      <c r="B171" s="50" t="str">
        <f t="shared" si="7"/>
        <v>75072730</v>
      </c>
      <c r="C171" s="7">
        <f t="shared" si="8"/>
        <v>15</v>
      </c>
      <c r="D171" s="51">
        <f t="shared" ref="D171:R171" si="16">D12*D65*D118</f>
        <v>106</v>
      </c>
      <c r="E171" s="51">
        <f t="shared" si="16"/>
        <v>106</v>
      </c>
      <c r="F171" s="51">
        <f t="shared" si="16"/>
        <v>106</v>
      </c>
      <c r="G171" s="51">
        <f t="shared" si="16"/>
        <v>106</v>
      </c>
      <c r="H171" s="51">
        <f t="shared" si="16"/>
        <v>106</v>
      </c>
      <c r="I171" s="51">
        <f t="shared" si="16"/>
        <v>106</v>
      </c>
      <c r="J171" s="51">
        <f t="shared" si="16"/>
        <v>106</v>
      </c>
      <c r="K171" s="51">
        <f t="shared" si="16"/>
        <v>106</v>
      </c>
      <c r="L171" s="51">
        <f t="shared" si="16"/>
        <v>106</v>
      </c>
      <c r="M171" s="51">
        <f t="shared" si="16"/>
        <v>106</v>
      </c>
      <c r="N171" s="51">
        <f t="shared" si="16"/>
        <v>106</v>
      </c>
      <c r="O171" s="51">
        <f t="shared" si="16"/>
        <v>106</v>
      </c>
      <c r="P171" s="51">
        <f t="shared" si="16"/>
        <v>106</v>
      </c>
      <c r="Q171" s="51">
        <f t="shared" si="16"/>
        <v>106</v>
      </c>
      <c r="R171" s="51">
        <f t="shared" si="16"/>
        <v>106</v>
      </c>
    </row>
    <row r="172" spans="1:18" x14ac:dyDescent="0.3">
      <c r="A172">
        <v>10</v>
      </c>
      <c r="B172" s="50" t="str">
        <f t="shared" si="7"/>
        <v>75055038</v>
      </c>
      <c r="C172" s="7">
        <f t="shared" si="8"/>
        <v>15</v>
      </c>
      <c r="D172" s="51">
        <f t="shared" ref="D172:R172" si="17">D13*D66*D119</f>
        <v>1044.596589986359</v>
      </c>
      <c r="E172" s="51">
        <f t="shared" si="17"/>
        <v>7312.176129904512</v>
      </c>
      <c r="F172" s="51">
        <f t="shared" si="17"/>
        <v>9401.369309877231</v>
      </c>
      <c r="G172" s="51">
        <f t="shared" si="17"/>
        <v>9923.6676048704103</v>
      </c>
      <c r="H172" s="51">
        <f t="shared" si="17"/>
        <v>10445.96589986359</v>
      </c>
      <c r="I172" s="51">
        <f t="shared" si="17"/>
        <v>10445.96589986359</v>
      </c>
      <c r="J172" s="51">
        <f t="shared" si="17"/>
        <v>10445.96589986359</v>
      </c>
      <c r="K172" s="51">
        <f t="shared" si="17"/>
        <v>10445.96589986359</v>
      </c>
      <c r="L172" s="51">
        <f t="shared" si="17"/>
        <v>10445.96589986359</v>
      </c>
      <c r="M172" s="51">
        <f t="shared" si="17"/>
        <v>10445.96589986359</v>
      </c>
      <c r="N172" s="51">
        <f t="shared" si="17"/>
        <v>10445.96589986359</v>
      </c>
      <c r="O172" s="51">
        <f t="shared" si="17"/>
        <v>10445.96589986359</v>
      </c>
      <c r="P172" s="51">
        <f t="shared" si="17"/>
        <v>10445.96589986359</v>
      </c>
      <c r="Q172" s="51">
        <f t="shared" si="17"/>
        <v>10445.96589986359</v>
      </c>
      <c r="R172" s="51">
        <f t="shared" si="17"/>
        <v>10445.96589986359</v>
      </c>
    </row>
    <row r="173" spans="1:18" x14ac:dyDescent="0.3">
      <c r="A173">
        <v>11</v>
      </c>
      <c r="B173" s="50" t="str">
        <f t="shared" si="7"/>
        <v>75079161</v>
      </c>
      <c r="C173" s="7">
        <f t="shared" si="8"/>
        <v>15</v>
      </c>
      <c r="D173" s="51">
        <f>D14*D67*D120</f>
        <v>770</v>
      </c>
      <c r="E173" s="51">
        <f t="shared" ref="E173:R173" si="18">E14*E67*E120</f>
        <v>770</v>
      </c>
      <c r="F173" s="51">
        <f t="shared" si="18"/>
        <v>770</v>
      </c>
      <c r="G173" s="51">
        <f t="shared" si="18"/>
        <v>770</v>
      </c>
      <c r="H173" s="51">
        <f t="shared" si="18"/>
        <v>770</v>
      </c>
      <c r="I173" s="51">
        <f t="shared" si="18"/>
        <v>770</v>
      </c>
      <c r="J173" s="51">
        <f t="shared" si="18"/>
        <v>770</v>
      </c>
      <c r="K173" s="51">
        <f t="shared" si="18"/>
        <v>770</v>
      </c>
      <c r="L173" s="51">
        <f t="shared" si="18"/>
        <v>770</v>
      </c>
      <c r="M173" s="51">
        <f t="shared" si="18"/>
        <v>770</v>
      </c>
      <c r="N173" s="51">
        <f t="shared" si="18"/>
        <v>770</v>
      </c>
      <c r="O173" s="51">
        <f t="shared" si="18"/>
        <v>770</v>
      </c>
      <c r="P173" s="51">
        <f t="shared" si="18"/>
        <v>770</v>
      </c>
      <c r="Q173" s="51">
        <f t="shared" si="18"/>
        <v>770</v>
      </c>
      <c r="R173" s="51">
        <f t="shared" si="18"/>
        <v>770</v>
      </c>
    </row>
    <row r="174" spans="1:18" x14ac:dyDescent="0.3">
      <c r="A174">
        <v>12</v>
      </c>
      <c r="B174" s="50" t="str">
        <f t="shared" si="7"/>
        <v>75088679</v>
      </c>
      <c r="C174" s="7">
        <f t="shared" si="8"/>
        <v>15</v>
      </c>
      <c r="D174" s="51">
        <f>D15*D68*D121</f>
        <v>21228</v>
      </c>
      <c r="E174" s="51">
        <f t="shared" ref="E174:R174" si="19">E15*E68*E121</f>
        <v>21228</v>
      </c>
      <c r="F174" s="51">
        <f t="shared" si="19"/>
        <v>21228</v>
      </c>
      <c r="G174" s="51">
        <f t="shared" si="19"/>
        <v>21228</v>
      </c>
      <c r="H174" s="51">
        <f t="shared" si="19"/>
        <v>21228</v>
      </c>
      <c r="I174" s="51">
        <f t="shared" si="19"/>
        <v>21228</v>
      </c>
      <c r="J174" s="51">
        <f t="shared" si="19"/>
        <v>21228</v>
      </c>
      <c r="K174" s="51">
        <f t="shared" si="19"/>
        <v>21228</v>
      </c>
      <c r="L174" s="51">
        <f t="shared" si="19"/>
        <v>21228</v>
      </c>
      <c r="M174" s="51">
        <f t="shared" si="19"/>
        <v>21228</v>
      </c>
      <c r="N174" s="51">
        <f t="shared" si="19"/>
        <v>21228</v>
      </c>
      <c r="O174" s="51">
        <f t="shared" si="19"/>
        <v>21228</v>
      </c>
      <c r="P174" s="51">
        <f t="shared" si="19"/>
        <v>21228</v>
      </c>
      <c r="Q174" s="51">
        <f t="shared" si="19"/>
        <v>21228</v>
      </c>
      <c r="R174" s="51">
        <f t="shared" si="19"/>
        <v>21228</v>
      </c>
    </row>
    <row r="175" spans="1:18" x14ac:dyDescent="0.3">
      <c r="A175">
        <v>13</v>
      </c>
      <c r="B175" s="50" t="str">
        <f t="shared" si="7"/>
        <v>75085538</v>
      </c>
      <c r="C175" s="7">
        <f t="shared" si="8"/>
        <v>15</v>
      </c>
      <c r="D175" s="51">
        <f t="shared" ref="D175:R175" si="20">D16*D69*D122</f>
        <v>88974.633371256583</v>
      </c>
      <c r="E175" s="51">
        <f t="shared" si="20"/>
        <v>88974.633371256583</v>
      </c>
      <c r="F175" s="51">
        <f t="shared" si="20"/>
        <v>88974.633371256583</v>
      </c>
      <c r="G175" s="51">
        <f t="shared" si="20"/>
        <v>88974.633371256583</v>
      </c>
      <c r="H175" s="51">
        <f t="shared" si="20"/>
        <v>88974.633371256583</v>
      </c>
      <c r="I175" s="51">
        <f t="shared" si="20"/>
        <v>88974.633371256583</v>
      </c>
      <c r="J175" s="51">
        <f t="shared" si="20"/>
        <v>88974.633371256583</v>
      </c>
      <c r="K175" s="51">
        <f t="shared" si="20"/>
        <v>88974.633371256583</v>
      </c>
      <c r="L175" s="51">
        <f t="shared" si="20"/>
        <v>88974.633371256583</v>
      </c>
      <c r="M175" s="51">
        <f t="shared" si="20"/>
        <v>88974.633371256583</v>
      </c>
      <c r="N175" s="51">
        <f t="shared" si="20"/>
        <v>88974.633371256583</v>
      </c>
      <c r="O175" s="51">
        <f t="shared" si="20"/>
        <v>88974.633371256583</v>
      </c>
      <c r="P175" s="51">
        <f t="shared" si="20"/>
        <v>88974.633371256583</v>
      </c>
      <c r="Q175" s="51">
        <f t="shared" si="20"/>
        <v>88974.633371256583</v>
      </c>
      <c r="R175" s="51">
        <f t="shared" si="20"/>
        <v>88974.633371256583</v>
      </c>
    </row>
    <row r="176" spans="1:18" x14ac:dyDescent="0.3">
      <c r="A176">
        <v>14</v>
      </c>
      <c r="B176" s="50" t="str">
        <f t="shared" si="7"/>
        <v>75089294</v>
      </c>
      <c r="C176" s="7">
        <f t="shared" si="8"/>
        <v>15</v>
      </c>
      <c r="D176" s="51">
        <f t="shared" ref="D176:R176" si="21">D17*D70*D123</f>
        <v>7887</v>
      </c>
      <c r="E176" s="51">
        <f t="shared" si="21"/>
        <v>7887</v>
      </c>
      <c r="F176" s="51">
        <f t="shared" si="21"/>
        <v>7887</v>
      </c>
      <c r="G176" s="51">
        <f t="shared" si="21"/>
        <v>7887</v>
      </c>
      <c r="H176" s="51">
        <f t="shared" si="21"/>
        <v>7887</v>
      </c>
      <c r="I176" s="51">
        <f t="shared" si="21"/>
        <v>7887</v>
      </c>
      <c r="J176" s="51">
        <f t="shared" si="21"/>
        <v>7887</v>
      </c>
      <c r="K176" s="51">
        <f t="shared" si="21"/>
        <v>7887</v>
      </c>
      <c r="L176" s="51">
        <f t="shared" si="21"/>
        <v>7887</v>
      </c>
      <c r="M176" s="51">
        <f t="shared" si="21"/>
        <v>7887</v>
      </c>
      <c r="N176" s="51">
        <f t="shared" si="21"/>
        <v>7887</v>
      </c>
      <c r="O176" s="51">
        <f t="shared" si="21"/>
        <v>7887</v>
      </c>
      <c r="P176" s="51">
        <f t="shared" si="21"/>
        <v>7887</v>
      </c>
      <c r="Q176" s="51">
        <f t="shared" si="21"/>
        <v>7887</v>
      </c>
      <c r="R176" s="51">
        <f t="shared" si="21"/>
        <v>7887</v>
      </c>
    </row>
    <row r="177" spans="1:18" x14ac:dyDescent="0.3">
      <c r="A177">
        <v>15</v>
      </c>
      <c r="B177" s="50" t="str">
        <f t="shared" si="7"/>
        <v>75093308</v>
      </c>
      <c r="C177" s="7">
        <f t="shared" si="8"/>
        <v>15</v>
      </c>
      <c r="D177" s="51">
        <f t="shared" ref="D177:R177" si="22">D18*D71*D124</f>
        <v>3066.0783516491706</v>
      </c>
      <c r="E177" s="51">
        <f t="shared" si="22"/>
        <v>3066.0783516491706</v>
      </c>
      <c r="F177" s="51">
        <f t="shared" si="22"/>
        <v>3066.0783516491706</v>
      </c>
      <c r="G177" s="51">
        <f t="shared" si="22"/>
        <v>3066.0783516491706</v>
      </c>
      <c r="H177" s="51">
        <f t="shared" si="22"/>
        <v>3066.0783516491706</v>
      </c>
      <c r="I177" s="51">
        <f t="shared" si="22"/>
        <v>3066.0783516491706</v>
      </c>
      <c r="J177" s="51">
        <f t="shared" si="22"/>
        <v>3066.0783516491706</v>
      </c>
      <c r="K177" s="51">
        <f t="shared" si="22"/>
        <v>3066.0783516491706</v>
      </c>
      <c r="L177" s="51">
        <f t="shared" si="22"/>
        <v>3066.0783516491706</v>
      </c>
      <c r="M177" s="51">
        <f t="shared" si="22"/>
        <v>3066.0783516491706</v>
      </c>
      <c r="N177" s="51">
        <f t="shared" si="22"/>
        <v>3066.0783516491706</v>
      </c>
      <c r="O177" s="51">
        <f t="shared" si="22"/>
        <v>3066.0783516491706</v>
      </c>
      <c r="P177" s="51">
        <f t="shared" si="22"/>
        <v>3066.0783516491706</v>
      </c>
      <c r="Q177" s="51">
        <f t="shared" si="22"/>
        <v>3066.0783516491706</v>
      </c>
      <c r="R177" s="51">
        <f t="shared" si="22"/>
        <v>3066.0783516491706</v>
      </c>
    </row>
    <row r="178" spans="1:18" x14ac:dyDescent="0.3">
      <c r="A178">
        <v>16</v>
      </c>
      <c r="B178" s="50" t="str">
        <f t="shared" si="7"/>
        <v>75080861</v>
      </c>
      <c r="C178" s="7">
        <f t="shared" si="8"/>
        <v>15</v>
      </c>
      <c r="D178" s="51">
        <f t="shared" ref="D178:R178" si="23">D19*D72*D125</f>
        <v>50924</v>
      </c>
      <c r="E178" s="51">
        <f t="shared" si="23"/>
        <v>101848</v>
      </c>
      <c r="F178" s="51">
        <f t="shared" si="23"/>
        <v>101848</v>
      </c>
      <c r="G178" s="51">
        <f t="shared" si="23"/>
        <v>101848</v>
      </c>
      <c r="H178" s="51">
        <f t="shared" si="23"/>
        <v>101848</v>
      </c>
      <c r="I178" s="51">
        <f t="shared" si="23"/>
        <v>101848</v>
      </c>
      <c r="J178" s="51">
        <f t="shared" si="23"/>
        <v>101848</v>
      </c>
      <c r="K178" s="51">
        <f t="shared" si="23"/>
        <v>101848</v>
      </c>
      <c r="L178" s="51">
        <f t="shared" si="23"/>
        <v>101848</v>
      </c>
      <c r="M178" s="51">
        <f t="shared" si="23"/>
        <v>101848</v>
      </c>
      <c r="N178" s="51">
        <f t="shared" si="23"/>
        <v>101848</v>
      </c>
      <c r="O178" s="51">
        <f t="shared" si="23"/>
        <v>101848</v>
      </c>
      <c r="P178" s="51">
        <f t="shared" si="23"/>
        <v>101848</v>
      </c>
      <c r="Q178" s="51">
        <f t="shared" si="23"/>
        <v>101848</v>
      </c>
      <c r="R178" s="51">
        <f t="shared" si="23"/>
        <v>101848</v>
      </c>
    </row>
    <row r="179" spans="1:18" x14ac:dyDescent="0.3">
      <c r="A179">
        <v>17</v>
      </c>
      <c r="B179" s="50" t="str">
        <f t="shared" si="7"/>
        <v>75085366</v>
      </c>
      <c r="C179" s="7">
        <f t="shared" si="8"/>
        <v>15</v>
      </c>
      <c r="D179" s="51">
        <f t="shared" ref="D179:R179" si="24">D20*D73*D126</f>
        <v>19360.030853234235</v>
      </c>
      <c r="E179" s="51">
        <f t="shared" si="24"/>
        <v>19360.030853234235</v>
      </c>
      <c r="F179" s="51">
        <f t="shared" si="24"/>
        <v>19360.030853234235</v>
      </c>
      <c r="G179" s="51">
        <f t="shared" si="24"/>
        <v>19360.030853234235</v>
      </c>
      <c r="H179" s="51">
        <f t="shared" si="24"/>
        <v>19360.030853234235</v>
      </c>
      <c r="I179" s="51">
        <f t="shared" si="24"/>
        <v>19360.030853234235</v>
      </c>
      <c r="J179" s="51">
        <f t="shared" si="24"/>
        <v>19360.030853234235</v>
      </c>
      <c r="K179" s="51">
        <f t="shared" si="24"/>
        <v>19360.030853234235</v>
      </c>
      <c r="L179" s="51">
        <f t="shared" si="24"/>
        <v>19360.030853234235</v>
      </c>
      <c r="M179" s="51">
        <f t="shared" si="24"/>
        <v>19360.030853234235</v>
      </c>
      <c r="N179" s="51">
        <f t="shared" si="24"/>
        <v>19360.030853234235</v>
      </c>
      <c r="O179" s="51">
        <f t="shared" si="24"/>
        <v>19360.030853234235</v>
      </c>
      <c r="P179" s="51">
        <f t="shared" si="24"/>
        <v>19360.030853234235</v>
      </c>
      <c r="Q179" s="51">
        <f t="shared" si="24"/>
        <v>19360.030853234235</v>
      </c>
      <c r="R179" s="51">
        <f t="shared" si="24"/>
        <v>19360.030853234235</v>
      </c>
    </row>
    <row r="180" spans="1:18" x14ac:dyDescent="0.3">
      <c r="A180">
        <v>18</v>
      </c>
      <c r="B180" s="50" t="str">
        <f t="shared" si="7"/>
        <v>75088855</v>
      </c>
      <c r="C180" s="7">
        <f t="shared" si="8"/>
        <v>15</v>
      </c>
      <c r="D180" s="51">
        <f t="shared" ref="D180:R180" si="25">D21*D74*D127</f>
        <v>524.71863143755581</v>
      </c>
      <c r="E180" s="51">
        <f t="shared" si="25"/>
        <v>1049.4372628751116</v>
      </c>
      <c r="F180" s="51">
        <f t="shared" si="25"/>
        <v>1574.1558943126674</v>
      </c>
      <c r="G180" s="51">
        <f t="shared" si="25"/>
        <v>2098.8745257502233</v>
      </c>
      <c r="H180" s="51">
        <f t="shared" si="25"/>
        <v>2623.5931571877791</v>
      </c>
      <c r="I180" s="51">
        <f t="shared" si="25"/>
        <v>2623.5931571877791</v>
      </c>
      <c r="J180" s="51">
        <f t="shared" si="25"/>
        <v>2623.5931571877791</v>
      </c>
      <c r="K180" s="51">
        <f t="shared" si="25"/>
        <v>2623.5931571877791</v>
      </c>
      <c r="L180" s="51">
        <f t="shared" si="25"/>
        <v>2623.5931571877791</v>
      </c>
      <c r="M180" s="51">
        <f t="shared" si="25"/>
        <v>2623.5931571877791</v>
      </c>
      <c r="N180" s="51">
        <f t="shared" si="25"/>
        <v>2623.5931571877791</v>
      </c>
      <c r="O180" s="51">
        <f t="shared" si="25"/>
        <v>2623.5931571877791</v>
      </c>
      <c r="P180" s="51">
        <f t="shared" si="25"/>
        <v>2623.5931571877791</v>
      </c>
      <c r="Q180" s="51">
        <f t="shared" si="25"/>
        <v>2623.5931571877791</v>
      </c>
      <c r="R180" s="51">
        <f t="shared" si="25"/>
        <v>2623.5931571877791</v>
      </c>
    </row>
    <row r="181" spans="1:18" x14ac:dyDescent="0.3">
      <c r="A181">
        <v>19</v>
      </c>
      <c r="B181" s="50" t="str">
        <f t="shared" si="7"/>
        <v>75090071</v>
      </c>
      <c r="C181" s="7">
        <f t="shared" si="8"/>
        <v>15</v>
      </c>
      <c r="D181" s="51">
        <f t="shared" ref="D181:R181" si="26">D22*D75*D128</f>
        <v>4904.317501225637</v>
      </c>
      <c r="E181" s="51">
        <f t="shared" si="26"/>
        <v>4904.317501225637</v>
      </c>
      <c r="F181" s="51">
        <f t="shared" si="26"/>
        <v>4904.317501225637</v>
      </c>
      <c r="G181" s="51">
        <f t="shared" si="26"/>
        <v>4904.317501225637</v>
      </c>
      <c r="H181" s="51">
        <f t="shared" si="26"/>
        <v>4904.317501225637</v>
      </c>
      <c r="I181" s="51">
        <f t="shared" si="26"/>
        <v>4904.317501225637</v>
      </c>
      <c r="J181" s="51">
        <f t="shared" si="26"/>
        <v>4904.317501225637</v>
      </c>
      <c r="K181" s="51">
        <f t="shared" si="26"/>
        <v>4904.317501225637</v>
      </c>
      <c r="L181" s="51">
        <f t="shared" si="26"/>
        <v>4904.317501225637</v>
      </c>
      <c r="M181" s="51">
        <f t="shared" si="26"/>
        <v>4904.317501225637</v>
      </c>
      <c r="N181" s="51">
        <f t="shared" si="26"/>
        <v>4904.317501225637</v>
      </c>
      <c r="O181" s="51">
        <f t="shared" si="26"/>
        <v>4904.317501225637</v>
      </c>
      <c r="P181" s="51">
        <f t="shared" si="26"/>
        <v>4904.317501225637</v>
      </c>
      <c r="Q181" s="51">
        <f t="shared" si="26"/>
        <v>4904.317501225637</v>
      </c>
      <c r="R181" s="51">
        <f t="shared" si="26"/>
        <v>4904.317501225637</v>
      </c>
    </row>
    <row r="182" spans="1:18" x14ac:dyDescent="0.3">
      <c r="A182">
        <v>20</v>
      </c>
      <c r="B182" s="50" t="str">
        <f t="shared" si="7"/>
        <v>75094398</v>
      </c>
      <c r="C182" s="7">
        <f t="shared" si="8"/>
        <v>15</v>
      </c>
      <c r="D182" s="51">
        <f t="shared" ref="D182:R182" si="27">D23*D76*D129</f>
        <v>2547.1266273119354</v>
      </c>
      <c r="E182" s="51">
        <f t="shared" si="27"/>
        <v>2547.1266273119354</v>
      </c>
      <c r="F182" s="51">
        <f t="shared" si="27"/>
        <v>2547.1266273119354</v>
      </c>
      <c r="G182" s="51">
        <f t="shared" si="27"/>
        <v>2547.1266273119354</v>
      </c>
      <c r="H182" s="51">
        <f t="shared" si="27"/>
        <v>2547.1266273119354</v>
      </c>
      <c r="I182" s="51">
        <f t="shared" si="27"/>
        <v>2547.1266273119354</v>
      </c>
      <c r="J182" s="51">
        <f t="shared" si="27"/>
        <v>2547.1266273119354</v>
      </c>
      <c r="K182" s="51">
        <f t="shared" si="27"/>
        <v>2547.1266273119354</v>
      </c>
      <c r="L182" s="51">
        <f t="shared" si="27"/>
        <v>2547.1266273119354</v>
      </c>
      <c r="M182" s="51">
        <f t="shared" si="27"/>
        <v>2547.1266273119354</v>
      </c>
      <c r="N182" s="51">
        <f t="shared" si="27"/>
        <v>2547.1266273119354</v>
      </c>
      <c r="O182" s="51">
        <f t="shared" si="27"/>
        <v>2547.1266273119354</v>
      </c>
      <c r="P182" s="51">
        <f t="shared" si="27"/>
        <v>2547.1266273119354</v>
      </c>
      <c r="Q182" s="51">
        <f t="shared" si="27"/>
        <v>2547.1266273119354</v>
      </c>
      <c r="R182" s="51">
        <f t="shared" si="27"/>
        <v>2547.1266273119354</v>
      </c>
    </row>
    <row r="183" spans="1:18" x14ac:dyDescent="0.3">
      <c r="A183">
        <v>21</v>
      </c>
      <c r="B183" s="50" t="str">
        <f t="shared" si="7"/>
        <v>75082753</v>
      </c>
      <c r="C183" s="7">
        <f t="shared" si="8"/>
        <v>15</v>
      </c>
      <c r="D183" s="51">
        <f t="shared" ref="D183:R183" si="28">D24*D77*D130</f>
        <v>18285.63408576513</v>
      </c>
      <c r="E183" s="51">
        <f t="shared" si="28"/>
        <v>18285.63408576513</v>
      </c>
      <c r="F183" s="51">
        <f t="shared" si="28"/>
        <v>18285.63408576513</v>
      </c>
      <c r="G183" s="51">
        <f t="shared" si="28"/>
        <v>18285.63408576513</v>
      </c>
      <c r="H183" s="51">
        <f t="shared" si="28"/>
        <v>18285.63408576513</v>
      </c>
      <c r="I183" s="51">
        <f t="shared" si="28"/>
        <v>18285.63408576513</v>
      </c>
      <c r="J183" s="51">
        <f t="shared" si="28"/>
        <v>18285.63408576513</v>
      </c>
      <c r="K183" s="51">
        <f t="shared" si="28"/>
        <v>18285.63408576513</v>
      </c>
      <c r="L183" s="51">
        <f t="shared" si="28"/>
        <v>18285.63408576513</v>
      </c>
      <c r="M183" s="51">
        <f t="shared" si="28"/>
        <v>18285.63408576513</v>
      </c>
      <c r="N183" s="51">
        <f t="shared" si="28"/>
        <v>18285.63408576513</v>
      </c>
      <c r="O183" s="51">
        <f t="shared" si="28"/>
        <v>18285.63408576513</v>
      </c>
      <c r="P183" s="51">
        <f t="shared" si="28"/>
        <v>18285.63408576513</v>
      </c>
      <c r="Q183" s="51">
        <f t="shared" si="28"/>
        <v>18285.63408576513</v>
      </c>
      <c r="R183" s="51">
        <f t="shared" si="28"/>
        <v>18285.63408576513</v>
      </c>
    </row>
    <row r="184" spans="1:18" x14ac:dyDescent="0.3">
      <c r="A184">
        <v>22</v>
      </c>
      <c r="B184" s="50" t="str">
        <f t="shared" si="7"/>
        <v>75079993</v>
      </c>
      <c r="C184" s="7">
        <f t="shared" si="8"/>
        <v>15</v>
      </c>
      <c r="D184" s="51">
        <f t="shared" ref="D184:R184" si="29">D25*D78*D131</f>
        <v>22254.638909978963</v>
      </c>
      <c r="E184" s="51">
        <f t="shared" si="29"/>
        <v>22254.638909978963</v>
      </c>
      <c r="F184" s="51">
        <f t="shared" si="29"/>
        <v>22254.638909978963</v>
      </c>
      <c r="G184" s="51">
        <f t="shared" si="29"/>
        <v>22254.638909978963</v>
      </c>
      <c r="H184" s="51">
        <f t="shared" si="29"/>
        <v>22254.638909978963</v>
      </c>
      <c r="I184" s="51">
        <f t="shared" si="29"/>
        <v>22254.638909978963</v>
      </c>
      <c r="J184" s="51">
        <f t="shared" si="29"/>
        <v>22254.638909978963</v>
      </c>
      <c r="K184" s="51">
        <f t="shared" si="29"/>
        <v>22254.638909978963</v>
      </c>
      <c r="L184" s="51">
        <f t="shared" si="29"/>
        <v>22254.638909978963</v>
      </c>
      <c r="M184" s="51">
        <f t="shared" si="29"/>
        <v>22254.638909978963</v>
      </c>
      <c r="N184" s="51">
        <f t="shared" si="29"/>
        <v>22254.638909978963</v>
      </c>
      <c r="O184" s="51">
        <f t="shared" si="29"/>
        <v>22254.638909978963</v>
      </c>
      <c r="P184" s="51">
        <f t="shared" si="29"/>
        <v>22254.638909978963</v>
      </c>
      <c r="Q184" s="51">
        <f t="shared" si="29"/>
        <v>22254.638909978963</v>
      </c>
      <c r="R184" s="51">
        <f t="shared" si="29"/>
        <v>22254.638909978963</v>
      </c>
    </row>
    <row r="185" spans="1:18" x14ac:dyDescent="0.3">
      <c r="A185">
        <v>23</v>
      </c>
      <c r="B185" s="50" t="str">
        <f t="shared" si="7"/>
        <v>75083984</v>
      </c>
      <c r="C185" s="7">
        <f t="shared" si="8"/>
        <v>15</v>
      </c>
      <c r="D185" s="51">
        <f t="shared" ref="D185:R185" si="30">D26*D79*D132</f>
        <v>29168.711017832848</v>
      </c>
      <c r="E185" s="51">
        <f t="shared" si="30"/>
        <v>29168.711017832848</v>
      </c>
      <c r="F185" s="51">
        <f t="shared" si="30"/>
        <v>29168.711017832848</v>
      </c>
      <c r="G185" s="51">
        <f t="shared" si="30"/>
        <v>29168.711017832848</v>
      </c>
      <c r="H185" s="51">
        <f t="shared" si="30"/>
        <v>29168.711017832848</v>
      </c>
      <c r="I185" s="51">
        <f t="shared" si="30"/>
        <v>29168.711017832848</v>
      </c>
      <c r="J185" s="51">
        <f t="shared" si="30"/>
        <v>29168.711017832848</v>
      </c>
      <c r="K185" s="51">
        <f t="shared" si="30"/>
        <v>29168.711017832848</v>
      </c>
      <c r="L185" s="51">
        <f t="shared" si="30"/>
        <v>29168.711017832848</v>
      </c>
      <c r="M185" s="51">
        <f t="shared" si="30"/>
        <v>29168.711017832848</v>
      </c>
      <c r="N185" s="51">
        <f t="shared" si="30"/>
        <v>29168.711017832848</v>
      </c>
      <c r="O185" s="51">
        <f t="shared" si="30"/>
        <v>29168.711017832848</v>
      </c>
      <c r="P185" s="51">
        <f t="shared" si="30"/>
        <v>29168.711017832848</v>
      </c>
      <c r="Q185" s="51">
        <f t="shared" si="30"/>
        <v>29168.711017832848</v>
      </c>
      <c r="R185" s="51">
        <f t="shared" si="30"/>
        <v>29168.711017832848</v>
      </c>
    </row>
    <row r="186" spans="1:18" x14ac:dyDescent="0.3">
      <c r="A186">
        <v>24</v>
      </c>
      <c r="B186" s="50" t="str">
        <f t="shared" si="7"/>
        <v>75090929</v>
      </c>
      <c r="C186" s="7">
        <f t="shared" si="8"/>
        <v>15</v>
      </c>
      <c r="D186" s="51">
        <f t="shared" ref="D186:R186" si="31">D27*D80*D133</f>
        <v>1762.4310512904772</v>
      </c>
      <c r="E186" s="51">
        <f t="shared" si="31"/>
        <v>1762.4310512904772</v>
      </c>
      <c r="F186" s="51">
        <f t="shared" si="31"/>
        <v>1762.4310512904772</v>
      </c>
      <c r="G186" s="51">
        <f t="shared" si="31"/>
        <v>1762.4310512904772</v>
      </c>
      <c r="H186" s="51">
        <f t="shared" si="31"/>
        <v>1762.4310512904772</v>
      </c>
      <c r="I186" s="51">
        <f t="shared" si="31"/>
        <v>1762.4310512904772</v>
      </c>
      <c r="J186" s="51">
        <f t="shared" si="31"/>
        <v>1762.4310512904772</v>
      </c>
      <c r="K186" s="51">
        <f t="shared" si="31"/>
        <v>1762.4310512904772</v>
      </c>
      <c r="L186" s="51">
        <f t="shared" si="31"/>
        <v>1762.4310512904772</v>
      </c>
      <c r="M186" s="51">
        <f t="shared" si="31"/>
        <v>1762.4310512904772</v>
      </c>
      <c r="N186" s="51">
        <f t="shared" si="31"/>
        <v>1762.4310512904772</v>
      </c>
      <c r="O186" s="51">
        <f t="shared" si="31"/>
        <v>1762.4310512904772</v>
      </c>
      <c r="P186" s="51">
        <f t="shared" si="31"/>
        <v>1762.4310512904772</v>
      </c>
      <c r="Q186" s="51">
        <f t="shared" si="31"/>
        <v>1762.4310512904772</v>
      </c>
      <c r="R186" s="51">
        <f t="shared" si="31"/>
        <v>1762.4310512904772</v>
      </c>
    </row>
    <row r="187" spans="1:18" x14ac:dyDescent="0.3">
      <c r="A187">
        <v>25</v>
      </c>
      <c r="B187" s="50" t="str">
        <f t="shared" si="7"/>
        <v>75075826</v>
      </c>
      <c r="C187" s="7">
        <f t="shared" si="8"/>
        <v>15</v>
      </c>
      <c r="D187" s="51">
        <f t="shared" ref="D187:R187" si="32">D28*D81*D134</f>
        <v>0</v>
      </c>
      <c r="E187" s="51">
        <f t="shared" si="32"/>
        <v>0</v>
      </c>
      <c r="F187" s="51">
        <f t="shared" si="32"/>
        <v>0</v>
      </c>
      <c r="G187" s="51">
        <f t="shared" si="32"/>
        <v>0</v>
      </c>
      <c r="H187" s="51">
        <f t="shared" si="32"/>
        <v>75461.603492697599</v>
      </c>
      <c r="I187" s="51">
        <f t="shared" si="32"/>
        <v>75461.603492697599</v>
      </c>
      <c r="J187" s="51">
        <f t="shared" si="32"/>
        <v>75461.603492697599</v>
      </c>
      <c r="K187" s="51">
        <f t="shared" si="32"/>
        <v>75461.603492697599</v>
      </c>
      <c r="L187" s="51">
        <f t="shared" si="32"/>
        <v>75461.603492697599</v>
      </c>
      <c r="M187" s="51">
        <f t="shared" si="32"/>
        <v>75461.603492697599</v>
      </c>
      <c r="N187" s="51">
        <f t="shared" si="32"/>
        <v>75461.603492697599</v>
      </c>
      <c r="O187" s="51">
        <f t="shared" si="32"/>
        <v>75461.603492697599</v>
      </c>
      <c r="P187" s="51">
        <f t="shared" si="32"/>
        <v>75461.603492697599</v>
      </c>
      <c r="Q187" s="51">
        <f t="shared" si="32"/>
        <v>75461.603492697599</v>
      </c>
      <c r="R187" s="51">
        <f t="shared" si="32"/>
        <v>75461.603492697599</v>
      </c>
    </row>
    <row r="188" spans="1:18" x14ac:dyDescent="0.3">
      <c r="A188">
        <v>26</v>
      </c>
      <c r="B188" s="50" t="str">
        <f t="shared" si="7"/>
        <v>75079446</v>
      </c>
      <c r="C188" s="7">
        <f t="shared" si="8"/>
        <v>15</v>
      </c>
      <c r="D188" s="51">
        <f t="shared" ref="D188:R188" si="33">D29*D82*D135</f>
        <v>2577.2106140146611</v>
      </c>
      <c r="E188" s="51">
        <f t="shared" si="33"/>
        <v>2577.2106140146611</v>
      </c>
      <c r="F188" s="51">
        <f t="shared" si="33"/>
        <v>2577.2106140146611</v>
      </c>
      <c r="G188" s="51">
        <f t="shared" si="33"/>
        <v>2577.2106140146611</v>
      </c>
      <c r="H188" s="51">
        <f t="shared" si="33"/>
        <v>2577.2106140146611</v>
      </c>
      <c r="I188" s="51">
        <f t="shared" si="33"/>
        <v>2577.2106140146611</v>
      </c>
      <c r="J188" s="51">
        <f t="shared" si="33"/>
        <v>2577.2106140146611</v>
      </c>
      <c r="K188" s="51">
        <f t="shared" si="33"/>
        <v>2577.2106140146611</v>
      </c>
      <c r="L188" s="51">
        <f t="shared" si="33"/>
        <v>2577.2106140146611</v>
      </c>
      <c r="M188" s="51">
        <f t="shared" si="33"/>
        <v>2577.2106140146611</v>
      </c>
      <c r="N188" s="51">
        <f t="shared" si="33"/>
        <v>2577.2106140146611</v>
      </c>
      <c r="O188" s="51">
        <f t="shared" si="33"/>
        <v>2577.2106140146611</v>
      </c>
      <c r="P188" s="51">
        <f t="shared" si="33"/>
        <v>2577.2106140146611</v>
      </c>
      <c r="Q188" s="51">
        <f t="shared" si="33"/>
        <v>2577.2106140146611</v>
      </c>
      <c r="R188" s="51">
        <f t="shared" si="33"/>
        <v>2577.2106140146611</v>
      </c>
    </row>
    <row r="189" spans="1:18" x14ac:dyDescent="0.3">
      <c r="A189">
        <v>27</v>
      </c>
      <c r="B189" s="50" t="str">
        <f t="shared" si="7"/>
        <v>75091372</v>
      </c>
      <c r="C189" s="7">
        <f t="shared" si="8"/>
        <v>15</v>
      </c>
      <c r="D189" s="51">
        <f t="shared" ref="D189:R189" si="34">D30*D83*D136</f>
        <v>50641.332760956015</v>
      </c>
      <c r="E189" s="51">
        <f t="shared" si="34"/>
        <v>50641.332760956015</v>
      </c>
      <c r="F189" s="51">
        <f t="shared" si="34"/>
        <v>50641.332760956015</v>
      </c>
      <c r="G189" s="51">
        <f t="shared" si="34"/>
        <v>50641.332760956015</v>
      </c>
      <c r="H189" s="51">
        <f t="shared" si="34"/>
        <v>50641.332760956015</v>
      </c>
      <c r="I189" s="51">
        <f t="shared" si="34"/>
        <v>50641.332760956015</v>
      </c>
      <c r="J189" s="51">
        <f t="shared" si="34"/>
        <v>50641.332760956015</v>
      </c>
      <c r="K189" s="51">
        <f t="shared" si="34"/>
        <v>50641.332760956015</v>
      </c>
      <c r="L189" s="51">
        <f t="shared" si="34"/>
        <v>50641.332760956015</v>
      </c>
      <c r="M189" s="51">
        <f t="shared" si="34"/>
        <v>50641.332760956015</v>
      </c>
      <c r="N189" s="51">
        <f t="shared" si="34"/>
        <v>50641.332760956015</v>
      </c>
      <c r="O189" s="51">
        <f t="shared" si="34"/>
        <v>50641.332760956015</v>
      </c>
      <c r="P189" s="51">
        <f t="shared" si="34"/>
        <v>50641.332760956015</v>
      </c>
      <c r="Q189" s="51">
        <f t="shared" si="34"/>
        <v>50641.332760956015</v>
      </c>
      <c r="R189" s="51">
        <f t="shared" si="34"/>
        <v>50641.332760956015</v>
      </c>
    </row>
    <row r="190" spans="1:18" x14ac:dyDescent="0.3">
      <c r="A190">
        <v>28</v>
      </c>
      <c r="B190" s="50" t="str">
        <f t="shared" si="7"/>
        <v>75084806</v>
      </c>
      <c r="C190" s="7">
        <f t="shared" si="8"/>
        <v>15</v>
      </c>
      <c r="D190" s="51">
        <f t="shared" ref="D190:R190" si="35">D31*D84*D137</f>
        <v>2088.3428763801503</v>
      </c>
      <c r="E190" s="51">
        <f t="shared" si="35"/>
        <v>2088.3428763801503</v>
      </c>
      <c r="F190" s="51">
        <f t="shared" si="35"/>
        <v>2088.3428763801503</v>
      </c>
      <c r="G190" s="51">
        <f t="shared" si="35"/>
        <v>2088.3428763801503</v>
      </c>
      <c r="H190" s="51">
        <f t="shared" si="35"/>
        <v>2088.3428763801503</v>
      </c>
      <c r="I190" s="51">
        <f t="shared" si="35"/>
        <v>2088.3428763801503</v>
      </c>
      <c r="J190" s="51">
        <f t="shared" si="35"/>
        <v>2088.3428763801503</v>
      </c>
      <c r="K190" s="51">
        <f t="shared" si="35"/>
        <v>2088.3428763801503</v>
      </c>
      <c r="L190" s="51">
        <f t="shared" si="35"/>
        <v>2088.3428763801503</v>
      </c>
      <c r="M190" s="51">
        <f t="shared" si="35"/>
        <v>2088.3428763801503</v>
      </c>
      <c r="N190" s="51">
        <f t="shared" si="35"/>
        <v>2088.3428763801503</v>
      </c>
      <c r="O190" s="51">
        <f t="shared" si="35"/>
        <v>2088.3428763801503</v>
      </c>
      <c r="P190" s="51">
        <f t="shared" si="35"/>
        <v>2088.3428763801503</v>
      </c>
      <c r="Q190" s="51">
        <f t="shared" si="35"/>
        <v>2088.3428763801503</v>
      </c>
      <c r="R190" s="51">
        <f t="shared" si="35"/>
        <v>2088.3428763801503</v>
      </c>
    </row>
    <row r="191" spans="1:18" x14ac:dyDescent="0.3">
      <c r="A191">
        <v>29</v>
      </c>
      <c r="B191" s="50" t="str">
        <f t="shared" si="7"/>
        <v>75084512</v>
      </c>
      <c r="C191" s="7">
        <f t="shared" si="8"/>
        <v>15</v>
      </c>
      <c r="D191" s="51">
        <f t="shared" ref="D191:R191" si="36">D32*D85*D138</f>
        <v>3533.1641749765035</v>
      </c>
      <c r="E191" s="51">
        <f t="shared" si="36"/>
        <v>3533.1641749765035</v>
      </c>
      <c r="F191" s="51">
        <f t="shared" si="36"/>
        <v>3533.1641749765035</v>
      </c>
      <c r="G191" s="51">
        <f t="shared" si="36"/>
        <v>3533.1641749765035</v>
      </c>
      <c r="H191" s="51">
        <f t="shared" si="36"/>
        <v>3533.1641749765035</v>
      </c>
      <c r="I191" s="51">
        <f t="shared" si="36"/>
        <v>3533.1641749765035</v>
      </c>
      <c r="J191" s="51">
        <f t="shared" si="36"/>
        <v>3533.1641749765035</v>
      </c>
      <c r="K191" s="51">
        <f t="shared" si="36"/>
        <v>3533.1641749765035</v>
      </c>
      <c r="L191" s="51">
        <f t="shared" si="36"/>
        <v>3533.1641749765035</v>
      </c>
      <c r="M191" s="51">
        <f t="shared" si="36"/>
        <v>3533.1641749765035</v>
      </c>
      <c r="N191" s="51">
        <f t="shared" si="36"/>
        <v>3533.1641749765035</v>
      </c>
      <c r="O191" s="51">
        <f t="shared" si="36"/>
        <v>3533.1641749765035</v>
      </c>
      <c r="P191" s="51">
        <f t="shared" si="36"/>
        <v>3533.1641749765035</v>
      </c>
      <c r="Q191" s="51">
        <f t="shared" si="36"/>
        <v>3533.1641749765035</v>
      </c>
      <c r="R191" s="51">
        <f t="shared" si="36"/>
        <v>3533.1641749765035</v>
      </c>
    </row>
    <row r="192" spans="1:18" x14ac:dyDescent="0.3">
      <c r="A192">
        <v>30</v>
      </c>
      <c r="B192" s="50" t="str">
        <f t="shared" si="7"/>
        <v>75089909</v>
      </c>
      <c r="C192" s="7">
        <f t="shared" si="8"/>
        <v>15</v>
      </c>
      <c r="D192" s="51">
        <f t="shared" ref="D192:R192" si="37">D33*D86*D139</f>
        <v>6733.8616716750603</v>
      </c>
      <c r="E192" s="51">
        <f t="shared" si="37"/>
        <v>6733.8616716750603</v>
      </c>
      <c r="F192" s="51">
        <f t="shared" si="37"/>
        <v>6733.8616716750603</v>
      </c>
      <c r="G192" s="51">
        <f t="shared" si="37"/>
        <v>6733.8616716750603</v>
      </c>
      <c r="H192" s="51">
        <f t="shared" si="37"/>
        <v>6733.8616716750603</v>
      </c>
      <c r="I192" s="51">
        <f t="shared" si="37"/>
        <v>6733.8616716750603</v>
      </c>
      <c r="J192" s="51">
        <f t="shared" si="37"/>
        <v>6733.8616716750603</v>
      </c>
      <c r="K192" s="51">
        <f t="shared" si="37"/>
        <v>6733.8616716750603</v>
      </c>
      <c r="L192" s="51">
        <f t="shared" si="37"/>
        <v>6733.8616716750603</v>
      </c>
      <c r="M192" s="51">
        <f t="shared" si="37"/>
        <v>6733.8616716750603</v>
      </c>
      <c r="N192" s="51">
        <f t="shared" si="37"/>
        <v>6733.8616716750603</v>
      </c>
      <c r="O192" s="51">
        <f t="shared" si="37"/>
        <v>6733.8616716750603</v>
      </c>
      <c r="P192" s="51">
        <f t="shared" si="37"/>
        <v>6733.8616716750603</v>
      </c>
      <c r="Q192" s="51">
        <f t="shared" si="37"/>
        <v>6733.8616716750603</v>
      </c>
      <c r="R192" s="51">
        <f t="shared" si="37"/>
        <v>6733.8616716750603</v>
      </c>
    </row>
    <row r="193" spans="1:18" x14ac:dyDescent="0.3">
      <c r="A193">
        <v>31</v>
      </c>
      <c r="B193" s="50" t="str">
        <f t="shared" si="7"/>
        <v>75084775</v>
      </c>
      <c r="C193" s="7">
        <f t="shared" si="8"/>
        <v>15</v>
      </c>
      <c r="D193" s="51">
        <f t="shared" ref="D193:R193" si="38">D34*D87*D140</f>
        <v>43267.307911924094</v>
      </c>
      <c r="E193" s="51">
        <f t="shared" si="38"/>
        <v>43267.307911924094</v>
      </c>
      <c r="F193" s="51">
        <f t="shared" si="38"/>
        <v>43267.307911924094</v>
      </c>
      <c r="G193" s="51">
        <f t="shared" si="38"/>
        <v>43267.307911924094</v>
      </c>
      <c r="H193" s="51">
        <f t="shared" si="38"/>
        <v>43267.307911924094</v>
      </c>
      <c r="I193" s="51">
        <f t="shared" si="38"/>
        <v>43267.307911924094</v>
      </c>
      <c r="J193" s="51">
        <f t="shared" si="38"/>
        <v>43267.307911924094</v>
      </c>
      <c r="K193" s="51">
        <f t="shared" si="38"/>
        <v>43267.307911924094</v>
      </c>
      <c r="L193" s="51">
        <f t="shared" si="38"/>
        <v>43267.307911924094</v>
      </c>
      <c r="M193" s="51">
        <f t="shared" si="38"/>
        <v>43267.307911924094</v>
      </c>
      <c r="N193" s="51">
        <f t="shared" si="38"/>
        <v>43267.307911924094</v>
      </c>
      <c r="O193" s="51">
        <f t="shared" si="38"/>
        <v>43267.307911924094</v>
      </c>
      <c r="P193" s="51">
        <f t="shared" si="38"/>
        <v>43267.307911924094</v>
      </c>
      <c r="Q193" s="51">
        <f t="shared" si="38"/>
        <v>43267.307911924094</v>
      </c>
      <c r="R193" s="51">
        <f t="shared" si="38"/>
        <v>43267.307911924094</v>
      </c>
    </row>
    <row r="194" spans="1:18" x14ac:dyDescent="0.3">
      <c r="A194">
        <v>32</v>
      </c>
      <c r="B194" s="50" t="str">
        <f t="shared" si="7"/>
        <v>75086649</v>
      </c>
      <c r="C194" s="7">
        <f t="shared" si="8"/>
        <v>15</v>
      </c>
      <c r="D194" s="51">
        <f t="shared" ref="D194:R194" si="39">D35*D88*D141</f>
        <v>34854.349047763048</v>
      </c>
      <c r="E194" s="51">
        <f t="shared" si="39"/>
        <v>34854.349047763048</v>
      </c>
      <c r="F194" s="51">
        <f t="shared" si="39"/>
        <v>34854.349047763048</v>
      </c>
      <c r="G194" s="51">
        <f t="shared" si="39"/>
        <v>34854.349047763048</v>
      </c>
      <c r="H194" s="51">
        <f t="shared" si="39"/>
        <v>34854.349047763048</v>
      </c>
      <c r="I194" s="51">
        <f t="shared" si="39"/>
        <v>34854.349047763048</v>
      </c>
      <c r="J194" s="51">
        <f t="shared" si="39"/>
        <v>34854.349047763048</v>
      </c>
      <c r="K194" s="51">
        <f t="shared" si="39"/>
        <v>34854.349047763048</v>
      </c>
      <c r="L194" s="51">
        <f t="shared" si="39"/>
        <v>34854.349047763048</v>
      </c>
      <c r="M194" s="51">
        <f t="shared" si="39"/>
        <v>34854.349047763048</v>
      </c>
      <c r="N194" s="51">
        <f t="shared" si="39"/>
        <v>34854.349047763048</v>
      </c>
      <c r="O194" s="51">
        <f t="shared" si="39"/>
        <v>34854.349047763048</v>
      </c>
      <c r="P194" s="51">
        <f t="shared" si="39"/>
        <v>34854.349047763048</v>
      </c>
      <c r="Q194" s="51">
        <f t="shared" si="39"/>
        <v>34854.349047763048</v>
      </c>
      <c r="R194" s="51">
        <f t="shared" si="39"/>
        <v>34854.349047763048</v>
      </c>
    </row>
    <row r="195" spans="1:18" x14ac:dyDescent="0.3">
      <c r="A195">
        <v>33</v>
      </c>
      <c r="B195" s="50" t="str">
        <f t="shared" si="7"/>
        <v>75079264</v>
      </c>
      <c r="C195" s="7">
        <f t="shared" si="8"/>
        <v>15</v>
      </c>
      <c r="D195" s="51">
        <f t="shared" ref="D195:R195" si="40">D36*D89*D142</f>
        <v>23634.633532704618</v>
      </c>
      <c r="E195" s="51">
        <f t="shared" si="40"/>
        <v>23634.633532704618</v>
      </c>
      <c r="F195" s="51">
        <f t="shared" si="40"/>
        <v>23634.633532704618</v>
      </c>
      <c r="G195" s="51">
        <f t="shared" si="40"/>
        <v>23634.633532704618</v>
      </c>
      <c r="H195" s="51">
        <f t="shared" si="40"/>
        <v>23634.633532704618</v>
      </c>
      <c r="I195" s="51">
        <f t="shared" si="40"/>
        <v>23634.633532704618</v>
      </c>
      <c r="J195" s="51">
        <f t="shared" si="40"/>
        <v>23634.633532704618</v>
      </c>
      <c r="K195" s="51">
        <f t="shared" si="40"/>
        <v>23634.633532704618</v>
      </c>
      <c r="L195" s="51">
        <f t="shared" si="40"/>
        <v>23634.633532704618</v>
      </c>
      <c r="M195" s="51">
        <f t="shared" si="40"/>
        <v>23634.633532704618</v>
      </c>
      <c r="N195" s="51">
        <f t="shared" si="40"/>
        <v>23634.633532704618</v>
      </c>
      <c r="O195" s="51">
        <f t="shared" si="40"/>
        <v>23634.633532704618</v>
      </c>
      <c r="P195" s="51">
        <f t="shared" si="40"/>
        <v>23634.633532704618</v>
      </c>
      <c r="Q195" s="51">
        <f t="shared" si="40"/>
        <v>23634.633532704618</v>
      </c>
      <c r="R195" s="51">
        <f t="shared" si="40"/>
        <v>23634.633532704618</v>
      </c>
    </row>
    <row r="196" spans="1:18" x14ac:dyDescent="0.3">
      <c r="A196">
        <v>34</v>
      </c>
      <c r="B196" s="50" t="str">
        <f t="shared" si="7"/>
        <v>75078492</v>
      </c>
      <c r="C196" s="7">
        <f t="shared" si="8"/>
        <v>15</v>
      </c>
      <c r="D196" s="51">
        <f>D37*D90*D143</f>
        <v>1000.7</v>
      </c>
      <c r="E196" s="51">
        <f t="shared" ref="E196:R196" si="41">E37*E90*E143</f>
        <v>2001.4</v>
      </c>
      <c r="F196" s="51">
        <f t="shared" si="41"/>
        <v>4002.8</v>
      </c>
      <c r="G196" s="51">
        <f t="shared" si="41"/>
        <v>6004.2</v>
      </c>
      <c r="H196" s="51">
        <f t="shared" si="41"/>
        <v>10007</v>
      </c>
      <c r="I196" s="51">
        <f t="shared" si="41"/>
        <v>10007</v>
      </c>
      <c r="J196" s="51">
        <f t="shared" si="41"/>
        <v>10007</v>
      </c>
      <c r="K196" s="51">
        <f t="shared" si="41"/>
        <v>10007</v>
      </c>
      <c r="L196" s="51">
        <f t="shared" si="41"/>
        <v>10007</v>
      </c>
      <c r="M196" s="51">
        <f t="shared" si="41"/>
        <v>10007</v>
      </c>
      <c r="N196" s="51">
        <f t="shared" si="41"/>
        <v>10007</v>
      </c>
      <c r="O196" s="51">
        <f t="shared" si="41"/>
        <v>10007</v>
      </c>
      <c r="P196" s="51">
        <f t="shared" si="41"/>
        <v>10007</v>
      </c>
      <c r="Q196" s="51">
        <f t="shared" si="41"/>
        <v>10007</v>
      </c>
      <c r="R196" s="51">
        <f t="shared" si="41"/>
        <v>10007</v>
      </c>
    </row>
    <row r="197" spans="1:18" x14ac:dyDescent="0.3">
      <c r="A197">
        <v>35</v>
      </c>
      <c r="B197" s="50" t="str">
        <f t="shared" si="7"/>
        <v>75080863</v>
      </c>
      <c r="C197" s="7">
        <f t="shared" si="8"/>
        <v>15</v>
      </c>
      <c r="D197" s="51">
        <f t="shared" ref="D197:R197" si="42">D38*D91*D144</f>
        <v>58230.805718736985</v>
      </c>
      <c r="E197" s="51">
        <f t="shared" si="42"/>
        <v>58230.805718736985</v>
      </c>
      <c r="F197" s="51">
        <f t="shared" si="42"/>
        <v>58230.805718736985</v>
      </c>
      <c r="G197" s="51">
        <f t="shared" si="42"/>
        <v>58230.805718736985</v>
      </c>
      <c r="H197" s="51">
        <f t="shared" si="42"/>
        <v>58230.805718736985</v>
      </c>
      <c r="I197" s="51">
        <f t="shared" si="42"/>
        <v>58230.805718736985</v>
      </c>
      <c r="J197" s="51">
        <f t="shared" si="42"/>
        <v>58230.805718736985</v>
      </c>
      <c r="K197" s="51">
        <f t="shared" si="42"/>
        <v>58230.805718736985</v>
      </c>
      <c r="L197" s="51">
        <f t="shared" si="42"/>
        <v>58230.805718736985</v>
      </c>
      <c r="M197" s="51">
        <f t="shared" si="42"/>
        <v>58230.805718736985</v>
      </c>
      <c r="N197" s="51">
        <f t="shared" si="42"/>
        <v>58230.805718736985</v>
      </c>
      <c r="O197" s="51">
        <f t="shared" si="42"/>
        <v>58230.805718736985</v>
      </c>
      <c r="P197" s="51">
        <f t="shared" si="42"/>
        <v>58230.805718736985</v>
      </c>
      <c r="Q197" s="51">
        <f t="shared" si="42"/>
        <v>58230.805718736985</v>
      </c>
      <c r="R197" s="51">
        <f t="shared" si="42"/>
        <v>58230.805718736985</v>
      </c>
    </row>
    <row r="198" spans="1:18" x14ac:dyDescent="0.3">
      <c r="A198">
        <v>36</v>
      </c>
      <c r="B198" s="50" t="str">
        <f t="shared" si="7"/>
        <v>75077056</v>
      </c>
      <c r="C198" s="7">
        <f t="shared" si="8"/>
        <v>15</v>
      </c>
      <c r="D198" s="51">
        <f t="shared" ref="D198:R198" si="43">D39*D92*D145</f>
        <v>16998.362550870021</v>
      </c>
      <c r="E198" s="51">
        <f t="shared" si="43"/>
        <v>16998.362550870021</v>
      </c>
      <c r="F198" s="51">
        <f t="shared" si="43"/>
        <v>16998.362550870021</v>
      </c>
      <c r="G198" s="51">
        <f t="shared" si="43"/>
        <v>16998.362550870021</v>
      </c>
      <c r="H198" s="51">
        <f t="shared" si="43"/>
        <v>16998.362550870021</v>
      </c>
      <c r="I198" s="51">
        <f t="shared" si="43"/>
        <v>16998.362550870021</v>
      </c>
      <c r="J198" s="51">
        <f t="shared" si="43"/>
        <v>16998.362550870021</v>
      </c>
      <c r="K198" s="51">
        <f t="shared" si="43"/>
        <v>16998.362550870021</v>
      </c>
      <c r="L198" s="51">
        <f t="shared" si="43"/>
        <v>16998.362550870021</v>
      </c>
      <c r="M198" s="51">
        <f t="shared" si="43"/>
        <v>16998.362550870021</v>
      </c>
      <c r="N198" s="51">
        <f t="shared" si="43"/>
        <v>16998.362550870021</v>
      </c>
      <c r="O198" s="51">
        <f t="shared" si="43"/>
        <v>16998.362550870021</v>
      </c>
      <c r="P198" s="51">
        <f t="shared" si="43"/>
        <v>16998.362550870021</v>
      </c>
      <c r="Q198" s="51">
        <f t="shared" si="43"/>
        <v>16998.362550870021</v>
      </c>
      <c r="R198" s="51">
        <f t="shared" si="43"/>
        <v>16998.362550870021</v>
      </c>
    </row>
    <row r="199" spans="1:18" x14ac:dyDescent="0.3">
      <c r="A199">
        <v>37</v>
      </c>
      <c r="B199" s="50" t="str">
        <f t="shared" si="7"/>
        <v>75096058</v>
      </c>
      <c r="C199" s="7">
        <f t="shared" si="8"/>
        <v>15</v>
      </c>
      <c r="D199" s="51">
        <f t="shared" ref="D199:R199" si="44">D40*D93*D146</f>
        <v>1346.989227028806</v>
      </c>
      <c r="E199" s="51">
        <f t="shared" si="44"/>
        <v>1346.989227028806</v>
      </c>
      <c r="F199" s="51">
        <f t="shared" si="44"/>
        <v>1346.989227028806</v>
      </c>
      <c r="G199" s="51">
        <f t="shared" si="44"/>
        <v>1346.989227028806</v>
      </c>
      <c r="H199" s="51">
        <f t="shared" si="44"/>
        <v>1346.989227028806</v>
      </c>
      <c r="I199" s="51">
        <f t="shared" si="44"/>
        <v>1346.989227028806</v>
      </c>
      <c r="J199" s="51">
        <f t="shared" si="44"/>
        <v>1346.989227028806</v>
      </c>
      <c r="K199" s="51">
        <f t="shared" si="44"/>
        <v>1346.989227028806</v>
      </c>
      <c r="L199" s="51">
        <f t="shared" si="44"/>
        <v>1346.989227028806</v>
      </c>
      <c r="M199" s="51">
        <f t="shared" si="44"/>
        <v>1346.989227028806</v>
      </c>
      <c r="N199" s="51">
        <f t="shared" si="44"/>
        <v>1346.989227028806</v>
      </c>
      <c r="O199" s="51">
        <f t="shared" si="44"/>
        <v>1346.989227028806</v>
      </c>
      <c r="P199" s="51">
        <f t="shared" si="44"/>
        <v>1346.989227028806</v>
      </c>
      <c r="Q199" s="51">
        <f t="shared" si="44"/>
        <v>1346.989227028806</v>
      </c>
      <c r="R199" s="51">
        <f t="shared" si="44"/>
        <v>1346.989227028806</v>
      </c>
    </row>
    <row r="200" spans="1:18" x14ac:dyDescent="0.3">
      <c r="A200">
        <v>38</v>
      </c>
      <c r="B200" s="50" t="str">
        <f t="shared" si="7"/>
        <v>75043272</v>
      </c>
      <c r="C200" s="7">
        <f t="shared" si="8"/>
        <v>15</v>
      </c>
      <c r="D200" s="51">
        <f t="shared" ref="D200:R200" si="45">D41*D94*D147</f>
        <v>1259.2920348619959</v>
      </c>
      <c r="E200" s="51">
        <f t="shared" si="45"/>
        <v>1259.2920348619959</v>
      </c>
      <c r="F200" s="51">
        <f t="shared" si="45"/>
        <v>1259.2920348619959</v>
      </c>
      <c r="G200" s="51">
        <f t="shared" si="45"/>
        <v>1259.2920348619959</v>
      </c>
      <c r="H200" s="51">
        <f t="shared" si="45"/>
        <v>1259.2920348619959</v>
      </c>
      <c r="I200" s="51">
        <f t="shared" si="45"/>
        <v>1259.2920348619959</v>
      </c>
      <c r="J200" s="51">
        <f t="shared" si="45"/>
        <v>1259.2920348619959</v>
      </c>
      <c r="K200" s="51">
        <f t="shared" si="45"/>
        <v>1259.2920348619959</v>
      </c>
      <c r="L200" s="51">
        <f t="shared" si="45"/>
        <v>1259.2920348619959</v>
      </c>
      <c r="M200" s="51">
        <f t="shared" si="45"/>
        <v>1259.2920348619959</v>
      </c>
      <c r="N200" s="51">
        <f t="shared" si="45"/>
        <v>1259.2920348619959</v>
      </c>
      <c r="O200" s="51">
        <f t="shared" si="45"/>
        <v>1259.2920348619959</v>
      </c>
      <c r="P200" s="51">
        <f t="shared" si="45"/>
        <v>1259.2920348619959</v>
      </c>
      <c r="Q200" s="51">
        <f t="shared" si="45"/>
        <v>1259.2920348619959</v>
      </c>
      <c r="R200" s="51">
        <f t="shared" si="45"/>
        <v>1259.2920348619959</v>
      </c>
    </row>
    <row r="201" spans="1:18" x14ac:dyDescent="0.3">
      <c r="A201">
        <v>39</v>
      </c>
      <c r="B201" s="50" t="str">
        <f t="shared" si="7"/>
        <v>75090268</v>
      </c>
      <c r="C201" s="7">
        <f t="shared" si="8"/>
        <v>15</v>
      </c>
      <c r="D201" s="51">
        <f t="shared" ref="D201:R201" si="46">D42*D95*D148</f>
        <v>2240.6858656600507</v>
      </c>
      <c r="E201" s="51">
        <f t="shared" si="46"/>
        <v>2240.6858656600507</v>
      </c>
      <c r="F201" s="51">
        <f>F42*F95*F148</f>
        <v>2240.6858656600507</v>
      </c>
      <c r="G201" s="51">
        <f t="shared" si="46"/>
        <v>2240.6858656600507</v>
      </c>
      <c r="H201" s="51">
        <f t="shared" si="46"/>
        <v>2240.6858656600507</v>
      </c>
      <c r="I201" s="51">
        <f t="shared" si="46"/>
        <v>2240.6858656600507</v>
      </c>
      <c r="J201" s="51">
        <f t="shared" si="46"/>
        <v>2240.6858656600507</v>
      </c>
      <c r="K201" s="51">
        <f t="shared" si="46"/>
        <v>2240.6858656600507</v>
      </c>
      <c r="L201" s="51">
        <f t="shared" si="46"/>
        <v>2240.6858656600507</v>
      </c>
      <c r="M201" s="51">
        <f t="shared" si="46"/>
        <v>2240.6858656600507</v>
      </c>
      <c r="N201" s="51">
        <f t="shared" si="46"/>
        <v>2240.6858656600507</v>
      </c>
      <c r="O201" s="51">
        <f t="shared" si="46"/>
        <v>2240.6858656600507</v>
      </c>
      <c r="P201" s="51">
        <f t="shared" si="46"/>
        <v>2240.6858656600507</v>
      </c>
      <c r="Q201" s="51">
        <f t="shared" si="46"/>
        <v>2240.6858656600507</v>
      </c>
      <c r="R201" s="51">
        <f t="shared" si="46"/>
        <v>2240.6858656600507</v>
      </c>
    </row>
    <row r="202" spans="1:18" x14ac:dyDescent="0.3">
      <c r="A202">
        <v>40</v>
      </c>
      <c r="B202" s="50" t="str">
        <f t="shared" si="7"/>
        <v>75060522</v>
      </c>
      <c r="C202" s="7">
        <f t="shared" si="8"/>
        <v>15</v>
      </c>
      <c r="D202" s="51">
        <f t="shared" ref="D202:R202" si="47">D43*D96*D149</f>
        <v>27447.567043170984</v>
      </c>
      <c r="E202" s="51">
        <f t="shared" si="47"/>
        <v>27447.567043170984</v>
      </c>
      <c r="F202" s="51">
        <f>F43*F96*F149</f>
        <v>27447.567043170984</v>
      </c>
      <c r="G202" s="51">
        <f t="shared" si="47"/>
        <v>27447.567043170984</v>
      </c>
      <c r="H202" s="51">
        <f t="shared" si="47"/>
        <v>27447.567043170984</v>
      </c>
      <c r="I202" s="51">
        <f t="shared" si="47"/>
        <v>27447.567043170984</v>
      </c>
      <c r="J202" s="51">
        <f t="shared" si="47"/>
        <v>27447.567043170984</v>
      </c>
      <c r="K202" s="51">
        <f t="shared" si="47"/>
        <v>27447.567043170984</v>
      </c>
      <c r="L202" s="51">
        <f t="shared" si="47"/>
        <v>27447.567043170984</v>
      </c>
      <c r="M202" s="51">
        <f t="shared" si="47"/>
        <v>27447.567043170984</v>
      </c>
      <c r="N202" s="51">
        <f t="shared" si="47"/>
        <v>27447.567043170984</v>
      </c>
      <c r="O202" s="51">
        <f t="shared" si="47"/>
        <v>27447.567043170984</v>
      </c>
      <c r="P202" s="51">
        <f t="shared" si="47"/>
        <v>27447.567043170984</v>
      </c>
      <c r="Q202" s="51">
        <f t="shared" si="47"/>
        <v>27447.567043170984</v>
      </c>
      <c r="R202" s="51">
        <f t="shared" si="47"/>
        <v>27447.567043170984</v>
      </c>
    </row>
    <row r="203" spans="1:18" x14ac:dyDescent="0.3">
      <c r="A203">
        <v>41</v>
      </c>
      <c r="B203" s="50" t="str">
        <f t="shared" si="7"/>
        <v>75093476</v>
      </c>
      <c r="C203" s="7">
        <f t="shared" si="8"/>
        <v>15</v>
      </c>
      <c r="D203" s="51">
        <f t="shared" ref="D203:R203" si="48">D44*D97*D150</f>
        <v>17065.447008691521</v>
      </c>
      <c r="E203" s="51">
        <f t="shared" si="48"/>
        <v>17065.447008691521</v>
      </c>
      <c r="F203" s="51">
        <f t="shared" si="48"/>
        <v>17065.447008691521</v>
      </c>
      <c r="G203" s="51">
        <f t="shared" si="48"/>
        <v>17065.447008691521</v>
      </c>
      <c r="H203" s="51">
        <f t="shared" si="48"/>
        <v>17065.447008691521</v>
      </c>
      <c r="I203" s="51">
        <f t="shared" si="48"/>
        <v>17065.447008691521</v>
      </c>
      <c r="J203" s="51">
        <f t="shared" si="48"/>
        <v>17065.447008691521</v>
      </c>
      <c r="K203" s="51">
        <f t="shared" si="48"/>
        <v>17065.447008691521</v>
      </c>
      <c r="L203" s="51">
        <f t="shared" si="48"/>
        <v>17065.447008691521</v>
      </c>
      <c r="M203" s="51">
        <f t="shared" si="48"/>
        <v>17065.447008691521</v>
      </c>
      <c r="N203" s="51">
        <f t="shared" si="48"/>
        <v>17065.447008691521</v>
      </c>
      <c r="O203" s="51">
        <f t="shared" si="48"/>
        <v>17065.447008691521</v>
      </c>
      <c r="P203" s="51">
        <f t="shared" si="48"/>
        <v>17065.447008691521</v>
      </c>
      <c r="Q203" s="51">
        <f t="shared" si="48"/>
        <v>17065.447008691521</v>
      </c>
      <c r="R203" s="51">
        <f t="shared" si="48"/>
        <v>17065.447008691521</v>
      </c>
    </row>
    <row r="204" spans="1:18" x14ac:dyDescent="0.3">
      <c r="A204">
        <v>42</v>
      </c>
      <c r="B204" s="50" t="str">
        <f t="shared" si="7"/>
        <v>75088155</v>
      </c>
      <c r="C204" s="7">
        <f t="shared" si="8"/>
        <v>15</v>
      </c>
      <c r="D204" s="51">
        <f t="shared" ref="D204:R204" si="49">D45*D98*D151</f>
        <v>18350.145547252825</v>
      </c>
      <c r="E204" s="51">
        <f t="shared" si="49"/>
        <v>18350.145547252825</v>
      </c>
      <c r="F204" s="51">
        <f t="shared" si="49"/>
        <v>18350.145547252825</v>
      </c>
      <c r="G204" s="51">
        <f t="shared" si="49"/>
        <v>18350.145547252825</v>
      </c>
      <c r="H204" s="51">
        <f t="shared" si="49"/>
        <v>18350.145547252825</v>
      </c>
      <c r="I204" s="51">
        <f t="shared" si="49"/>
        <v>18350.145547252825</v>
      </c>
      <c r="J204" s="51">
        <f t="shared" si="49"/>
        <v>18350.145547252825</v>
      </c>
      <c r="K204" s="51">
        <f t="shared" si="49"/>
        <v>18350.145547252825</v>
      </c>
      <c r="L204" s="51">
        <f t="shared" si="49"/>
        <v>18350.145547252825</v>
      </c>
      <c r="M204" s="51">
        <f t="shared" si="49"/>
        <v>18350.145547252825</v>
      </c>
      <c r="N204" s="51">
        <f t="shared" si="49"/>
        <v>18350.145547252825</v>
      </c>
      <c r="O204" s="51">
        <f t="shared" si="49"/>
        <v>18350.145547252825</v>
      </c>
      <c r="P204" s="51">
        <f t="shared" si="49"/>
        <v>18350.145547252825</v>
      </c>
      <c r="Q204" s="51">
        <f t="shared" si="49"/>
        <v>18350.145547252825</v>
      </c>
      <c r="R204" s="51">
        <f t="shared" si="49"/>
        <v>18350.145547252825</v>
      </c>
    </row>
    <row r="205" spans="1:18" x14ac:dyDescent="0.3">
      <c r="A205">
        <v>43</v>
      </c>
      <c r="B205" s="50" t="str">
        <f t="shared" si="7"/>
        <v>75089798</v>
      </c>
      <c r="C205" s="7">
        <f t="shared" si="8"/>
        <v>15</v>
      </c>
      <c r="D205" s="51">
        <f t="shared" ref="D205:R205" si="50">D46*D99*D152</f>
        <v>13066.714964787256</v>
      </c>
      <c r="E205" s="51">
        <f t="shared" si="50"/>
        <v>13066.714964787256</v>
      </c>
      <c r="F205" s="51">
        <f t="shared" si="50"/>
        <v>13066.714964787256</v>
      </c>
      <c r="G205" s="51">
        <f t="shared" si="50"/>
        <v>13066.714964787256</v>
      </c>
      <c r="H205" s="51">
        <f t="shared" si="50"/>
        <v>13066.714964787256</v>
      </c>
      <c r="I205" s="51">
        <f t="shared" si="50"/>
        <v>13066.714964787256</v>
      </c>
      <c r="J205" s="51">
        <f t="shared" si="50"/>
        <v>13066.714964787256</v>
      </c>
      <c r="K205" s="51">
        <f t="shared" si="50"/>
        <v>13066.714964787256</v>
      </c>
      <c r="L205" s="51">
        <f t="shared" si="50"/>
        <v>13066.714964787256</v>
      </c>
      <c r="M205" s="51">
        <f t="shared" si="50"/>
        <v>13066.714964787256</v>
      </c>
      <c r="N205" s="51">
        <f t="shared" si="50"/>
        <v>13066.714964787256</v>
      </c>
      <c r="O205" s="51">
        <f t="shared" si="50"/>
        <v>13066.714964787256</v>
      </c>
      <c r="P205" s="51">
        <f t="shared" si="50"/>
        <v>13066.714964787256</v>
      </c>
      <c r="Q205" s="51">
        <f t="shared" si="50"/>
        <v>13066.714964787256</v>
      </c>
      <c r="R205" s="51">
        <f t="shared" si="50"/>
        <v>13066.714964787256</v>
      </c>
    </row>
    <row r="206" spans="1:18" x14ac:dyDescent="0.3">
      <c r="A206">
        <v>44</v>
      </c>
      <c r="B206" s="50">
        <f t="shared" si="7"/>
        <v>0</v>
      </c>
      <c r="C206" s="7">
        <f t="shared" si="8"/>
        <v>15</v>
      </c>
      <c r="D206" s="51">
        <f t="shared" ref="D206:R206" si="51">D47*D100*D153</f>
        <v>0</v>
      </c>
      <c r="E206" s="51">
        <f t="shared" si="51"/>
        <v>0</v>
      </c>
      <c r="F206" s="51">
        <f t="shared" si="51"/>
        <v>0</v>
      </c>
      <c r="G206" s="51">
        <f t="shared" si="51"/>
        <v>0</v>
      </c>
      <c r="H206" s="51">
        <f t="shared" si="51"/>
        <v>0</v>
      </c>
      <c r="I206" s="51">
        <f t="shared" si="51"/>
        <v>0</v>
      </c>
      <c r="J206" s="51">
        <f t="shared" si="51"/>
        <v>0</v>
      </c>
      <c r="K206" s="51">
        <f t="shared" si="51"/>
        <v>0</v>
      </c>
      <c r="L206" s="51">
        <f t="shared" si="51"/>
        <v>0</v>
      </c>
      <c r="M206" s="51">
        <f t="shared" si="51"/>
        <v>0</v>
      </c>
      <c r="N206" s="51">
        <f t="shared" si="51"/>
        <v>0</v>
      </c>
      <c r="O206" s="51">
        <f t="shared" si="51"/>
        <v>0</v>
      </c>
      <c r="P206" s="51">
        <f t="shared" si="51"/>
        <v>0</v>
      </c>
      <c r="Q206" s="51">
        <f t="shared" si="51"/>
        <v>0</v>
      </c>
      <c r="R206" s="51">
        <f t="shared" si="51"/>
        <v>0</v>
      </c>
    </row>
    <row r="207" spans="1:18" x14ac:dyDescent="0.3">
      <c r="A207">
        <v>45</v>
      </c>
      <c r="B207" s="50" t="str">
        <f t="shared" si="7"/>
        <v>75081423</v>
      </c>
      <c r="C207" s="7">
        <f t="shared" si="8"/>
        <v>15</v>
      </c>
      <c r="D207" s="51">
        <f t="shared" ref="D207:R207" si="52">D48*D101*D154</f>
        <v>16087.116148445877</v>
      </c>
      <c r="E207" s="51">
        <f t="shared" si="52"/>
        <v>16087.116148445877</v>
      </c>
      <c r="F207" s="51">
        <f t="shared" si="52"/>
        <v>16087.116148445877</v>
      </c>
      <c r="G207" s="51">
        <f t="shared" si="52"/>
        <v>16087.116148445877</v>
      </c>
      <c r="H207" s="51">
        <f t="shared" si="52"/>
        <v>16087.116148445877</v>
      </c>
      <c r="I207" s="51">
        <f t="shared" si="52"/>
        <v>16087.116148445877</v>
      </c>
      <c r="J207" s="51">
        <f t="shared" si="52"/>
        <v>16087.116148445877</v>
      </c>
      <c r="K207" s="51">
        <f t="shared" si="52"/>
        <v>16087.116148445877</v>
      </c>
      <c r="L207" s="51">
        <f t="shared" si="52"/>
        <v>16087.116148445877</v>
      </c>
      <c r="M207" s="51">
        <f t="shared" si="52"/>
        <v>16087.116148445877</v>
      </c>
      <c r="N207" s="51">
        <f t="shared" si="52"/>
        <v>16087.116148445877</v>
      </c>
      <c r="O207" s="51">
        <f t="shared" si="52"/>
        <v>16087.116148445877</v>
      </c>
      <c r="P207" s="51">
        <f t="shared" si="52"/>
        <v>16087.116148445877</v>
      </c>
      <c r="Q207" s="51">
        <f t="shared" si="52"/>
        <v>16087.116148445877</v>
      </c>
      <c r="R207" s="51">
        <f t="shared" si="52"/>
        <v>16087.116148445877</v>
      </c>
    </row>
    <row r="208" spans="1:18" x14ac:dyDescent="0.3">
      <c r="A208">
        <v>46</v>
      </c>
      <c r="B208" s="50">
        <f t="shared" si="7"/>
        <v>0</v>
      </c>
      <c r="C208" s="7">
        <f t="shared" si="8"/>
        <v>0</v>
      </c>
      <c r="D208" s="51">
        <f t="shared" ref="D208:R208" si="53">D49*D102*D155</f>
        <v>0</v>
      </c>
      <c r="E208" s="51">
        <f t="shared" si="53"/>
        <v>0</v>
      </c>
      <c r="F208" s="51">
        <f t="shared" si="53"/>
        <v>0</v>
      </c>
      <c r="G208" s="51">
        <f t="shared" si="53"/>
        <v>0</v>
      </c>
      <c r="H208" s="51">
        <f t="shared" si="53"/>
        <v>0</v>
      </c>
      <c r="I208" s="51">
        <f t="shared" si="53"/>
        <v>0</v>
      </c>
      <c r="J208" s="51">
        <f t="shared" si="53"/>
        <v>0</v>
      </c>
      <c r="K208" s="51">
        <f t="shared" si="53"/>
        <v>0</v>
      </c>
      <c r="L208" s="51">
        <f t="shared" si="53"/>
        <v>0</v>
      </c>
      <c r="M208" s="51">
        <f t="shared" si="53"/>
        <v>0</v>
      </c>
      <c r="N208" s="51">
        <f t="shared" si="53"/>
        <v>0</v>
      </c>
      <c r="O208" s="51">
        <f t="shared" si="53"/>
        <v>0</v>
      </c>
      <c r="P208" s="51">
        <f t="shared" si="53"/>
        <v>0</v>
      </c>
      <c r="Q208" s="51">
        <f t="shared" si="53"/>
        <v>0</v>
      </c>
      <c r="R208" s="51">
        <f t="shared" si="53"/>
        <v>0</v>
      </c>
    </row>
    <row r="209" spans="1:18" x14ac:dyDescent="0.3">
      <c r="A209">
        <v>47</v>
      </c>
      <c r="B209" s="50" t="str">
        <f t="shared" si="7"/>
        <v>75078358</v>
      </c>
      <c r="C209" s="7">
        <f t="shared" si="8"/>
        <v>15</v>
      </c>
      <c r="D209" s="51">
        <f t="shared" ref="D209:R209" si="54">D50*D103*D156</f>
        <v>18739.453139763205</v>
      </c>
      <c r="E209" s="51">
        <f t="shared" si="54"/>
        <v>18739.453139763205</v>
      </c>
      <c r="F209" s="51">
        <f t="shared" si="54"/>
        <v>18739.453139763205</v>
      </c>
      <c r="G209" s="51">
        <f t="shared" si="54"/>
        <v>18739.453139763205</v>
      </c>
      <c r="H209" s="51">
        <f t="shared" si="54"/>
        <v>18739.453139763205</v>
      </c>
      <c r="I209" s="51">
        <f t="shared" si="54"/>
        <v>18739.453139763205</v>
      </c>
      <c r="J209" s="51">
        <f t="shared" si="54"/>
        <v>18739.453139763205</v>
      </c>
      <c r="K209" s="51">
        <f t="shared" si="54"/>
        <v>18739.453139763205</v>
      </c>
      <c r="L209" s="51">
        <f t="shared" si="54"/>
        <v>18739.453139763205</v>
      </c>
      <c r="M209" s="51">
        <f t="shared" si="54"/>
        <v>18739.453139763205</v>
      </c>
      <c r="N209" s="51">
        <f t="shared" si="54"/>
        <v>18739.453139763205</v>
      </c>
      <c r="O209" s="51">
        <f t="shared" si="54"/>
        <v>18739.453139763205</v>
      </c>
      <c r="P209" s="51">
        <f t="shared" si="54"/>
        <v>18739.453139763205</v>
      </c>
      <c r="Q209" s="51">
        <f t="shared" si="54"/>
        <v>18739.453139763205</v>
      </c>
      <c r="R209" s="51">
        <f t="shared" si="54"/>
        <v>18739.453139763205</v>
      </c>
    </row>
    <row r="210" spans="1:18" x14ac:dyDescent="0.3">
      <c r="A210">
        <v>48</v>
      </c>
      <c r="B210" s="50" t="str">
        <f t="shared" si="7"/>
        <v>75074655</v>
      </c>
      <c r="C210" s="7">
        <f t="shared" si="8"/>
        <v>15</v>
      </c>
      <c r="D210" s="51">
        <f t="shared" ref="D210:R210" si="55">D51*D104*D157</f>
        <v>37329.930356814533</v>
      </c>
      <c r="E210" s="51">
        <f t="shared" si="55"/>
        <v>37329.930356814533</v>
      </c>
      <c r="F210" s="51">
        <f t="shared" si="55"/>
        <v>37329.930356814533</v>
      </c>
      <c r="G210" s="51">
        <f t="shared" si="55"/>
        <v>37329.930356814533</v>
      </c>
      <c r="H210" s="51">
        <f t="shared" si="55"/>
        <v>37329.930356814533</v>
      </c>
      <c r="I210" s="51">
        <f t="shared" si="55"/>
        <v>37329.930356814533</v>
      </c>
      <c r="J210" s="51">
        <f t="shared" si="55"/>
        <v>37329.930356814533</v>
      </c>
      <c r="K210" s="51">
        <f t="shared" si="55"/>
        <v>37329.930356814533</v>
      </c>
      <c r="L210" s="51">
        <f t="shared" si="55"/>
        <v>37329.930356814533</v>
      </c>
      <c r="M210" s="51">
        <f t="shared" si="55"/>
        <v>37329.930356814533</v>
      </c>
      <c r="N210" s="51">
        <f t="shared" si="55"/>
        <v>37329.930356814533</v>
      </c>
      <c r="O210" s="51">
        <f t="shared" si="55"/>
        <v>37329.930356814533</v>
      </c>
      <c r="P210" s="51">
        <f t="shared" si="55"/>
        <v>37329.930356814533</v>
      </c>
      <c r="Q210" s="51">
        <f t="shared" si="55"/>
        <v>37329.930356814533</v>
      </c>
      <c r="R210" s="51">
        <f t="shared" si="55"/>
        <v>37329.930356814533</v>
      </c>
    </row>
    <row r="211" spans="1:18" x14ac:dyDescent="0.3">
      <c r="A211">
        <v>49</v>
      </c>
      <c r="B211" s="50" t="str">
        <f t="shared" si="7"/>
        <v>75081130</v>
      </c>
      <c r="C211" s="7">
        <f t="shared" si="8"/>
        <v>15</v>
      </c>
      <c r="D211" s="51">
        <f t="shared" ref="D211:R211" si="56">D52*D105*D158</f>
        <v>4818.8363838372297</v>
      </c>
      <c r="E211" s="51">
        <f t="shared" si="56"/>
        <v>4818.8363838372297</v>
      </c>
      <c r="F211" s="51">
        <f t="shared" si="56"/>
        <v>4818.8363838372297</v>
      </c>
      <c r="G211" s="51">
        <f t="shared" si="56"/>
        <v>4818.8363838372297</v>
      </c>
      <c r="H211" s="51">
        <f t="shared" si="56"/>
        <v>4818.8363838372297</v>
      </c>
      <c r="I211" s="51">
        <f t="shared" si="56"/>
        <v>4818.8363838372297</v>
      </c>
      <c r="J211" s="51">
        <f t="shared" si="56"/>
        <v>4818.8363838372297</v>
      </c>
      <c r="K211" s="51">
        <f t="shared" si="56"/>
        <v>4818.8363838372297</v>
      </c>
      <c r="L211" s="51">
        <f t="shared" si="56"/>
        <v>4818.8363838372297</v>
      </c>
      <c r="M211" s="51">
        <f t="shared" si="56"/>
        <v>4818.8363838372297</v>
      </c>
      <c r="N211" s="51">
        <f t="shared" si="56"/>
        <v>4818.8363838372297</v>
      </c>
      <c r="O211" s="51">
        <f t="shared" si="56"/>
        <v>4818.8363838372297</v>
      </c>
      <c r="P211" s="51">
        <f t="shared" si="56"/>
        <v>4818.8363838372297</v>
      </c>
      <c r="Q211" s="51">
        <f t="shared" si="56"/>
        <v>4818.8363838372297</v>
      </c>
      <c r="R211" s="51">
        <f t="shared" si="56"/>
        <v>4818.8363838372297</v>
      </c>
    </row>
    <row r="212" spans="1:18" x14ac:dyDescent="0.3">
      <c r="A212">
        <v>50</v>
      </c>
      <c r="B212" s="50" t="str">
        <f t="shared" si="7"/>
        <v>75085164</v>
      </c>
      <c r="C212" s="7">
        <f t="shared" si="8"/>
        <v>15</v>
      </c>
      <c r="D212" s="51">
        <f t="shared" ref="D212:R212" si="57">D53*D106*D159</f>
        <v>5770.463764691307</v>
      </c>
      <c r="E212" s="51">
        <f t="shared" si="57"/>
        <v>5770.463764691307</v>
      </c>
      <c r="F212" s="51">
        <f t="shared" si="57"/>
        <v>5770.463764691307</v>
      </c>
      <c r="G212" s="51">
        <f t="shared" si="57"/>
        <v>5770.463764691307</v>
      </c>
      <c r="H212" s="51">
        <f t="shared" si="57"/>
        <v>5770.463764691307</v>
      </c>
      <c r="I212" s="51">
        <f t="shared" si="57"/>
        <v>5770.463764691307</v>
      </c>
      <c r="J212" s="51">
        <f t="shared" si="57"/>
        <v>5770.463764691307</v>
      </c>
      <c r="K212" s="51">
        <f t="shared" si="57"/>
        <v>5770.463764691307</v>
      </c>
      <c r="L212" s="51">
        <f t="shared" si="57"/>
        <v>5770.463764691307</v>
      </c>
      <c r="M212" s="51">
        <f t="shared" si="57"/>
        <v>5770.463764691307</v>
      </c>
      <c r="N212" s="51">
        <f t="shared" si="57"/>
        <v>5770.463764691307</v>
      </c>
      <c r="O212" s="51">
        <f t="shared" si="57"/>
        <v>5770.463764691307</v>
      </c>
      <c r="P212" s="51">
        <f t="shared" si="57"/>
        <v>5770.463764691307</v>
      </c>
      <c r="Q212" s="51">
        <f t="shared" si="57"/>
        <v>5770.463764691307</v>
      </c>
      <c r="R212" s="51">
        <f t="shared" si="57"/>
        <v>5770.463764691307</v>
      </c>
    </row>
    <row r="214" spans="1:18" x14ac:dyDescent="0.3">
      <c r="B214" s="5"/>
      <c r="D214" s="36" t="str">
        <f>D$3</f>
        <v>2023-24</v>
      </c>
      <c r="E214" s="36" t="str">
        <f t="shared" ref="E214:R214" si="58">E$3</f>
        <v>2024-25</v>
      </c>
      <c r="F214" s="36" t="str">
        <f t="shared" si="58"/>
        <v>2025-26</v>
      </c>
      <c r="G214" s="36" t="str">
        <f t="shared" si="58"/>
        <v>2026-27</v>
      </c>
      <c r="H214" s="36" t="str">
        <f t="shared" si="58"/>
        <v>2027-28</v>
      </c>
      <c r="I214" s="36" t="str">
        <f t="shared" si="58"/>
        <v>2028-29</v>
      </c>
      <c r="J214" s="36" t="str">
        <f t="shared" si="58"/>
        <v>2029-30</v>
      </c>
      <c r="K214" s="36" t="str">
        <f t="shared" si="58"/>
        <v>2030-31</v>
      </c>
      <c r="L214" s="36" t="str">
        <f t="shared" si="58"/>
        <v>2031-32</v>
      </c>
      <c r="M214" s="36" t="str">
        <f t="shared" si="58"/>
        <v>2032-33</v>
      </c>
      <c r="N214" s="36" t="str">
        <f t="shared" si="58"/>
        <v>2033-34</v>
      </c>
      <c r="O214" s="36" t="str">
        <f t="shared" si="58"/>
        <v>2034-35</v>
      </c>
      <c r="P214" s="36" t="str">
        <f t="shared" si="58"/>
        <v>2035-36</v>
      </c>
      <c r="Q214" s="36" t="str">
        <f t="shared" si="58"/>
        <v>2036-37</v>
      </c>
      <c r="R214" s="36" t="str">
        <f t="shared" si="58"/>
        <v>2037-38</v>
      </c>
    </row>
    <row r="215" spans="1:18" x14ac:dyDescent="0.3">
      <c r="B215" s="56" t="s">
        <v>64</v>
      </c>
      <c r="D215" s="157">
        <f>WACC!D24</f>
        <v>1</v>
      </c>
      <c r="E215" s="157">
        <f>WACC!E24</f>
        <v>1.0042143892331377</v>
      </c>
      <c r="F215" s="157">
        <f>WACC!F24</f>
        <v>1.0084465395428837</v>
      </c>
      <c r="G215" s="157">
        <f>WACC!G24</f>
        <v>0.99331984144974039</v>
      </c>
      <c r="H215" s="157">
        <f>WACC!H24</f>
        <v>1.0479446441754541</v>
      </c>
      <c r="I215" s="157">
        <f>WACC!I24</f>
        <v>1.1055733827416803</v>
      </c>
      <c r="J215" s="157">
        <f>WACC!J24</f>
        <v>1.1663712500659886</v>
      </c>
      <c r="K215" s="157">
        <f>WACC!K24</f>
        <v>1.230512523381148</v>
      </c>
      <c r="L215" s="157">
        <f>WACC!L24</f>
        <v>1.230512523381148</v>
      </c>
      <c r="M215" s="157">
        <f>WACC!M24</f>
        <v>1.230512523381148</v>
      </c>
      <c r="N215" s="157">
        <f>WACC!N24</f>
        <v>1.230512523381148</v>
      </c>
      <c r="O215" s="157">
        <f>WACC!O24</f>
        <v>1.230512523381148</v>
      </c>
      <c r="P215" s="157">
        <f>WACC!P24</f>
        <v>1.230512523381148</v>
      </c>
      <c r="Q215" s="157">
        <f>WACC!Q24</f>
        <v>1.230512523381148</v>
      </c>
      <c r="R215" s="157">
        <f>WACC!R24</f>
        <v>1.230512523381148</v>
      </c>
    </row>
    <row r="216" spans="1:18" x14ac:dyDescent="0.3">
      <c r="B216" s="56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</row>
    <row r="217" spans="1:18" x14ac:dyDescent="0.3">
      <c r="B217" s="5" t="s">
        <v>186</v>
      </c>
    </row>
    <row r="218" spans="1:18" ht="44" x14ac:dyDescent="0.3">
      <c r="A218" s="5" t="s">
        <v>51</v>
      </c>
      <c r="B218" s="58" t="s">
        <v>0</v>
      </c>
      <c r="C218" s="58" t="s">
        <v>65</v>
      </c>
      <c r="D218" s="36" t="str">
        <f>D$3</f>
        <v>2023-24</v>
      </c>
      <c r="E218" s="36" t="str">
        <f t="shared" ref="E218:R218" si="59">E$3</f>
        <v>2024-25</v>
      </c>
      <c r="F218" s="36" t="str">
        <f t="shared" si="59"/>
        <v>2025-26</v>
      </c>
      <c r="G218" s="36" t="str">
        <f t="shared" si="59"/>
        <v>2026-27</v>
      </c>
      <c r="H218" s="36" t="str">
        <f t="shared" si="59"/>
        <v>2027-28</v>
      </c>
      <c r="I218" s="36" t="str">
        <f t="shared" si="59"/>
        <v>2028-29</v>
      </c>
      <c r="J218" s="36" t="str">
        <f t="shared" si="59"/>
        <v>2029-30</v>
      </c>
      <c r="K218" s="36" t="str">
        <f t="shared" si="59"/>
        <v>2030-31</v>
      </c>
      <c r="L218" s="36" t="str">
        <f t="shared" si="59"/>
        <v>2031-32</v>
      </c>
      <c r="M218" s="36" t="str">
        <f t="shared" si="59"/>
        <v>2032-33</v>
      </c>
      <c r="N218" s="36" t="str">
        <f t="shared" si="59"/>
        <v>2033-34</v>
      </c>
      <c r="O218" s="36" t="str">
        <f t="shared" si="59"/>
        <v>2034-35</v>
      </c>
      <c r="P218" s="36" t="str">
        <f t="shared" si="59"/>
        <v>2035-36</v>
      </c>
      <c r="Q218" s="36" t="str">
        <f t="shared" si="59"/>
        <v>2036-37</v>
      </c>
      <c r="R218" s="36" t="str">
        <f t="shared" si="59"/>
        <v>2037-38</v>
      </c>
    </row>
    <row r="219" spans="1:18" x14ac:dyDescent="0.3">
      <c r="A219">
        <v>1</v>
      </c>
      <c r="B219" s="50" t="str">
        <f>B4</f>
        <v>75090096</v>
      </c>
      <c r="C219" s="68">
        <f>SUMPRODUCT(D219:R219,WACC!$D$11:$R$11)</f>
        <v>192010.34253717301</v>
      </c>
      <c r="D219" s="51">
        <f t="shared" ref="D219:R219" si="60">D163*D$215</f>
        <v>14787</v>
      </c>
      <c r="E219" s="51">
        <f t="shared" si="60"/>
        <v>14849.318173590407</v>
      </c>
      <c r="F219" s="51">
        <f t="shared" si="60"/>
        <v>14911.898980220622</v>
      </c>
      <c r="G219" s="51">
        <f t="shared" si="60"/>
        <v>14688.220495517311</v>
      </c>
      <c r="H219" s="51">
        <f t="shared" si="60"/>
        <v>15495.957453422439</v>
      </c>
      <c r="I219" s="51">
        <f t="shared" si="60"/>
        <v>16348.113610601225</v>
      </c>
      <c r="J219" s="51">
        <f>J163*J$215</f>
        <v>17247.131674725773</v>
      </c>
      <c r="K219" s="51">
        <f t="shared" si="60"/>
        <v>18195.588683237034</v>
      </c>
      <c r="L219" s="51">
        <f t="shared" si="60"/>
        <v>18195.588683237034</v>
      </c>
      <c r="M219" s="51">
        <f t="shared" si="60"/>
        <v>18195.588683237034</v>
      </c>
      <c r="N219" s="51">
        <f t="shared" si="60"/>
        <v>18195.588683237034</v>
      </c>
      <c r="O219" s="51">
        <f t="shared" si="60"/>
        <v>18195.588683237034</v>
      </c>
      <c r="P219" s="51">
        <f t="shared" si="60"/>
        <v>18195.588683237034</v>
      </c>
      <c r="Q219" s="51">
        <f t="shared" si="60"/>
        <v>18195.588683237034</v>
      </c>
      <c r="R219" s="51">
        <f t="shared" si="60"/>
        <v>18195.588683237034</v>
      </c>
    </row>
    <row r="220" spans="1:18" x14ac:dyDescent="0.3">
      <c r="A220">
        <v>2</v>
      </c>
      <c r="B220" s="50" t="str">
        <f t="shared" ref="B220:B268" si="61">B5</f>
        <v>75077404</v>
      </c>
      <c r="C220" s="68">
        <f>SUMPRODUCT(D220:R220,WACC!$D$11:$R$11)</f>
        <v>106071.76142187013</v>
      </c>
      <c r="D220" s="51">
        <f t="shared" ref="D220:R220" si="62">D164*D$215</f>
        <v>8168.7429719653619</v>
      </c>
      <c r="E220" s="51">
        <f t="shared" si="62"/>
        <v>8203.1692343946816</v>
      </c>
      <c r="F220" s="51">
        <f t="shared" si="62"/>
        <v>8237.7405824937196</v>
      </c>
      <c r="G220" s="51">
        <f t="shared" si="62"/>
        <v>8114.174473756314</v>
      </c>
      <c r="H220" s="51">
        <f t="shared" si="62"/>
        <v>8560.3904471169826</v>
      </c>
      <c r="I220" s="51">
        <f t="shared" si="62"/>
        <v>9031.1448002630714</v>
      </c>
      <c r="J220" s="51">
        <f t="shared" si="62"/>
        <v>9527.7869516789979</v>
      </c>
      <c r="K220" s="51">
        <f t="shared" si="62"/>
        <v>10051.740527285116</v>
      </c>
      <c r="L220" s="51">
        <f t="shared" si="62"/>
        <v>10051.740527285116</v>
      </c>
      <c r="M220" s="51">
        <f t="shared" si="62"/>
        <v>10051.740527285116</v>
      </c>
      <c r="N220" s="51">
        <f t="shared" si="62"/>
        <v>10051.740527285116</v>
      </c>
      <c r="O220" s="51">
        <f t="shared" si="62"/>
        <v>10051.740527285116</v>
      </c>
      <c r="P220" s="51">
        <f t="shared" si="62"/>
        <v>10051.740527285116</v>
      </c>
      <c r="Q220" s="51">
        <f t="shared" si="62"/>
        <v>10051.740527285116</v>
      </c>
      <c r="R220" s="51">
        <f t="shared" si="62"/>
        <v>10051.740527285116</v>
      </c>
    </row>
    <row r="221" spans="1:18" x14ac:dyDescent="0.3">
      <c r="A221">
        <v>3</v>
      </c>
      <c r="B221" s="50" t="str">
        <f t="shared" si="61"/>
        <v>75077903</v>
      </c>
      <c r="C221" s="68">
        <f>SUMPRODUCT(D221:R221,WACC!$D$11:$R$11)</f>
        <v>175229.29391300719</v>
      </c>
      <c r="D221" s="51">
        <f t="shared" ref="D221:R221" si="63">D165*D$215</f>
        <v>13494.666666666666</v>
      </c>
      <c r="E221" s="51">
        <f t="shared" si="63"/>
        <v>13551.538444571448</v>
      </c>
      <c r="F221" s="51">
        <f t="shared" si="63"/>
        <v>13608.6499022847</v>
      </c>
      <c r="G221" s="51">
        <f t="shared" si="63"/>
        <v>13404.520153750429</v>
      </c>
      <c r="H221" s="51">
        <f t="shared" si="63"/>
        <v>14141.66365826636</v>
      </c>
      <c r="I221" s="51">
        <f t="shared" si="63"/>
        <v>14919.344275638061</v>
      </c>
      <c r="J221" s="51">
        <f t="shared" si="63"/>
        <v>15739.791229223827</v>
      </c>
      <c r="K221" s="51">
        <f t="shared" si="63"/>
        <v>16605.356332187464</v>
      </c>
      <c r="L221" s="51">
        <f t="shared" si="63"/>
        <v>16605.356332187464</v>
      </c>
      <c r="M221" s="51">
        <f t="shared" si="63"/>
        <v>16605.356332187464</v>
      </c>
      <c r="N221" s="51">
        <f t="shared" si="63"/>
        <v>16605.356332187464</v>
      </c>
      <c r="O221" s="51">
        <f t="shared" si="63"/>
        <v>16605.356332187464</v>
      </c>
      <c r="P221" s="51">
        <f t="shared" si="63"/>
        <v>16605.356332187464</v>
      </c>
      <c r="Q221" s="51">
        <f t="shared" si="63"/>
        <v>16605.356332187464</v>
      </c>
      <c r="R221" s="51">
        <f t="shared" si="63"/>
        <v>16605.356332187464</v>
      </c>
    </row>
    <row r="222" spans="1:18" x14ac:dyDescent="0.3">
      <c r="A222">
        <v>4</v>
      </c>
      <c r="B222" s="50" t="str">
        <f t="shared" si="61"/>
        <v>75078211</v>
      </c>
      <c r="C222" s="68">
        <f>SUMPRODUCT(D222:R222,WACC!$D$11:$R$11)</f>
        <v>782208.54304689111</v>
      </c>
      <c r="D222" s="51">
        <f t="shared" ref="D222:R222" si="64">D166*D$215</f>
        <v>17927.185569786623</v>
      </c>
      <c r="E222" s="51">
        <f t="shared" si="64"/>
        <v>21603.285249158871</v>
      </c>
      <c r="F222" s="51">
        <f t="shared" si="64"/>
        <v>36157.21650318888</v>
      </c>
      <c r="G222" s="51">
        <f t="shared" si="64"/>
        <v>53422.28738346156</v>
      </c>
      <c r="H222" s="51">
        <f t="shared" si="64"/>
        <v>75146.792411989518</v>
      </c>
      <c r="I222" s="51">
        <f t="shared" si="64"/>
        <v>79279.27677370733</v>
      </c>
      <c r="J222" s="51">
        <f t="shared" si="64"/>
        <v>83639.015372787908</v>
      </c>
      <c r="K222" s="51">
        <f t="shared" si="64"/>
        <v>88238.505410400961</v>
      </c>
      <c r="L222" s="51">
        <f t="shared" si="64"/>
        <v>88238.505410400961</v>
      </c>
      <c r="M222" s="51">
        <f t="shared" si="64"/>
        <v>88238.505410400961</v>
      </c>
      <c r="N222" s="51">
        <f t="shared" si="64"/>
        <v>88238.505410400961</v>
      </c>
      <c r="O222" s="51">
        <f t="shared" si="64"/>
        <v>88238.505410400961</v>
      </c>
      <c r="P222" s="51">
        <f t="shared" si="64"/>
        <v>88238.505410400961</v>
      </c>
      <c r="Q222" s="51">
        <f t="shared" si="64"/>
        <v>88238.505410400961</v>
      </c>
      <c r="R222" s="51">
        <f t="shared" si="64"/>
        <v>88238.505410400961</v>
      </c>
    </row>
    <row r="223" spans="1:18" x14ac:dyDescent="0.3">
      <c r="A223">
        <v>5</v>
      </c>
      <c r="B223" s="50" t="str">
        <f t="shared" si="61"/>
        <v>75067688</v>
      </c>
      <c r="C223" s="68">
        <f>SUMPRODUCT(D223:R223,WACC!$D$11:$R$11)</f>
        <v>975556.37518097414</v>
      </c>
      <c r="D223" s="51">
        <f t="shared" ref="D223:R223" si="65">D167*D$215</f>
        <v>17591.223571763639</v>
      </c>
      <c r="E223" s="51">
        <f t="shared" si="65"/>
        <v>35330.719669964397</v>
      </c>
      <c r="F223" s="51">
        <f t="shared" si="65"/>
        <v>53219.425611810744</v>
      </c>
      <c r="G223" s="51">
        <f t="shared" si="65"/>
        <v>69894.845636844781</v>
      </c>
      <c r="H223" s="51">
        <f t="shared" si="65"/>
        <v>92173.142632613541</v>
      </c>
      <c r="I223" s="51">
        <f t="shared" si="65"/>
        <v>97241.942753999552</v>
      </c>
      <c r="J223" s="51">
        <f t="shared" si="65"/>
        <v>102589.48713794121</v>
      </c>
      <c r="K223" s="51">
        <f t="shared" si="65"/>
        <v>108231.10453326404</v>
      </c>
      <c r="L223" s="51">
        <f t="shared" si="65"/>
        <v>108231.10453326404</v>
      </c>
      <c r="M223" s="51">
        <f t="shared" si="65"/>
        <v>108231.10453326404</v>
      </c>
      <c r="N223" s="51">
        <f t="shared" si="65"/>
        <v>108231.10453326404</v>
      </c>
      <c r="O223" s="51">
        <f t="shared" si="65"/>
        <v>108231.10453326404</v>
      </c>
      <c r="P223" s="51">
        <f t="shared" si="65"/>
        <v>108231.10453326404</v>
      </c>
      <c r="Q223" s="51">
        <f t="shared" si="65"/>
        <v>108231.10453326404</v>
      </c>
      <c r="R223" s="51">
        <f t="shared" si="65"/>
        <v>108231.10453326404</v>
      </c>
    </row>
    <row r="224" spans="1:18" x14ac:dyDescent="0.3">
      <c r="A224">
        <v>6</v>
      </c>
      <c r="B224" s="50" t="str">
        <f t="shared" si="61"/>
        <v>75084229</v>
      </c>
      <c r="C224" s="68">
        <f>SUMPRODUCT(D224:R224,WACC!$D$11:$R$11)</f>
        <v>87944.170616103875</v>
      </c>
      <c r="D224" s="51">
        <f t="shared" ref="D224:R224" si="66">D168*D$215</f>
        <v>6772.7104369316257</v>
      </c>
      <c r="E224" s="51">
        <f t="shared" si="66"/>
        <v>6801.2532748761896</v>
      </c>
      <c r="F224" s="51">
        <f t="shared" si="66"/>
        <v>6829.9164034496698</v>
      </c>
      <c r="G224" s="51">
        <f t="shared" si="66"/>
        <v>6727.4676573979241</v>
      </c>
      <c r="H224" s="51">
        <f t="shared" si="66"/>
        <v>7097.4256289336963</v>
      </c>
      <c r="I224" s="51">
        <f t="shared" si="66"/>
        <v>7487.7283880883806</v>
      </c>
      <c r="J224" s="51">
        <f t="shared" si="66"/>
        <v>7899.4947386589083</v>
      </c>
      <c r="K224" s="51">
        <f t="shared" si="66"/>
        <v>8333.9050098785719</v>
      </c>
      <c r="L224" s="51">
        <f t="shared" si="66"/>
        <v>8333.9050098785719</v>
      </c>
      <c r="M224" s="51">
        <f t="shared" si="66"/>
        <v>8333.9050098785719</v>
      </c>
      <c r="N224" s="51">
        <f t="shared" si="66"/>
        <v>8333.9050098785719</v>
      </c>
      <c r="O224" s="51">
        <f t="shared" si="66"/>
        <v>8333.9050098785719</v>
      </c>
      <c r="P224" s="51">
        <f t="shared" si="66"/>
        <v>8333.9050098785719</v>
      </c>
      <c r="Q224" s="51">
        <f t="shared" si="66"/>
        <v>8333.9050098785719</v>
      </c>
      <c r="R224" s="51">
        <f t="shared" si="66"/>
        <v>8333.9050098785719</v>
      </c>
    </row>
    <row r="225" spans="1:18" x14ac:dyDescent="0.3">
      <c r="A225">
        <v>7</v>
      </c>
      <c r="B225" s="50" t="str">
        <f t="shared" si="61"/>
        <v>75087003</v>
      </c>
      <c r="C225" s="68">
        <f>SUMPRODUCT(D225:R225,WACC!$D$11:$R$11)</f>
        <v>162369.76513089749</v>
      </c>
      <c r="D225" s="51">
        <f t="shared" ref="D225:R225" si="67">D169*D$215</f>
        <v>12504.33536686055</v>
      </c>
      <c r="E225" s="51">
        <f t="shared" si="67"/>
        <v>12557.03350319819</v>
      </c>
      <c r="F225" s="51">
        <f t="shared" si="67"/>
        <v>12609.953729994217</v>
      </c>
      <c r="G225" s="51">
        <f t="shared" si="67"/>
        <v>12420.804424044303</v>
      </c>
      <c r="H225" s="51">
        <f t="shared" si="67"/>
        <v>13103.851276675226</v>
      </c>
      <c r="I225" s="51">
        <f t="shared" si="67"/>
        <v>13824.460350476449</v>
      </c>
      <c r="J225" s="51">
        <f t="shared" si="67"/>
        <v>14584.697273089492</v>
      </c>
      <c r="K225" s="51">
        <f t="shared" si="67"/>
        <v>15386.74126547971</v>
      </c>
      <c r="L225" s="51">
        <f t="shared" si="67"/>
        <v>15386.74126547971</v>
      </c>
      <c r="M225" s="51">
        <f t="shared" si="67"/>
        <v>15386.74126547971</v>
      </c>
      <c r="N225" s="51">
        <f t="shared" si="67"/>
        <v>15386.74126547971</v>
      </c>
      <c r="O225" s="51">
        <f t="shared" si="67"/>
        <v>15386.74126547971</v>
      </c>
      <c r="P225" s="51">
        <f t="shared" si="67"/>
        <v>15386.74126547971</v>
      </c>
      <c r="Q225" s="51">
        <f t="shared" si="67"/>
        <v>15386.74126547971</v>
      </c>
      <c r="R225" s="51">
        <f t="shared" si="67"/>
        <v>15386.74126547971</v>
      </c>
    </row>
    <row r="226" spans="1:18" x14ac:dyDescent="0.3">
      <c r="A226">
        <v>8</v>
      </c>
      <c r="B226" s="50" t="str">
        <f t="shared" si="61"/>
        <v>75089640</v>
      </c>
      <c r="C226" s="68">
        <f>SUMPRODUCT(D226:R226,WACC!$D$11:$R$11)</f>
        <v>266904.75582318922</v>
      </c>
      <c r="D226" s="51">
        <f t="shared" ref="D226:R226" si="68">D170*D$215</f>
        <v>20554.729355755502</v>
      </c>
      <c r="E226" s="51">
        <f t="shared" si="68"/>
        <v>20641.354985842456</v>
      </c>
      <c r="F226" s="51">
        <f t="shared" si="68"/>
        <v>20728.345690052163</v>
      </c>
      <c r="G226" s="51">
        <f t="shared" si="68"/>
        <v>20417.420504701378</v>
      </c>
      <c r="H226" s="51">
        <f t="shared" si="68"/>
        <v>21540.21854083996</v>
      </c>
      <c r="I226" s="51">
        <f t="shared" si="68"/>
        <v>22724.76166518233</v>
      </c>
      <c r="J226" s="51">
        <f t="shared" si="68"/>
        <v>23974.44537344062</v>
      </c>
      <c r="K226" s="51">
        <f t="shared" si="68"/>
        <v>25292.851886967263</v>
      </c>
      <c r="L226" s="51">
        <f t="shared" si="68"/>
        <v>25292.851886967263</v>
      </c>
      <c r="M226" s="51">
        <f t="shared" si="68"/>
        <v>25292.851886967263</v>
      </c>
      <c r="N226" s="51">
        <f t="shared" si="68"/>
        <v>25292.851886967263</v>
      </c>
      <c r="O226" s="51">
        <f t="shared" si="68"/>
        <v>25292.851886967263</v>
      </c>
      <c r="P226" s="51">
        <f t="shared" si="68"/>
        <v>25292.851886967263</v>
      </c>
      <c r="Q226" s="51">
        <f t="shared" si="68"/>
        <v>25292.851886967263</v>
      </c>
      <c r="R226" s="51">
        <f t="shared" si="68"/>
        <v>25292.851886967263</v>
      </c>
    </row>
    <row r="227" spans="1:18" x14ac:dyDescent="0.3">
      <c r="A227">
        <v>9</v>
      </c>
      <c r="B227" s="50" t="str">
        <f t="shared" si="61"/>
        <v>75072730</v>
      </c>
      <c r="C227" s="68">
        <f>SUMPRODUCT(D227:R227,WACC!$D$11:$R$11)</f>
        <v>1376.4182260729247</v>
      </c>
      <c r="D227" s="51">
        <f t="shared" ref="D227:R227" si="69">D171*D$215</f>
        <v>106</v>
      </c>
      <c r="E227" s="51">
        <f t="shared" si="69"/>
        <v>106.44672525871259</v>
      </c>
      <c r="F227" s="51">
        <f t="shared" si="69"/>
        <v>106.89533319154567</v>
      </c>
      <c r="G227" s="51">
        <f t="shared" si="69"/>
        <v>105.29190319367248</v>
      </c>
      <c r="H227" s="51">
        <f t="shared" si="69"/>
        <v>111.08213228259814</v>
      </c>
      <c r="I227" s="51">
        <f t="shared" si="69"/>
        <v>117.19077857061811</v>
      </c>
      <c r="J227" s="51">
        <f t="shared" si="69"/>
        <v>123.63535250699479</v>
      </c>
      <c r="K227" s="51">
        <f t="shared" si="69"/>
        <v>130.43432747840168</v>
      </c>
      <c r="L227" s="51">
        <f t="shared" si="69"/>
        <v>130.43432747840168</v>
      </c>
      <c r="M227" s="51">
        <f t="shared" si="69"/>
        <v>130.43432747840168</v>
      </c>
      <c r="N227" s="51">
        <f t="shared" si="69"/>
        <v>130.43432747840168</v>
      </c>
      <c r="O227" s="51">
        <f t="shared" si="69"/>
        <v>130.43432747840168</v>
      </c>
      <c r="P227" s="51">
        <f t="shared" si="69"/>
        <v>130.43432747840168</v>
      </c>
      <c r="Q227" s="51">
        <f t="shared" si="69"/>
        <v>130.43432747840168</v>
      </c>
      <c r="R227" s="51">
        <f t="shared" si="69"/>
        <v>130.43432747840168</v>
      </c>
    </row>
    <row r="228" spans="1:18" x14ac:dyDescent="0.3">
      <c r="A228">
        <v>10</v>
      </c>
      <c r="B228" s="50" t="str">
        <f t="shared" si="61"/>
        <v>75055038</v>
      </c>
      <c r="C228" s="68">
        <f>SUMPRODUCT(D228:R228,WACC!$D$11:$R$11)</f>
        <v>122110.80215122398</v>
      </c>
      <c r="D228" s="51">
        <f t="shared" ref="D228:R228" si="70">D172*D$215</f>
        <v>1044.596589986359</v>
      </c>
      <c r="E228" s="51">
        <f t="shared" si="70"/>
        <v>7342.9924862571879</v>
      </c>
      <c r="F228" s="51">
        <f t="shared" si="70"/>
        <v>9480.7783475103624</v>
      </c>
      <c r="G228" s="51">
        <f t="shared" si="70"/>
        <v>9857.3759318698012</v>
      </c>
      <c r="H228" s="51">
        <f t="shared" si="70"/>
        <v>10946.794018001476</v>
      </c>
      <c r="I228" s="51">
        <f t="shared" si="70"/>
        <v>11548.781855916428</v>
      </c>
      <c r="J228" s="51">
        <f t="shared" si="70"/>
        <v>12183.874304770585</v>
      </c>
      <c r="K228" s="51">
        <f t="shared" si="70"/>
        <v>12853.89185859457</v>
      </c>
      <c r="L228" s="51">
        <f t="shared" si="70"/>
        <v>12853.89185859457</v>
      </c>
      <c r="M228" s="51">
        <f t="shared" si="70"/>
        <v>12853.89185859457</v>
      </c>
      <c r="N228" s="51">
        <f t="shared" si="70"/>
        <v>12853.89185859457</v>
      </c>
      <c r="O228" s="51">
        <f t="shared" si="70"/>
        <v>12853.89185859457</v>
      </c>
      <c r="P228" s="51">
        <f t="shared" si="70"/>
        <v>12853.89185859457</v>
      </c>
      <c r="Q228" s="51">
        <f t="shared" si="70"/>
        <v>12853.89185859457</v>
      </c>
      <c r="R228" s="51">
        <f t="shared" si="70"/>
        <v>12853.89185859457</v>
      </c>
    </row>
    <row r="229" spans="1:18" x14ac:dyDescent="0.3">
      <c r="A229">
        <v>11</v>
      </c>
      <c r="B229" s="50" t="str">
        <f t="shared" si="61"/>
        <v>75079161</v>
      </c>
      <c r="C229" s="68">
        <f>SUMPRODUCT(D229:R229,WACC!$D$11:$R$11)</f>
        <v>9998.5097554353943</v>
      </c>
      <c r="D229" s="51">
        <f t="shared" ref="D229:R229" si="71">D173*D$215</f>
        <v>770</v>
      </c>
      <c r="E229" s="51">
        <f t="shared" si="71"/>
        <v>773.24507970951595</v>
      </c>
      <c r="F229" s="51">
        <f t="shared" si="71"/>
        <v>776.50383544802037</v>
      </c>
      <c r="G229" s="51">
        <f t="shared" si="71"/>
        <v>764.85627791630009</v>
      </c>
      <c r="H229" s="51">
        <f t="shared" si="71"/>
        <v>806.91737601509965</v>
      </c>
      <c r="I229" s="51">
        <f t="shared" si="71"/>
        <v>851.29150471109381</v>
      </c>
      <c r="J229" s="51">
        <f t="shared" si="71"/>
        <v>898.10586255081125</v>
      </c>
      <c r="K229" s="51">
        <f t="shared" si="71"/>
        <v>947.49464300348393</v>
      </c>
      <c r="L229" s="51">
        <f t="shared" si="71"/>
        <v>947.49464300348393</v>
      </c>
      <c r="M229" s="51">
        <f t="shared" si="71"/>
        <v>947.49464300348393</v>
      </c>
      <c r="N229" s="51">
        <f t="shared" si="71"/>
        <v>947.49464300348393</v>
      </c>
      <c r="O229" s="51">
        <f t="shared" si="71"/>
        <v>947.49464300348393</v>
      </c>
      <c r="P229" s="51">
        <f t="shared" si="71"/>
        <v>947.49464300348393</v>
      </c>
      <c r="Q229" s="51">
        <f t="shared" si="71"/>
        <v>947.49464300348393</v>
      </c>
      <c r="R229" s="51">
        <f t="shared" si="71"/>
        <v>947.49464300348393</v>
      </c>
    </row>
    <row r="230" spans="1:18" x14ac:dyDescent="0.3">
      <c r="A230">
        <v>12</v>
      </c>
      <c r="B230" s="50" t="str">
        <f t="shared" si="61"/>
        <v>75088679</v>
      </c>
      <c r="C230" s="68">
        <f>SUMPRODUCT(D230:R230,WACC!$D$11:$R$11)</f>
        <v>275647.22738750983</v>
      </c>
      <c r="D230" s="51">
        <f t="shared" ref="D230:R230" si="72">D174*D$215</f>
        <v>21228</v>
      </c>
      <c r="E230" s="51">
        <f t="shared" si="72"/>
        <v>21317.463054641048</v>
      </c>
      <c r="F230" s="51">
        <f t="shared" si="72"/>
        <v>21407.303141416334</v>
      </c>
      <c r="G230" s="51">
        <f t="shared" si="72"/>
        <v>21086.193594295088</v>
      </c>
      <c r="H230" s="51">
        <f t="shared" si="72"/>
        <v>22245.768906556539</v>
      </c>
      <c r="I230" s="51">
        <f t="shared" si="72"/>
        <v>23469.11176884039</v>
      </c>
      <c r="J230" s="51">
        <f t="shared" si="72"/>
        <v>24759.728896400808</v>
      </c>
      <c r="K230" s="51">
        <f t="shared" si="72"/>
        <v>26121.319846335009</v>
      </c>
      <c r="L230" s="51">
        <f t="shared" si="72"/>
        <v>26121.319846335009</v>
      </c>
      <c r="M230" s="51">
        <f t="shared" si="72"/>
        <v>26121.319846335009</v>
      </c>
      <c r="N230" s="51">
        <f t="shared" si="72"/>
        <v>26121.319846335009</v>
      </c>
      <c r="O230" s="51">
        <f t="shared" si="72"/>
        <v>26121.319846335009</v>
      </c>
      <c r="P230" s="51">
        <f t="shared" si="72"/>
        <v>26121.319846335009</v>
      </c>
      <c r="Q230" s="51">
        <f t="shared" si="72"/>
        <v>26121.319846335009</v>
      </c>
      <c r="R230" s="51">
        <f t="shared" si="72"/>
        <v>26121.319846335009</v>
      </c>
    </row>
    <row r="231" spans="1:18" x14ac:dyDescent="0.3">
      <c r="A231">
        <v>13</v>
      </c>
      <c r="B231" s="50" t="str">
        <f t="shared" si="61"/>
        <v>75085538</v>
      </c>
      <c r="C231" s="68">
        <f>SUMPRODUCT(D231:R231,WACC!$D$11:$R$11)</f>
        <v>1155342.5191542816</v>
      </c>
      <c r="D231" s="51">
        <f t="shared" ref="D231:R231" si="73">D175*D$215</f>
        <v>88974.633371256583</v>
      </c>
      <c r="E231" s="51">
        <f t="shared" si="73"/>
        <v>89349.607108158772</v>
      </c>
      <c r="F231" s="51">
        <f t="shared" si="73"/>
        <v>89726.161130340479</v>
      </c>
      <c r="G231" s="51">
        <f t="shared" si="73"/>
        <v>88380.268713385376</v>
      </c>
      <c r="H231" s="51">
        <f t="shared" si="73"/>
        <v>93240.490508882955</v>
      </c>
      <c r="I231" s="51">
        <f t="shared" si="73"/>
        <v>98367.986394460939</v>
      </c>
      <c r="J231" s="51">
        <f t="shared" si="73"/>
        <v>103777.45434939557</v>
      </c>
      <c r="K231" s="51">
        <f t="shared" si="73"/>
        <v>109484.40062657744</v>
      </c>
      <c r="L231" s="51">
        <f t="shared" si="73"/>
        <v>109484.40062657744</v>
      </c>
      <c r="M231" s="51">
        <f t="shared" si="73"/>
        <v>109484.40062657744</v>
      </c>
      <c r="N231" s="51">
        <f t="shared" si="73"/>
        <v>109484.40062657744</v>
      </c>
      <c r="O231" s="51">
        <f t="shared" si="73"/>
        <v>109484.40062657744</v>
      </c>
      <c r="P231" s="51">
        <f t="shared" si="73"/>
        <v>109484.40062657744</v>
      </c>
      <c r="Q231" s="51">
        <f t="shared" si="73"/>
        <v>109484.40062657744</v>
      </c>
      <c r="R231" s="51">
        <f t="shared" si="73"/>
        <v>109484.40062657744</v>
      </c>
    </row>
    <row r="232" spans="1:18" x14ac:dyDescent="0.3">
      <c r="A232">
        <v>14</v>
      </c>
      <c r="B232" s="50" t="str">
        <f t="shared" si="61"/>
        <v>75089294</v>
      </c>
      <c r="C232" s="68">
        <f>SUMPRODUCT(D232:R232,WACC!$D$11:$R$11)</f>
        <v>102413.3070663883</v>
      </c>
      <c r="D232" s="51">
        <f t="shared" ref="D232:R232" si="74">D176*D$215</f>
        <v>7887</v>
      </c>
      <c r="E232" s="51">
        <f t="shared" si="74"/>
        <v>7920.2388878817565</v>
      </c>
      <c r="F232" s="51">
        <f t="shared" si="74"/>
        <v>7953.6178573747238</v>
      </c>
      <c r="G232" s="51">
        <f t="shared" si="74"/>
        <v>7834.3135895141022</v>
      </c>
      <c r="H232" s="51">
        <f t="shared" si="74"/>
        <v>8265.1394086118071</v>
      </c>
      <c r="I232" s="51">
        <f t="shared" si="74"/>
        <v>8719.657269683632</v>
      </c>
      <c r="J232" s="51">
        <f t="shared" si="74"/>
        <v>9199.1700492704531</v>
      </c>
      <c r="K232" s="51">
        <f t="shared" si="74"/>
        <v>9705.0522719071141</v>
      </c>
      <c r="L232" s="51">
        <f t="shared" si="74"/>
        <v>9705.0522719071141</v>
      </c>
      <c r="M232" s="51">
        <f t="shared" si="74"/>
        <v>9705.0522719071141</v>
      </c>
      <c r="N232" s="51">
        <f t="shared" si="74"/>
        <v>9705.0522719071141</v>
      </c>
      <c r="O232" s="51">
        <f t="shared" si="74"/>
        <v>9705.0522719071141</v>
      </c>
      <c r="P232" s="51">
        <f t="shared" si="74"/>
        <v>9705.0522719071141</v>
      </c>
      <c r="Q232" s="51">
        <f t="shared" si="74"/>
        <v>9705.0522719071141</v>
      </c>
      <c r="R232" s="51">
        <f t="shared" si="74"/>
        <v>9705.0522719071141</v>
      </c>
    </row>
    <row r="233" spans="1:18" x14ac:dyDescent="0.3">
      <c r="A233">
        <v>15</v>
      </c>
      <c r="B233" s="50" t="str">
        <f t="shared" si="61"/>
        <v>75093308</v>
      </c>
      <c r="C233" s="68">
        <f>SUMPRODUCT(D233:R233,WACC!$D$11:$R$11)</f>
        <v>39813.265337524033</v>
      </c>
      <c r="D233" s="51">
        <f t="shared" ref="D233:R233" si="75">D177*D$215</f>
        <v>3066.0783516491706</v>
      </c>
      <c r="E233" s="51">
        <f t="shared" si="75"/>
        <v>3078.9999992423172</v>
      </c>
      <c r="F233" s="51">
        <f t="shared" si="75"/>
        <v>3091.9761036879549</v>
      </c>
      <c r="G233" s="51">
        <f t="shared" si="75"/>
        <v>3045.5964621326357</v>
      </c>
      <c r="H233" s="51">
        <f t="shared" si="75"/>
        <v>3213.080387233053</v>
      </c>
      <c r="I233" s="51">
        <f t="shared" si="75"/>
        <v>3389.7746149838085</v>
      </c>
      <c r="J233" s="51">
        <f t="shared" si="75"/>
        <v>3576.1856398133091</v>
      </c>
      <c r="K233" s="51">
        <f t="shared" si="75"/>
        <v>3772.8478093721319</v>
      </c>
      <c r="L233" s="51">
        <f t="shared" si="75"/>
        <v>3772.8478093721319</v>
      </c>
      <c r="M233" s="51">
        <f t="shared" si="75"/>
        <v>3772.8478093721319</v>
      </c>
      <c r="N233" s="51">
        <f t="shared" si="75"/>
        <v>3772.8478093721319</v>
      </c>
      <c r="O233" s="51">
        <f t="shared" si="75"/>
        <v>3772.8478093721319</v>
      </c>
      <c r="P233" s="51">
        <f t="shared" si="75"/>
        <v>3772.8478093721319</v>
      </c>
      <c r="Q233" s="51">
        <f t="shared" si="75"/>
        <v>3772.8478093721319</v>
      </c>
      <c r="R233" s="51">
        <f t="shared" si="75"/>
        <v>3772.8478093721319</v>
      </c>
    </row>
    <row r="234" spans="1:18" x14ac:dyDescent="0.3">
      <c r="A234">
        <v>16</v>
      </c>
      <c r="B234" s="50" t="str">
        <f t="shared" si="61"/>
        <v>75080861</v>
      </c>
      <c r="C234" s="68">
        <f>SUMPRODUCT(D234:R234,WACC!$D$11:$R$11)</f>
        <v>1273043.918917628</v>
      </c>
      <c r="D234" s="51">
        <f t="shared" ref="D234:R234" si="76">D178*D$215</f>
        <v>50924</v>
      </c>
      <c r="E234" s="51">
        <f t="shared" si="76"/>
        <v>102277.2271146166</v>
      </c>
      <c r="F234" s="51">
        <f t="shared" si="76"/>
        <v>102708.26315936362</v>
      </c>
      <c r="G234" s="51">
        <f t="shared" si="76"/>
        <v>101167.63921197316</v>
      </c>
      <c r="H234" s="51">
        <f t="shared" si="76"/>
        <v>106731.06611998165</v>
      </c>
      <c r="I234" s="51">
        <f t="shared" si="76"/>
        <v>112600.43788547465</v>
      </c>
      <c r="J234" s="51">
        <f t="shared" si="76"/>
        <v>118792.57907672081</v>
      </c>
      <c r="K234" s="51">
        <f t="shared" si="76"/>
        <v>125325.23948132317</v>
      </c>
      <c r="L234" s="51">
        <f t="shared" si="76"/>
        <v>125325.23948132317</v>
      </c>
      <c r="M234" s="51">
        <f t="shared" si="76"/>
        <v>125325.23948132317</v>
      </c>
      <c r="N234" s="51">
        <f t="shared" si="76"/>
        <v>125325.23948132317</v>
      </c>
      <c r="O234" s="51">
        <f t="shared" si="76"/>
        <v>125325.23948132317</v>
      </c>
      <c r="P234" s="51">
        <f t="shared" si="76"/>
        <v>125325.23948132317</v>
      </c>
      <c r="Q234" s="51">
        <f t="shared" si="76"/>
        <v>125325.23948132317</v>
      </c>
      <c r="R234" s="51">
        <f t="shared" si="76"/>
        <v>125325.23948132317</v>
      </c>
    </row>
    <row r="235" spans="1:18" x14ac:dyDescent="0.3">
      <c r="A235">
        <v>17</v>
      </c>
      <c r="B235" s="50" t="str">
        <f t="shared" si="61"/>
        <v>75085366</v>
      </c>
      <c r="C235" s="68">
        <f>SUMPRODUCT(D235:R235,WACC!$D$11:$R$11)</f>
        <v>251391.50305401653</v>
      </c>
      <c r="D235" s="51">
        <f t="shared" ref="D235:R235" si="77">D179*D$215</f>
        <v>19360.030853234235</v>
      </c>
      <c r="E235" s="51">
        <f t="shared" si="77"/>
        <v>19441.621558815317</v>
      </c>
      <c r="F235" s="51">
        <f t="shared" si="77"/>
        <v>19523.556119387526</v>
      </c>
      <c r="G235" s="51">
        <f t="shared" si="77"/>
        <v>19230.702777596714</v>
      </c>
      <c r="H235" s="51">
        <f t="shared" si="77"/>
        <v>20288.240643718364</v>
      </c>
      <c r="I235" s="51">
        <f t="shared" si="77"/>
        <v>21403.934800393472</v>
      </c>
      <c r="J235" s="51">
        <f t="shared" si="77"/>
        <v>22580.983387602922</v>
      </c>
      <c r="K235" s="51">
        <f t="shared" si="77"/>
        <v>23822.76041795014</v>
      </c>
      <c r="L235" s="51">
        <f t="shared" si="77"/>
        <v>23822.76041795014</v>
      </c>
      <c r="M235" s="51">
        <f t="shared" si="77"/>
        <v>23822.76041795014</v>
      </c>
      <c r="N235" s="51">
        <f t="shared" si="77"/>
        <v>23822.76041795014</v>
      </c>
      <c r="O235" s="51">
        <f t="shared" si="77"/>
        <v>23822.76041795014</v>
      </c>
      <c r="P235" s="51">
        <f t="shared" si="77"/>
        <v>23822.76041795014</v>
      </c>
      <c r="Q235" s="51">
        <f t="shared" si="77"/>
        <v>23822.76041795014</v>
      </c>
      <c r="R235" s="51">
        <f t="shared" si="77"/>
        <v>23822.76041795014</v>
      </c>
    </row>
    <row r="236" spans="1:18" x14ac:dyDescent="0.3">
      <c r="A236">
        <v>18</v>
      </c>
      <c r="B236" s="50" t="str">
        <f t="shared" si="61"/>
        <v>75088855</v>
      </c>
      <c r="C236" s="68">
        <f>SUMPRODUCT(D236:R236,WACC!$D$11:$R$11)</f>
        <v>29099.317849430456</v>
      </c>
      <c r="D236" s="51">
        <f t="shared" ref="D236:R236" si="78">D180*D$215</f>
        <v>524.71863143755581</v>
      </c>
      <c r="E236" s="51">
        <f t="shared" si="78"/>
        <v>1053.8599999766259</v>
      </c>
      <c r="F236" s="51">
        <f t="shared" si="78"/>
        <v>1587.4520643206429</v>
      </c>
      <c r="G236" s="51">
        <f t="shared" si="78"/>
        <v>2084.853711141111</v>
      </c>
      <c r="H236" s="51">
        <f t="shared" si="78"/>
        <v>2749.3803975703031</v>
      </c>
      <c r="I236" s="51">
        <f t="shared" si="78"/>
        <v>2900.5747617300176</v>
      </c>
      <c r="J236" s="51">
        <f t="shared" si="78"/>
        <v>3060.0836304136837</v>
      </c>
      <c r="K236" s="51">
        <f t="shared" si="78"/>
        <v>3228.364236176647</v>
      </c>
      <c r="L236" s="51">
        <f t="shared" si="78"/>
        <v>3228.364236176647</v>
      </c>
      <c r="M236" s="51">
        <f t="shared" si="78"/>
        <v>3228.364236176647</v>
      </c>
      <c r="N236" s="51">
        <f t="shared" si="78"/>
        <v>3228.364236176647</v>
      </c>
      <c r="O236" s="51">
        <f t="shared" si="78"/>
        <v>3228.364236176647</v>
      </c>
      <c r="P236" s="51">
        <f t="shared" si="78"/>
        <v>3228.364236176647</v>
      </c>
      <c r="Q236" s="51">
        <f t="shared" si="78"/>
        <v>3228.364236176647</v>
      </c>
      <c r="R236" s="51">
        <f t="shared" si="78"/>
        <v>3228.364236176647</v>
      </c>
    </row>
    <row r="237" spans="1:18" x14ac:dyDescent="0.3">
      <c r="A237">
        <v>19</v>
      </c>
      <c r="B237" s="50" t="str">
        <f t="shared" si="61"/>
        <v>75090071</v>
      </c>
      <c r="C237" s="68">
        <f>SUMPRODUCT(D237:R237,WACC!$D$11:$R$11)</f>
        <v>63682.943350333859</v>
      </c>
      <c r="D237" s="51">
        <f t="shared" ref="D237:R237" si="79">D181*D$215</f>
        <v>4904.317501225637</v>
      </c>
      <c r="E237" s="51">
        <f t="shared" si="79"/>
        <v>4924.9862040986909</v>
      </c>
      <c r="F237" s="51">
        <f t="shared" si="79"/>
        <v>4945.7420129305956</v>
      </c>
      <c r="G237" s="51">
        <f t="shared" si="79"/>
        <v>4871.5558827366367</v>
      </c>
      <c r="H237" s="51">
        <f t="shared" si="79"/>
        <v>5139.4532587453523</v>
      </c>
      <c r="I237" s="51">
        <f t="shared" si="79"/>
        <v>5422.0828898692525</v>
      </c>
      <c r="J237" s="51">
        <f t="shared" si="79"/>
        <v>5720.2549346250516</v>
      </c>
      <c r="K237" s="51">
        <f t="shared" si="79"/>
        <v>6034.8241038954848</v>
      </c>
      <c r="L237" s="51">
        <f t="shared" si="79"/>
        <v>6034.8241038954848</v>
      </c>
      <c r="M237" s="51">
        <f t="shared" si="79"/>
        <v>6034.8241038954848</v>
      </c>
      <c r="N237" s="51">
        <f t="shared" si="79"/>
        <v>6034.8241038954848</v>
      </c>
      <c r="O237" s="51">
        <f t="shared" si="79"/>
        <v>6034.8241038954848</v>
      </c>
      <c r="P237" s="51">
        <f t="shared" si="79"/>
        <v>6034.8241038954848</v>
      </c>
      <c r="Q237" s="51">
        <f t="shared" si="79"/>
        <v>6034.8241038954848</v>
      </c>
      <c r="R237" s="51">
        <f t="shared" si="79"/>
        <v>6034.8241038954848</v>
      </c>
    </row>
    <row r="238" spans="1:18" x14ac:dyDescent="0.3">
      <c r="A238">
        <v>20</v>
      </c>
      <c r="B238" s="50" t="str">
        <f t="shared" si="61"/>
        <v>75094398</v>
      </c>
      <c r="C238" s="68">
        <f>SUMPRODUCT(D238:R238,WACC!$D$11:$R$11)</f>
        <v>33074.636924035905</v>
      </c>
      <c r="D238" s="51">
        <f t="shared" ref="D238:R238" si="80">D182*D$215</f>
        <v>2547.1266273119354</v>
      </c>
      <c r="E238" s="51">
        <f t="shared" si="80"/>
        <v>2557.8612103455171</v>
      </c>
      <c r="F238" s="51">
        <f t="shared" si="80"/>
        <v>2568.6410330902577</v>
      </c>
      <c r="G238" s="51">
        <f t="shared" si="80"/>
        <v>2530.1114175939038</v>
      </c>
      <c r="H238" s="51">
        <f t="shared" si="80"/>
        <v>2669.2477071282306</v>
      </c>
      <c r="I238" s="51">
        <f t="shared" si="80"/>
        <v>2816.0354016286637</v>
      </c>
      <c r="J238" s="51">
        <f t="shared" si="80"/>
        <v>2970.8952683741877</v>
      </c>
      <c r="K238" s="51">
        <f t="shared" si="80"/>
        <v>3134.2712135449228</v>
      </c>
      <c r="L238" s="51">
        <f t="shared" si="80"/>
        <v>3134.2712135449228</v>
      </c>
      <c r="M238" s="51">
        <f t="shared" si="80"/>
        <v>3134.2712135449228</v>
      </c>
      <c r="N238" s="51">
        <f t="shared" si="80"/>
        <v>3134.2712135449228</v>
      </c>
      <c r="O238" s="51">
        <f t="shared" si="80"/>
        <v>3134.2712135449228</v>
      </c>
      <c r="P238" s="51">
        <f t="shared" si="80"/>
        <v>3134.2712135449228</v>
      </c>
      <c r="Q238" s="51">
        <f t="shared" si="80"/>
        <v>3134.2712135449228</v>
      </c>
      <c r="R238" s="51">
        <f t="shared" si="80"/>
        <v>3134.2712135449228</v>
      </c>
    </row>
    <row r="239" spans="1:18" x14ac:dyDescent="0.3">
      <c r="A239">
        <v>21</v>
      </c>
      <c r="B239" s="50" t="str">
        <f t="shared" si="61"/>
        <v>75082753</v>
      </c>
      <c r="C239" s="68">
        <f>SUMPRODUCT(D239:R239,WACC!$D$11:$R$11)</f>
        <v>237440.3776504476</v>
      </c>
      <c r="D239" s="51">
        <f t="shared" ref="D239:R239" si="81">D183*D$215</f>
        <v>18285.63408576513</v>
      </c>
      <c r="E239" s="51">
        <f t="shared" si="81"/>
        <v>18362.696865177273</v>
      </c>
      <c r="F239" s="51">
        <f t="shared" si="81"/>
        <v>18440.084417137248</v>
      </c>
      <c r="G239" s="51">
        <f t="shared" si="81"/>
        <v>18163.483150880187</v>
      </c>
      <c r="H239" s="51">
        <f t="shared" si="81"/>
        <v>19162.332305529693</v>
      </c>
      <c r="I239" s="51">
        <f t="shared" si="81"/>
        <v>20216.110331775926</v>
      </c>
      <c r="J239" s="51">
        <f t="shared" si="81"/>
        <v>21327.837886863126</v>
      </c>
      <c r="K239" s="51">
        <f t="shared" si="81"/>
        <v>22500.701740499182</v>
      </c>
      <c r="L239" s="51">
        <f t="shared" si="81"/>
        <v>22500.701740499182</v>
      </c>
      <c r="M239" s="51">
        <f t="shared" si="81"/>
        <v>22500.701740499182</v>
      </c>
      <c r="N239" s="51">
        <f t="shared" si="81"/>
        <v>22500.701740499182</v>
      </c>
      <c r="O239" s="51">
        <f t="shared" si="81"/>
        <v>22500.701740499182</v>
      </c>
      <c r="P239" s="51">
        <f t="shared" si="81"/>
        <v>22500.701740499182</v>
      </c>
      <c r="Q239" s="51">
        <f t="shared" si="81"/>
        <v>22500.701740499182</v>
      </c>
      <c r="R239" s="51">
        <f t="shared" si="81"/>
        <v>22500.701740499182</v>
      </c>
    </row>
    <row r="240" spans="1:18" x14ac:dyDescent="0.3">
      <c r="A240">
        <v>22</v>
      </c>
      <c r="B240" s="50" t="str">
        <f t="shared" si="61"/>
        <v>75079993</v>
      </c>
      <c r="C240" s="68">
        <f>SUMPRODUCT(D240:R240,WACC!$D$11:$R$11)</f>
        <v>288978.21330534655</v>
      </c>
      <c r="D240" s="51">
        <f t="shared" ref="D240:R240" si="82">D184*D$215</f>
        <v>22254.638909978963</v>
      </c>
      <c r="E240" s="51">
        <f t="shared" si="82"/>
        <v>22348.428620588544</v>
      </c>
      <c r="F240" s="51">
        <f t="shared" si="82"/>
        <v>22442.613597544696</v>
      </c>
      <c r="G240" s="51">
        <f t="shared" si="82"/>
        <v>22105.974393581528</v>
      </c>
      <c r="H240" s="51">
        <f t="shared" si="82"/>
        <v>23321.629653771121</v>
      </c>
      <c r="I240" s="51">
        <f t="shared" si="82"/>
        <v>24604.13642140006</v>
      </c>
      <c r="J240" s="51">
        <f t="shared" si="82"/>
        <v>25957.171005199354</v>
      </c>
      <c r="K240" s="51">
        <f t="shared" si="82"/>
        <v>27384.611882054494</v>
      </c>
      <c r="L240" s="51">
        <f t="shared" si="82"/>
        <v>27384.611882054494</v>
      </c>
      <c r="M240" s="51">
        <f t="shared" si="82"/>
        <v>27384.611882054494</v>
      </c>
      <c r="N240" s="51">
        <f t="shared" si="82"/>
        <v>27384.611882054494</v>
      </c>
      <c r="O240" s="51">
        <f t="shared" si="82"/>
        <v>27384.611882054494</v>
      </c>
      <c r="P240" s="51">
        <f t="shared" si="82"/>
        <v>27384.611882054494</v>
      </c>
      <c r="Q240" s="51">
        <f t="shared" si="82"/>
        <v>27384.611882054494</v>
      </c>
      <c r="R240" s="51">
        <f t="shared" si="82"/>
        <v>27384.611882054494</v>
      </c>
    </row>
    <row r="241" spans="1:18" x14ac:dyDescent="0.3">
      <c r="A241">
        <v>23</v>
      </c>
      <c r="B241" s="50" t="str">
        <f t="shared" si="61"/>
        <v>75083984</v>
      </c>
      <c r="C241" s="68">
        <f>SUMPRODUCT(D241:R241,WACC!$D$11:$R$11)</f>
        <v>378757.9761886723</v>
      </c>
      <c r="D241" s="51">
        <f t="shared" ref="D241:R241" si="83">D185*D$215</f>
        <v>29168.711017832848</v>
      </c>
      <c r="E241" s="51">
        <f t="shared" si="83"/>
        <v>29291.639319490907</v>
      </c>
      <c r="F241" s="51">
        <f t="shared" si="83"/>
        <v>29415.085688859919</v>
      </c>
      <c r="G241" s="51">
        <f t="shared" si="83"/>
        <v>28973.859403527022</v>
      </c>
      <c r="H241" s="51">
        <f t="shared" si="83"/>
        <v>30567.194488639489</v>
      </c>
      <c r="I241" s="51">
        <f t="shared" si="83"/>
        <v>32248.150510199979</v>
      </c>
      <c r="J241" s="51">
        <f t="shared" si="83"/>
        <v>34021.545932683272</v>
      </c>
      <c r="K241" s="51">
        <f t="shared" si="83"/>
        <v>35892.464198328991</v>
      </c>
      <c r="L241" s="51">
        <f t="shared" si="83"/>
        <v>35892.464198328991</v>
      </c>
      <c r="M241" s="51">
        <f t="shared" si="83"/>
        <v>35892.464198328991</v>
      </c>
      <c r="N241" s="51">
        <f t="shared" si="83"/>
        <v>35892.464198328991</v>
      </c>
      <c r="O241" s="51">
        <f t="shared" si="83"/>
        <v>35892.464198328991</v>
      </c>
      <c r="P241" s="51">
        <f t="shared" si="83"/>
        <v>35892.464198328991</v>
      </c>
      <c r="Q241" s="51">
        <f t="shared" si="83"/>
        <v>35892.464198328991</v>
      </c>
      <c r="R241" s="51">
        <f t="shared" si="83"/>
        <v>35892.464198328991</v>
      </c>
    </row>
    <row r="242" spans="1:18" x14ac:dyDescent="0.3">
      <c r="A242">
        <v>24</v>
      </c>
      <c r="B242" s="50" t="str">
        <f t="shared" si="61"/>
        <v>75090929</v>
      </c>
      <c r="C242" s="68">
        <f>SUMPRODUCT(D242:R242,WACC!$D$11:$R$11)</f>
        <v>22885.303973519607</v>
      </c>
      <c r="D242" s="51">
        <f t="shared" ref="D242:R242" si="84">D186*D$215</f>
        <v>1762.4310512904772</v>
      </c>
      <c r="E242" s="51">
        <f t="shared" si="84"/>
        <v>1769.8586217371833</v>
      </c>
      <c r="F242" s="51">
        <f t="shared" si="84"/>
        <v>1777.3174948568083</v>
      </c>
      <c r="G242" s="51">
        <f t="shared" si="84"/>
        <v>1750.657732433956</v>
      </c>
      <c r="H242" s="51">
        <f t="shared" si="84"/>
        <v>1846.9301809283706</v>
      </c>
      <c r="I242" s="51">
        <f t="shared" si="84"/>
        <v>1948.4968592241887</v>
      </c>
      <c r="J242" s="51">
        <f t="shared" si="84"/>
        <v>2055.6489084487885</v>
      </c>
      <c r="K242" s="51">
        <f t="shared" si="84"/>
        <v>2168.6934802087344</v>
      </c>
      <c r="L242" s="51">
        <f t="shared" si="84"/>
        <v>2168.6934802087344</v>
      </c>
      <c r="M242" s="51">
        <f t="shared" si="84"/>
        <v>2168.6934802087344</v>
      </c>
      <c r="N242" s="51">
        <f t="shared" si="84"/>
        <v>2168.6934802087344</v>
      </c>
      <c r="O242" s="51">
        <f t="shared" si="84"/>
        <v>2168.6934802087344</v>
      </c>
      <c r="P242" s="51">
        <f t="shared" si="84"/>
        <v>2168.6934802087344</v>
      </c>
      <c r="Q242" s="51">
        <f t="shared" si="84"/>
        <v>2168.6934802087344</v>
      </c>
      <c r="R242" s="51">
        <f t="shared" si="84"/>
        <v>2168.6934802087344</v>
      </c>
    </row>
    <row r="243" spans="1:18" x14ac:dyDescent="0.3">
      <c r="A243">
        <v>25</v>
      </c>
      <c r="B243" s="50" t="str">
        <f t="shared" si="61"/>
        <v>75075826</v>
      </c>
      <c r="C243" s="68">
        <f>SUMPRODUCT(D243:R243,WACC!$D$11:$R$11)</f>
        <v>698310.56777794822</v>
      </c>
      <c r="D243" s="51">
        <f t="shared" ref="D243:R243" si="85">D187*D$215</f>
        <v>0</v>
      </c>
      <c r="E243" s="51">
        <f t="shared" si="85"/>
        <v>0</v>
      </c>
      <c r="F243" s="51">
        <f t="shared" si="85"/>
        <v>0</v>
      </c>
      <c r="G243" s="51">
        <f t="shared" si="85"/>
        <v>0</v>
      </c>
      <c r="H243" s="51">
        <f t="shared" si="85"/>
        <v>79079.583221064182</v>
      </c>
      <c r="I243" s="51">
        <f t="shared" si="85"/>
        <v>83428.340240533085</v>
      </c>
      <c r="J243" s="51">
        <f t="shared" si="85"/>
        <v>88016.244797761668</v>
      </c>
      <c r="K243" s="51">
        <f t="shared" si="85"/>
        <v>92856.448132186983</v>
      </c>
      <c r="L243" s="51">
        <f t="shared" si="85"/>
        <v>92856.448132186983</v>
      </c>
      <c r="M243" s="51">
        <f t="shared" si="85"/>
        <v>92856.448132186983</v>
      </c>
      <c r="N243" s="51">
        <f t="shared" si="85"/>
        <v>92856.448132186983</v>
      </c>
      <c r="O243" s="51">
        <f t="shared" si="85"/>
        <v>92856.448132186983</v>
      </c>
      <c r="P243" s="51">
        <f t="shared" si="85"/>
        <v>92856.448132186983</v>
      </c>
      <c r="Q243" s="51">
        <f t="shared" si="85"/>
        <v>92856.448132186983</v>
      </c>
      <c r="R243" s="51">
        <f t="shared" si="85"/>
        <v>92856.448132186983</v>
      </c>
    </row>
    <row r="244" spans="1:18" x14ac:dyDescent="0.3">
      <c r="A244">
        <v>26</v>
      </c>
      <c r="B244" s="50" t="str">
        <f t="shared" si="61"/>
        <v>75079446</v>
      </c>
      <c r="C244" s="68">
        <f>SUMPRODUCT(D244:R244,WACC!$D$11:$R$11)</f>
        <v>33465.279826022386</v>
      </c>
      <c r="D244" s="51">
        <f t="shared" ref="D244:R244" si="86">D188*D$215</f>
        <v>2577.2106140146611</v>
      </c>
      <c r="E244" s="51">
        <f t="shared" si="86"/>
        <v>2588.0719826778927</v>
      </c>
      <c r="F244" s="51">
        <f t="shared" si="86"/>
        <v>2598.9791253762755</v>
      </c>
      <c r="G244" s="51">
        <f t="shared" si="86"/>
        <v>2559.9944384956311</v>
      </c>
      <c r="H244" s="51">
        <f t="shared" si="86"/>
        <v>2700.7740598687974</v>
      </c>
      <c r="I244" s="51">
        <f t="shared" si="86"/>
        <v>2849.2954565739519</v>
      </c>
      <c r="J244" s="51">
        <f t="shared" si="86"/>
        <v>3005.9843655516142</v>
      </c>
      <c r="K244" s="51">
        <f t="shared" si="86"/>
        <v>3171.2899359358585</v>
      </c>
      <c r="L244" s="51">
        <f t="shared" si="86"/>
        <v>3171.2899359358585</v>
      </c>
      <c r="M244" s="51">
        <f t="shared" si="86"/>
        <v>3171.2899359358585</v>
      </c>
      <c r="N244" s="51">
        <f t="shared" si="86"/>
        <v>3171.2899359358585</v>
      </c>
      <c r="O244" s="51">
        <f t="shared" si="86"/>
        <v>3171.2899359358585</v>
      </c>
      <c r="P244" s="51">
        <f t="shared" si="86"/>
        <v>3171.2899359358585</v>
      </c>
      <c r="Q244" s="51">
        <f t="shared" si="86"/>
        <v>3171.2899359358585</v>
      </c>
      <c r="R244" s="51">
        <f t="shared" si="86"/>
        <v>3171.2899359358585</v>
      </c>
    </row>
    <row r="245" spans="1:18" x14ac:dyDescent="0.3">
      <c r="A245">
        <v>27</v>
      </c>
      <c r="B245" s="50" t="str">
        <f t="shared" si="61"/>
        <v>75091372</v>
      </c>
      <c r="C245" s="68">
        <f>SUMPRODUCT(D245:R245,WACC!$D$11:$R$11)</f>
        <v>657581.63589437504</v>
      </c>
      <c r="D245" s="51">
        <f t="shared" ref="D245:R245" si="87">D189*D$215</f>
        <v>50641.332760956015</v>
      </c>
      <c r="E245" s="51">
        <f t="shared" si="87"/>
        <v>50854.755048495528</v>
      </c>
      <c r="F245" s="51">
        <f t="shared" si="87"/>
        <v>51069.076780625757</v>
      </c>
      <c r="G245" s="51">
        <f t="shared" si="87"/>
        <v>50303.040628916373</v>
      </c>
      <c r="H245" s="51">
        <f t="shared" si="87"/>
        <v>53069.313440750819</v>
      </c>
      <c r="I245" s="51">
        <f t="shared" si="87"/>
        <v>55987.709567077218</v>
      </c>
      <c r="J245" s="51">
        <f t="shared" si="87"/>
        <v>59066.594597403971</v>
      </c>
      <c r="K245" s="51">
        <f t="shared" si="87"/>
        <v>62314.794163068385</v>
      </c>
      <c r="L245" s="51">
        <f t="shared" si="87"/>
        <v>62314.794163068385</v>
      </c>
      <c r="M245" s="51">
        <f t="shared" si="87"/>
        <v>62314.794163068385</v>
      </c>
      <c r="N245" s="51">
        <f t="shared" si="87"/>
        <v>62314.794163068385</v>
      </c>
      <c r="O245" s="51">
        <f t="shared" si="87"/>
        <v>62314.794163068385</v>
      </c>
      <c r="P245" s="51">
        <f t="shared" si="87"/>
        <v>62314.794163068385</v>
      </c>
      <c r="Q245" s="51">
        <f t="shared" si="87"/>
        <v>62314.794163068385</v>
      </c>
      <c r="R245" s="51">
        <f t="shared" si="87"/>
        <v>62314.794163068385</v>
      </c>
    </row>
    <row r="246" spans="1:18" x14ac:dyDescent="0.3">
      <c r="A246">
        <v>28</v>
      </c>
      <c r="B246" s="50" t="str">
        <f t="shared" si="61"/>
        <v>75084806</v>
      </c>
      <c r="C246" s="68">
        <f>SUMPRODUCT(D246:R246,WACC!$D$11:$R$11)</f>
        <v>27117.294314520714</v>
      </c>
      <c r="D246" s="51">
        <f t="shared" ref="D246:R246" si="88">D190*D$215</f>
        <v>2088.3428763801503</v>
      </c>
      <c r="E246" s="51">
        <f t="shared" si="88"/>
        <v>2097.1439661134664</v>
      </c>
      <c r="F246" s="51">
        <f t="shared" si="88"/>
        <v>2105.9821470645948</v>
      </c>
      <c r="G246" s="51">
        <f t="shared" si="88"/>
        <v>2074.3924148586257</v>
      </c>
      <c r="H246" s="51">
        <f t="shared" si="88"/>
        <v>2188.4677325045409</v>
      </c>
      <c r="I246" s="51">
        <f t="shared" si="88"/>
        <v>2308.8162981640935</v>
      </c>
      <c r="J246" s="51">
        <f t="shared" si="88"/>
        <v>2435.783091289918</v>
      </c>
      <c r="K246" s="51">
        <f t="shared" si="88"/>
        <v>2569.7320624995837</v>
      </c>
      <c r="L246" s="51">
        <f t="shared" si="88"/>
        <v>2569.7320624995837</v>
      </c>
      <c r="M246" s="51">
        <f t="shared" si="88"/>
        <v>2569.7320624995837</v>
      </c>
      <c r="N246" s="51">
        <f t="shared" si="88"/>
        <v>2569.7320624995837</v>
      </c>
      <c r="O246" s="51">
        <f t="shared" si="88"/>
        <v>2569.7320624995837</v>
      </c>
      <c r="P246" s="51">
        <f t="shared" si="88"/>
        <v>2569.7320624995837</v>
      </c>
      <c r="Q246" s="51">
        <f t="shared" si="88"/>
        <v>2569.7320624995837</v>
      </c>
      <c r="R246" s="51">
        <f t="shared" si="88"/>
        <v>2569.7320624995837</v>
      </c>
    </row>
    <row r="247" spans="1:18" x14ac:dyDescent="0.3">
      <c r="A247">
        <v>29</v>
      </c>
      <c r="B247" s="50" t="str">
        <f t="shared" si="61"/>
        <v>75084512</v>
      </c>
      <c r="C247" s="68">
        <f>SUMPRODUCT(D247:R247,WACC!$D$11:$R$11)</f>
        <v>45878.411001373279</v>
      </c>
      <c r="D247" s="51">
        <f t="shared" ref="D247:R247" si="89">D191*D$215</f>
        <v>3533.1641749765035</v>
      </c>
      <c r="E247" s="51">
        <f t="shared" si="89"/>
        <v>3548.0543040344323</v>
      </c>
      <c r="F247" s="51">
        <f t="shared" si="89"/>
        <v>3563.0071858919423</v>
      </c>
      <c r="G247" s="51">
        <f t="shared" si="89"/>
        <v>3509.5620781035632</v>
      </c>
      <c r="H247" s="51">
        <f t="shared" si="89"/>
        <v>3702.5604741592138</v>
      </c>
      <c r="I247" s="51">
        <f t="shared" si="89"/>
        <v>3906.1722687104912</v>
      </c>
      <c r="J247" s="51">
        <f t="shared" si="89"/>
        <v>4120.9811154557119</v>
      </c>
      <c r="K247" s="51">
        <f t="shared" si="89"/>
        <v>4347.602764470209</v>
      </c>
      <c r="L247" s="51">
        <f t="shared" si="89"/>
        <v>4347.602764470209</v>
      </c>
      <c r="M247" s="51">
        <f t="shared" si="89"/>
        <v>4347.602764470209</v>
      </c>
      <c r="N247" s="51">
        <f t="shared" si="89"/>
        <v>4347.602764470209</v>
      </c>
      <c r="O247" s="51">
        <f t="shared" si="89"/>
        <v>4347.602764470209</v>
      </c>
      <c r="P247" s="51">
        <f t="shared" si="89"/>
        <v>4347.602764470209</v>
      </c>
      <c r="Q247" s="51">
        <f t="shared" si="89"/>
        <v>4347.602764470209</v>
      </c>
      <c r="R247" s="51">
        <f t="shared" si="89"/>
        <v>4347.602764470209</v>
      </c>
    </row>
    <row r="248" spans="1:18" x14ac:dyDescent="0.3">
      <c r="A248">
        <v>30</v>
      </c>
      <c r="B248" s="50" t="str">
        <f t="shared" si="61"/>
        <v>75089909</v>
      </c>
      <c r="C248" s="68">
        <f>SUMPRODUCT(D248:R248,WACC!$D$11:$R$11)</f>
        <v>87439.716384409869</v>
      </c>
      <c r="D248" s="51">
        <f t="shared" ref="D248:R248" si="90">D192*D$215</f>
        <v>6733.8616716750603</v>
      </c>
      <c r="E248" s="51">
        <f t="shared" si="90"/>
        <v>6762.2407858016059</v>
      </c>
      <c r="F248" s="51">
        <f t="shared" si="90"/>
        <v>6790.7395005611725</v>
      </c>
      <c r="G248" s="51">
        <f t="shared" si="90"/>
        <v>6688.8784080527548</v>
      </c>
      <c r="H248" s="51">
        <f t="shared" si="90"/>
        <v>7056.7142734502495</v>
      </c>
      <c r="I248" s="51">
        <f t="shared" si="90"/>
        <v>7444.7782272683426</v>
      </c>
      <c r="J248" s="51">
        <f t="shared" si="90"/>
        <v>7854.1826557630884</v>
      </c>
      <c r="K248" s="51">
        <f t="shared" si="90"/>
        <v>8286.1011177124747</v>
      </c>
      <c r="L248" s="51">
        <f t="shared" si="90"/>
        <v>8286.1011177124747</v>
      </c>
      <c r="M248" s="51">
        <f t="shared" si="90"/>
        <v>8286.1011177124747</v>
      </c>
      <c r="N248" s="51">
        <f t="shared" si="90"/>
        <v>8286.1011177124747</v>
      </c>
      <c r="O248" s="51">
        <f t="shared" si="90"/>
        <v>8286.1011177124747</v>
      </c>
      <c r="P248" s="51">
        <f t="shared" si="90"/>
        <v>8286.1011177124747</v>
      </c>
      <c r="Q248" s="51">
        <f t="shared" si="90"/>
        <v>8286.1011177124747</v>
      </c>
      <c r="R248" s="51">
        <f t="shared" si="90"/>
        <v>8286.1011177124747</v>
      </c>
    </row>
    <row r="249" spans="1:18" x14ac:dyDescent="0.3">
      <c r="A249">
        <v>31</v>
      </c>
      <c r="B249" s="50" t="str">
        <f t="shared" si="61"/>
        <v>75084775</v>
      </c>
      <c r="C249" s="68">
        <f>SUMPRODUCT(D249:R249,WACC!$D$11:$R$11)</f>
        <v>561829.3509724678</v>
      </c>
      <c r="D249" s="51">
        <f t="shared" ref="D249:R249" si="91">D193*D$215</f>
        <v>43267.307911924094</v>
      </c>
      <c r="E249" s="51">
        <f t="shared" si="91"/>
        <v>43449.653188534961</v>
      </c>
      <c r="F249" s="51">
        <f t="shared" si="91"/>
        <v>43632.766939116285</v>
      </c>
      <c r="G249" s="51">
        <f t="shared" si="91"/>
        <v>42978.275435029536</v>
      </c>
      <c r="H249" s="51">
        <f t="shared" si="91"/>
        <v>45341.743594191103</v>
      </c>
      <c r="I249" s="51">
        <f t="shared" si="91"/>
        <v>47835.183970311788</v>
      </c>
      <c r="J249" s="51">
        <f t="shared" si="91"/>
        <v>50465.744016220946</v>
      </c>
      <c r="K249" s="51">
        <f t="shared" si="91"/>
        <v>53240.964238610824</v>
      </c>
      <c r="L249" s="51">
        <f t="shared" si="91"/>
        <v>53240.964238610824</v>
      </c>
      <c r="M249" s="51">
        <f t="shared" si="91"/>
        <v>53240.964238610824</v>
      </c>
      <c r="N249" s="51">
        <f t="shared" si="91"/>
        <v>53240.964238610824</v>
      </c>
      <c r="O249" s="51">
        <f t="shared" si="91"/>
        <v>53240.964238610824</v>
      </c>
      <c r="P249" s="51">
        <f t="shared" si="91"/>
        <v>53240.964238610824</v>
      </c>
      <c r="Q249" s="51">
        <f t="shared" si="91"/>
        <v>53240.964238610824</v>
      </c>
      <c r="R249" s="51">
        <f t="shared" si="91"/>
        <v>53240.964238610824</v>
      </c>
    </row>
    <row r="250" spans="1:18" x14ac:dyDescent="0.3">
      <c r="A250">
        <v>32</v>
      </c>
      <c r="B250" s="50" t="str">
        <f t="shared" si="61"/>
        <v>75086649</v>
      </c>
      <c r="C250" s="68">
        <f>SUMPRODUCT(D250:R250,WACC!$D$11:$R$11)</f>
        <v>452586.42723819381</v>
      </c>
      <c r="D250" s="51">
        <f t="shared" ref="D250:R250" si="92">D194*D$215</f>
        <v>34854.349047763048</v>
      </c>
      <c r="E250" s="51">
        <f t="shared" si="92"/>
        <v>35001.238841117964</v>
      </c>
      <c r="F250" s="51">
        <f t="shared" si="92"/>
        <v>35148.747685236449</v>
      </c>
      <c r="G250" s="51">
        <f t="shared" si="92"/>
        <v>34621.516469957904</v>
      </c>
      <c r="H250" s="51">
        <f t="shared" si="92"/>
        <v>36525.428410825123</v>
      </c>
      <c r="I250" s="51">
        <f t="shared" si="92"/>
        <v>38534.040579994653</v>
      </c>
      <c r="J250" s="51">
        <f t="shared" si="92"/>
        <v>40653.110669075686</v>
      </c>
      <c r="K250" s="51">
        <f t="shared" si="92"/>
        <v>42888.712997570219</v>
      </c>
      <c r="L250" s="51">
        <f t="shared" si="92"/>
        <v>42888.712997570219</v>
      </c>
      <c r="M250" s="51">
        <f t="shared" si="92"/>
        <v>42888.712997570219</v>
      </c>
      <c r="N250" s="51">
        <f t="shared" si="92"/>
        <v>42888.712997570219</v>
      </c>
      <c r="O250" s="51">
        <f t="shared" si="92"/>
        <v>42888.712997570219</v>
      </c>
      <c r="P250" s="51">
        <f t="shared" si="92"/>
        <v>42888.712997570219</v>
      </c>
      <c r="Q250" s="51">
        <f t="shared" si="92"/>
        <v>42888.712997570219</v>
      </c>
      <c r="R250" s="51">
        <f t="shared" si="92"/>
        <v>42888.712997570219</v>
      </c>
    </row>
    <row r="251" spans="1:18" x14ac:dyDescent="0.3">
      <c r="A251">
        <v>33</v>
      </c>
      <c r="B251" s="50" t="str">
        <f t="shared" si="61"/>
        <v>75079264</v>
      </c>
      <c r="C251" s="68">
        <f>SUMPRODUCT(D251:R251,WACC!$D$11:$R$11)</f>
        <v>306897.55057517882</v>
      </c>
      <c r="D251" s="51">
        <f t="shared" ref="D251:R251" si="93">D195*D$215</f>
        <v>23634.633532704618</v>
      </c>
      <c r="E251" s="51">
        <f t="shared" si="93"/>
        <v>23734.239077794002</v>
      </c>
      <c r="F251" s="51">
        <f t="shared" si="93"/>
        <v>23834.264399420172</v>
      </c>
      <c r="G251" s="51">
        <f t="shared" si="93"/>
        <v>23476.750433428868</v>
      </c>
      <c r="H251" s="51">
        <f t="shared" si="93"/>
        <v>24767.787627647394</v>
      </c>
      <c r="I251" s="51">
        <f t="shared" si="93"/>
        <v>26129.821744612193</v>
      </c>
      <c r="J251" s="51">
        <f t="shared" si="93"/>
        <v>27566.757058392217</v>
      </c>
      <c r="K251" s="51">
        <f t="shared" si="93"/>
        <v>29082.712547517058</v>
      </c>
      <c r="L251" s="51">
        <f t="shared" si="93"/>
        <v>29082.712547517058</v>
      </c>
      <c r="M251" s="51">
        <f t="shared" si="93"/>
        <v>29082.712547517058</v>
      </c>
      <c r="N251" s="51">
        <f t="shared" si="93"/>
        <v>29082.712547517058</v>
      </c>
      <c r="O251" s="51">
        <f t="shared" si="93"/>
        <v>29082.712547517058</v>
      </c>
      <c r="P251" s="51">
        <f t="shared" si="93"/>
        <v>29082.712547517058</v>
      </c>
      <c r="Q251" s="51">
        <f t="shared" si="93"/>
        <v>29082.712547517058</v>
      </c>
      <c r="R251" s="51">
        <f t="shared" si="93"/>
        <v>29082.712547517058</v>
      </c>
    </row>
    <row r="252" spans="1:18" x14ac:dyDescent="0.3">
      <c r="A252">
        <v>34</v>
      </c>
      <c r="B252" s="50" t="str">
        <f t="shared" si="61"/>
        <v>75078492</v>
      </c>
      <c r="C252" s="68">
        <f>SUMPRODUCT(D252:R252,WACC!$D$11:$R$11)</f>
        <v>104495.89019067855</v>
      </c>
      <c r="D252" s="51">
        <f t="shared" ref="D252:R252" si="94">D196*D$215</f>
        <v>1000.7</v>
      </c>
      <c r="E252" s="51">
        <f t="shared" si="94"/>
        <v>2009.8346786112018</v>
      </c>
      <c r="F252" s="51">
        <f t="shared" si="94"/>
        <v>4036.6098084822547</v>
      </c>
      <c r="G252" s="51">
        <f t="shared" si="94"/>
        <v>5964.0909920325312</v>
      </c>
      <c r="H252" s="51">
        <f t="shared" si="94"/>
        <v>10486.782054263769</v>
      </c>
      <c r="I252" s="51">
        <f t="shared" si="94"/>
        <v>11063.472841095994</v>
      </c>
      <c r="J252" s="51">
        <f t="shared" si="94"/>
        <v>11671.877099410349</v>
      </c>
      <c r="K252" s="51">
        <f t="shared" si="94"/>
        <v>12313.738821475148</v>
      </c>
      <c r="L252" s="51">
        <f t="shared" si="94"/>
        <v>12313.738821475148</v>
      </c>
      <c r="M252" s="51">
        <f t="shared" si="94"/>
        <v>12313.738821475148</v>
      </c>
      <c r="N252" s="51">
        <f t="shared" si="94"/>
        <v>12313.738821475148</v>
      </c>
      <c r="O252" s="51">
        <f t="shared" si="94"/>
        <v>12313.738821475148</v>
      </c>
      <c r="P252" s="51">
        <f t="shared" si="94"/>
        <v>12313.738821475148</v>
      </c>
      <c r="Q252" s="51">
        <f t="shared" si="94"/>
        <v>12313.738821475148</v>
      </c>
      <c r="R252" s="51">
        <f t="shared" si="94"/>
        <v>12313.738821475148</v>
      </c>
    </row>
    <row r="253" spans="1:18" x14ac:dyDescent="0.3">
      <c r="A253">
        <v>35</v>
      </c>
      <c r="B253" s="50" t="str">
        <f t="shared" si="61"/>
        <v>75080863</v>
      </c>
      <c r="C253" s="68">
        <f>SUMPRODUCT(D253:R253,WACC!$D$11:$R$11)</f>
        <v>756131.53122812358</v>
      </c>
      <c r="D253" s="51">
        <f t="shared" ref="D253:R253" si="95">D197*D$215</f>
        <v>58230.805718736985</v>
      </c>
      <c r="E253" s="51">
        <f t="shared" si="95"/>
        <v>58476.212999394964</v>
      </c>
      <c r="F253" s="51">
        <f t="shared" si="95"/>
        <v>58722.654521854274</v>
      </c>
      <c r="G253" s="51">
        <f t="shared" si="95"/>
        <v>57841.814704026459</v>
      </c>
      <c r="H253" s="51">
        <f t="shared" si="95"/>
        <v>61022.660978971828</v>
      </c>
      <c r="I253" s="51">
        <f t="shared" si="95"/>
        <v>64378.428858237632</v>
      </c>
      <c r="J253" s="51">
        <f t="shared" si="95"/>
        <v>67918.737658512982</v>
      </c>
      <c r="K253" s="51">
        <f t="shared" si="95"/>
        <v>71653.735683480438</v>
      </c>
      <c r="L253" s="51">
        <f t="shared" si="95"/>
        <v>71653.735683480438</v>
      </c>
      <c r="M253" s="51">
        <f t="shared" si="95"/>
        <v>71653.735683480438</v>
      </c>
      <c r="N253" s="51">
        <f t="shared" si="95"/>
        <v>71653.735683480438</v>
      </c>
      <c r="O253" s="51">
        <f t="shared" si="95"/>
        <v>71653.735683480438</v>
      </c>
      <c r="P253" s="51">
        <f t="shared" si="95"/>
        <v>71653.735683480438</v>
      </c>
      <c r="Q253" s="51">
        <f t="shared" si="95"/>
        <v>71653.735683480438</v>
      </c>
      <c r="R253" s="51">
        <f t="shared" si="95"/>
        <v>71653.735683480438</v>
      </c>
    </row>
    <row r="254" spans="1:18" x14ac:dyDescent="0.3">
      <c r="A254">
        <v>36</v>
      </c>
      <c r="B254" s="50" t="str">
        <f t="shared" si="61"/>
        <v>75077056</v>
      </c>
      <c r="C254" s="68">
        <f>SUMPRODUCT(D254:R254,WACC!$D$11:$R$11)</f>
        <v>220725.0568718203</v>
      </c>
      <c r="D254" s="51">
        <f t="shared" ref="D254:R254" si="96">D198*D$215</f>
        <v>16998.362550870021</v>
      </c>
      <c r="E254" s="51">
        <f t="shared" si="96"/>
        <v>17070.000266985378</v>
      </c>
      <c r="F254" s="51">
        <f t="shared" si="96"/>
        <v>17141.939892320217</v>
      </c>
      <c r="G254" s="51">
        <f t="shared" si="96"/>
        <v>16884.810793935412</v>
      </c>
      <c r="H254" s="51">
        <f t="shared" si="96"/>
        <v>17813.342994936847</v>
      </c>
      <c r="I254" s="51">
        <f t="shared" si="96"/>
        <v>18792.937186434865</v>
      </c>
      <c r="J254" s="51">
        <f t="shared" si="96"/>
        <v>19826.401377533155</v>
      </c>
      <c r="K254" s="51">
        <f t="shared" si="96"/>
        <v>20916.697995818678</v>
      </c>
      <c r="L254" s="51">
        <f t="shared" si="96"/>
        <v>20916.697995818678</v>
      </c>
      <c r="M254" s="51">
        <f t="shared" si="96"/>
        <v>20916.697995818678</v>
      </c>
      <c r="N254" s="51">
        <f t="shared" si="96"/>
        <v>20916.697995818678</v>
      </c>
      <c r="O254" s="51">
        <f t="shared" si="96"/>
        <v>20916.697995818678</v>
      </c>
      <c r="P254" s="51">
        <f t="shared" si="96"/>
        <v>20916.697995818678</v>
      </c>
      <c r="Q254" s="51">
        <f t="shared" si="96"/>
        <v>20916.697995818678</v>
      </c>
      <c r="R254" s="51">
        <f t="shared" si="96"/>
        <v>20916.697995818678</v>
      </c>
    </row>
    <row r="255" spans="1:18" x14ac:dyDescent="0.3">
      <c r="A255">
        <v>37</v>
      </c>
      <c r="B255" s="50" t="str">
        <f t="shared" si="61"/>
        <v>75096058</v>
      </c>
      <c r="C255" s="68">
        <f>SUMPRODUCT(D255:R255,WACC!$D$11:$R$11)</f>
        <v>17490.759645342729</v>
      </c>
      <c r="D255" s="51">
        <f t="shared" ref="D255:R255" si="97">D199*D$215</f>
        <v>1346.989227028806</v>
      </c>
      <c r="E255" s="51">
        <f t="shared" si="97"/>
        <v>1352.6659639243487</v>
      </c>
      <c r="F255" s="51">
        <f t="shared" si="97"/>
        <v>1358.366624798743</v>
      </c>
      <c r="G255" s="51">
        <f t="shared" si="97"/>
        <v>1337.991125426762</v>
      </c>
      <c r="H255" s="51">
        <f t="shared" si="97"/>
        <v>1411.5701462268721</v>
      </c>
      <c r="I255" s="51">
        <f t="shared" si="97"/>
        <v>1489.1954362428382</v>
      </c>
      <c r="J255" s="51">
        <f t="shared" si="97"/>
        <v>1571.0895085550083</v>
      </c>
      <c r="K255" s="51">
        <f t="shared" si="97"/>
        <v>1657.4871127184381</v>
      </c>
      <c r="L255" s="51">
        <f t="shared" si="97"/>
        <v>1657.4871127184381</v>
      </c>
      <c r="M255" s="51">
        <f t="shared" si="97"/>
        <v>1657.4871127184381</v>
      </c>
      <c r="N255" s="51">
        <f t="shared" si="97"/>
        <v>1657.4871127184381</v>
      </c>
      <c r="O255" s="51">
        <f t="shared" si="97"/>
        <v>1657.4871127184381</v>
      </c>
      <c r="P255" s="51">
        <f t="shared" si="97"/>
        <v>1657.4871127184381</v>
      </c>
      <c r="Q255" s="51">
        <f t="shared" si="97"/>
        <v>1657.4871127184381</v>
      </c>
      <c r="R255" s="51">
        <f t="shared" si="97"/>
        <v>1657.4871127184381</v>
      </c>
    </row>
    <row r="256" spans="1:18" x14ac:dyDescent="0.3">
      <c r="A256">
        <v>38</v>
      </c>
      <c r="B256" s="50" t="str">
        <f t="shared" si="61"/>
        <v>75043272</v>
      </c>
      <c r="C256" s="68">
        <f>SUMPRODUCT(D256:R256,WACC!$D$11:$R$11)</f>
        <v>16352.004799363322</v>
      </c>
      <c r="D256" s="51">
        <f t="shared" ref="D256:R256" si="98">D200*D$215</f>
        <v>1259.2920348619959</v>
      </c>
      <c r="E256" s="51">
        <f t="shared" si="98"/>
        <v>1264.5991816550943</v>
      </c>
      <c r="F256" s="51">
        <f t="shared" si="98"/>
        <v>1269.9286948304962</v>
      </c>
      <c r="G256" s="51">
        <f t="shared" si="98"/>
        <v>1250.8797644080387</v>
      </c>
      <c r="H256" s="51">
        <f t="shared" si="98"/>
        <v>1319.6683433864378</v>
      </c>
      <c r="I256" s="51">
        <f t="shared" si="98"/>
        <v>1392.2397548420308</v>
      </c>
      <c r="J256" s="51">
        <f t="shared" si="98"/>
        <v>1468.8020249001288</v>
      </c>
      <c r="K256" s="51">
        <f t="shared" si="98"/>
        <v>1549.5746194918152</v>
      </c>
      <c r="L256" s="51">
        <f t="shared" si="98"/>
        <v>1549.5746194918152</v>
      </c>
      <c r="M256" s="51">
        <f t="shared" si="98"/>
        <v>1549.5746194918152</v>
      </c>
      <c r="N256" s="51">
        <f t="shared" si="98"/>
        <v>1549.5746194918152</v>
      </c>
      <c r="O256" s="51">
        <f t="shared" si="98"/>
        <v>1549.5746194918152</v>
      </c>
      <c r="P256" s="51">
        <f t="shared" si="98"/>
        <v>1549.5746194918152</v>
      </c>
      <c r="Q256" s="51">
        <f t="shared" si="98"/>
        <v>1549.5746194918152</v>
      </c>
      <c r="R256" s="51">
        <f t="shared" si="98"/>
        <v>1549.5746194918152</v>
      </c>
    </row>
    <row r="257" spans="1:18" x14ac:dyDescent="0.3">
      <c r="A257">
        <v>39</v>
      </c>
      <c r="B257" s="50" t="str">
        <f t="shared" si="61"/>
        <v>75090268</v>
      </c>
      <c r="C257" s="68">
        <f>SUMPRODUCT(D257:R257,WACC!$D$11:$R$11)</f>
        <v>29095.479852815879</v>
      </c>
      <c r="D257" s="51">
        <f t="shared" ref="D257:R257" si="99">D201*D$215</f>
        <v>2240.6858656600507</v>
      </c>
      <c r="E257" s="51">
        <f t="shared" si="99"/>
        <v>2250.1289880471322</v>
      </c>
      <c r="F257" s="51">
        <f t="shared" si="99"/>
        <v>2259.6119074275289</v>
      </c>
      <c r="G257" s="51">
        <f t="shared" si="99"/>
        <v>2225.7177288161161</v>
      </c>
      <c r="H257" s="51">
        <f t="shared" si="99"/>
        <v>2348.1147521980911</v>
      </c>
      <c r="I257" s="51">
        <f t="shared" si="99"/>
        <v>2477.2426521592524</v>
      </c>
      <c r="J257" s="51">
        <f t="shared" si="99"/>
        <v>2613.4715741351051</v>
      </c>
      <c r="K257" s="51">
        <f t="shared" si="99"/>
        <v>2757.1920186578209</v>
      </c>
      <c r="L257" s="51">
        <f t="shared" si="99"/>
        <v>2757.1920186578209</v>
      </c>
      <c r="M257" s="51">
        <f t="shared" si="99"/>
        <v>2757.1920186578209</v>
      </c>
      <c r="N257" s="51">
        <f t="shared" si="99"/>
        <v>2757.1920186578209</v>
      </c>
      <c r="O257" s="51">
        <f t="shared" si="99"/>
        <v>2757.1920186578209</v>
      </c>
      <c r="P257" s="51">
        <f t="shared" si="99"/>
        <v>2757.1920186578209</v>
      </c>
      <c r="Q257" s="51">
        <f t="shared" si="99"/>
        <v>2757.1920186578209</v>
      </c>
      <c r="R257" s="51">
        <f t="shared" si="99"/>
        <v>2757.1920186578209</v>
      </c>
    </row>
    <row r="258" spans="1:18" x14ac:dyDescent="0.3">
      <c r="A258">
        <v>40</v>
      </c>
      <c r="B258" s="50" t="str">
        <f t="shared" si="61"/>
        <v>75060522</v>
      </c>
      <c r="C258" s="68">
        <f>SUMPRODUCT(D258:R258,WACC!$D$11:$R$11)</f>
        <v>356408.78810923651</v>
      </c>
      <c r="D258" s="51">
        <f t="shared" ref="D258:R258" si="100">D202*D$215</f>
        <v>27447.567043170984</v>
      </c>
      <c r="E258" s="51">
        <f t="shared" si="100"/>
        <v>27563.24177419355</v>
      </c>
      <c r="F258" s="51">
        <f t="shared" si="100"/>
        <v>27679.40400355708</v>
      </c>
      <c r="G258" s="51">
        <f t="shared" si="100"/>
        <v>27264.21294350372</v>
      </c>
      <c r="H258" s="51">
        <f t="shared" si="100"/>
        <v>28763.530878537738</v>
      </c>
      <c r="I258" s="51">
        <f t="shared" si="100"/>
        <v>30345.299543947604</v>
      </c>
      <c r="J258" s="51">
        <f t="shared" si="100"/>
        <v>32014.053083413371</v>
      </c>
      <c r="K258" s="51">
        <f t="shared" si="100"/>
        <v>33774.574982965562</v>
      </c>
      <c r="L258" s="51">
        <f t="shared" si="100"/>
        <v>33774.574982965562</v>
      </c>
      <c r="M258" s="51">
        <f t="shared" si="100"/>
        <v>33774.574982965562</v>
      </c>
      <c r="N258" s="51">
        <f t="shared" si="100"/>
        <v>33774.574982965562</v>
      </c>
      <c r="O258" s="51">
        <f t="shared" si="100"/>
        <v>33774.574982965562</v>
      </c>
      <c r="P258" s="51">
        <f t="shared" si="100"/>
        <v>33774.574982965562</v>
      </c>
      <c r="Q258" s="51">
        <f t="shared" si="100"/>
        <v>33774.574982965562</v>
      </c>
      <c r="R258" s="51">
        <f t="shared" si="100"/>
        <v>33774.574982965562</v>
      </c>
    </row>
    <row r="259" spans="1:18" x14ac:dyDescent="0.3">
      <c r="A259">
        <v>41</v>
      </c>
      <c r="B259" s="50" t="str">
        <f t="shared" si="61"/>
        <v>75093476</v>
      </c>
      <c r="C259" s="68">
        <f>SUMPRODUCT(D259:R259,WACC!$D$11:$R$11)</f>
        <v>221596.15376268566</v>
      </c>
      <c r="D259" s="51">
        <f t="shared" ref="D259:R259" si="101">D203*D$215</f>
        <v>17065.447008691521</v>
      </c>
      <c r="E259" s="51">
        <f t="shared" si="101"/>
        <v>17137.367444823631</v>
      </c>
      <c r="F259" s="51">
        <f t="shared" si="101"/>
        <v>17209.590981667418</v>
      </c>
      <c r="G259" s="51">
        <f t="shared" si="101"/>
        <v>16951.447116942407</v>
      </c>
      <c r="H259" s="51">
        <f t="shared" si="101"/>
        <v>17883.643793218303</v>
      </c>
      <c r="I259" s="51">
        <f t="shared" si="101"/>
        <v>18867.103977397972</v>
      </c>
      <c r="J259" s="51">
        <f t="shared" si="101"/>
        <v>19904.646760462416</v>
      </c>
      <c r="K259" s="51">
        <f t="shared" si="101"/>
        <v>20999.246261292268</v>
      </c>
      <c r="L259" s="51">
        <f t="shared" si="101"/>
        <v>20999.246261292268</v>
      </c>
      <c r="M259" s="51">
        <f t="shared" si="101"/>
        <v>20999.246261292268</v>
      </c>
      <c r="N259" s="51">
        <f t="shared" si="101"/>
        <v>20999.246261292268</v>
      </c>
      <c r="O259" s="51">
        <f t="shared" si="101"/>
        <v>20999.246261292268</v>
      </c>
      <c r="P259" s="51">
        <f t="shared" si="101"/>
        <v>20999.246261292268</v>
      </c>
      <c r="Q259" s="51">
        <f t="shared" si="101"/>
        <v>20999.246261292268</v>
      </c>
      <c r="R259" s="51">
        <f t="shared" si="101"/>
        <v>20999.246261292268</v>
      </c>
    </row>
    <row r="260" spans="1:18" x14ac:dyDescent="0.3">
      <c r="A260">
        <v>42</v>
      </c>
      <c r="B260" s="50" t="str">
        <f t="shared" si="61"/>
        <v>75088155</v>
      </c>
      <c r="C260" s="68">
        <f>SUMPRODUCT(D260:R260,WACC!$D$11:$R$11)</f>
        <v>238278.06398424256</v>
      </c>
      <c r="D260" s="51">
        <f t="shared" ref="D260:R260" si="102">D204*D$215</f>
        <v>18350.145547252825</v>
      </c>
      <c r="E260" s="51">
        <f t="shared" si="102"/>
        <v>18427.480203073676</v>
      </c>
      <c r="F260" s="51">
        <f t="shared" si="102"/>
        <v>18505.140777235367</v>
      </c>
      <c r="G260" s="51">
        <f t="shared" si="102"/>
        <v>18227.563665576836</v>
      </c>
      <c r="H260" s="51">
        <f t="shared" si="102"/>
        <v>19229.936746083655</v>
      </c>
      <c r="I260" s="51">
        <f t="shared" si="102"/>
        <v>20287.432486478487</v>
      </c>
      <c r="J260" s="51">
        <f t="shared" si="102"/>
        <v>21403.082200842113</v>
      </c>
      <c r="K260" s="51">
        <f t="shared" si="102"/>
        <v>22580.083901761413</v>
      </c>
      <c r="L260" s="51">
        <f t="shared" si="102"/>
        <v>22580.083901761413</v>
      </c>
      <c r="M260" s="51">
        <f t="shared" si="102"/>
        <v>22580.083901761413</v>
      </c>
      <c r="N260" s="51">
        <f t="shared" si="102"/>
        <v>22580.083901761413</v>
      </c>
      <c r="O260" s="51">
        <f t="shared" si="102"/>
        <v>22580.083901761413</v>
      </c>
      <c r="P260" s="51">
        <f t="shared" si="102"/>
        <v>22580.083901761413</v>
      </c>
      <c r="Q260" s="51">
        <f t="shared" si="102"/>
        <v>22580.083901761413</v>
      </c>
      <c r="R260" s="51">
        <f t="shared" si="102"/>
        <v>22580.083901761413</v>
      </c>
    </row>
    <row r="261" spans="1:18" x14ac:dyDescent="0.3">
      <c r="A261">
        <v>43</v>
      </c>
      <c r="B261" s="50" t="str">
        <f t="shared" si="61"/>
        <v>75089798</v>
      </c>
      <c r="C261" s="68">
        <f>SUMPRODUCT(D261:R261,WACC!$D$11:$R$11)</f>
        <v>169672.30785314162</v>
      </c>
      <c r="D261" s="51">
        <f t="shared" ref="D261:R261" si="103">D205*D$215</f>
        <v>13066.714964787256</v>
      </c>
      <c r="E261" s="51">
        <f t="shared" si="103"/>
        <v>13121.783187647334</v>
      </c>
      <c r="F261" s="51">
        <f t="shared" si="103"/>
        <v>13177.08348943292</v>
      </c>
      <c r="G261" s="51">
        <f t="shared" si="103"/>
        <v>12979.427237091428</v>
      </c>
      <c r="H261" s="51">
        <f t="shared" si="103"/>
        <v>13693.193964316062</v>
      </c>
      <c r="I261" s="51">
        <f t="shared" si="103"/>
        <v>14446.212264941181</v>
      </c>
      <c r="J261" s="51">
        <f t="shared" si="103"/>
        <v>15240.640667734871</v>
      </c>
      <c r="K261" s="51">
        <f t="shared" si="103"/>
        <v>16078.756403622574</v>
      </c>
      <c r="L261" s="51">
        <f t="shared" si="103"/>
        <v>16078.756403622574</v>
      </c>
      <c r="M261" s="51">
        <f t="shared" si="103"/>
        <v>16078.756403622574</v>
      </c>
      <c r="N261" s="51">
        <f t="shared" si="103"/>
        <v>16078.756403622574</v>
      </c>
      <c r="O261" s="51">
        <f t="shared" si="103"/>
        <v>16078.756403622574</v>
      </c>
      <c r="P261" s="51">
        <f t="shared" si="103"/>
        <v>16078.756403622574</v>
      </c>
      <c r="Q261" s="51">
        <f t="shared" si="103"/>
        <v>16078.756403622574</v>
      </c>
      <c r="R261" s="51">
        <f t="shared" si="103"/>
        <v>16078.756403622574</v>
      </c>
    </row>
    <row r="262" spans="1:18" x14ac:dyDescent="0.3">
      <c r="A262">
        <v>44</v>
      </c>
      <c r="B262" s="50">
        <f t="shared" si="61"/>
        <v>0</v>
      </c>
      <c r="C262" s="68">
        <f>SUMPRODUCT(D262:R262,WACC!$D$11:$R$11)</f>
        <v>0</v>
      </c>
      <c r="D262" s="51">
        <f t="shared" ref="D262:R262" si="104">D206*D$215</f>
        <v>0</v>
      </c>
      <c r="E262" s="51">
        <f t="shared" si="104"/>
        <v>0</v>
      </c>
      <c r="F262" s="51">
        <f t="shared" si="104"/>
        <v>0</v>
      </c>
      <c r="G262" s="51">
        <f t="shared" si="104"/>
        <v>0</v>
      </c>
      <c r="H262" s="51">
        <f t="shared" si="104"/>
        <v>0</v>
      </c>
      <c r="I262" s="51">
        <f t="shared" si="104"/>
        <v>0</v>
      </c>
      <c r="J262" s="51">
        <f t="shared" si="104"/>
        <v>0</v>
      </c>
      <c r="K262" s="51">
        <f t="shared" si="104"/>
        <v>0</v>
      </c>
      <c r="L262" s="51">
        <f t="shared" si="104"/>
        <v>0</v>
      </c>
      <c r="M262" s="51">
        <f t="shared" si="104"/>
        <v>0</v>
      </c>
      <c r="N262" s="51">
        <f t="shared" si="104"/>
        <v>0</v>
      </c>
      <c r="O262" s="51">
        <f t="shared" si="104"/>
        <v>0</v>
      </c>
      <c r="P262" s="51">
        <f t="shared" si="104"/>
        <v>0</v>
      </c>
      <c r="Q262" s="51">
        <f t="shared" si="104"/>
        <v>0</v>
      </c>
      <c r="R262" s="51">
        <f t="shared" si="104"/>
        <v>0</v>
      </c>
    </row>
    <row r="263" spans="1:18" x14ac:dyDescent="0.3">
      <c r="A263">
        <v>45</v>
      </c>
      <c r="B263" s="50" t="str">
        <f t="shared" si="61"/>
        <v>75081423</v>
      </c>
      <c r="C263" s="68">
        <f>SUMPRODUCT(D263:R263,WACC!$D$11:$R$11)</f>
        <v>208892.45161955635</v>
      </c>
      <c r="D263" s="51">
        <f t="shared" ref="D263:R263" si="105">D207*D$215</f>
        <v>16087.116148445877</v>
      </c>
      <c r="E263" s="51">
        <f t="shared" si="105"/>
        <v>16154.913517534122</v>
      </c>
      <c r="F263" s="51">
        <f t="shared" si="105"/>
        <v>16222.996611124687</v>
      </c>
      <c r="G263" s="51">
        <f t="shared" si="105"/>
        <v>15979.651661957818</v>
      </c>
      <c r="H263" s="51">
        <f t="shared" si="105"/>
        <v>16858.407207992317</v>
      </c>
      <c r="I263" s="51">
        <f t="shared" si="105"/>
        <v>17785.487418795619</v>
      </c>
      <c r="J263" s="51">
        <f t="shared" si="105"/>
        <v>18763.549772019571</v>
      </c>
      <c r="K263" s="51">
        <f t="shared" si="105"/>
        <v>19795.39788574975</v>
      </c>
      <c r="L263" s="51">
        <f t="shared" si="105"/>
        <v>19795.39788574975</v>
      </c>
      <c r="M263" s="51">
        <f t="shared" si="105"/>
        <v>19795.39788574975</v>
      </c>
      <c r="N263" s="51">
        <f t="shared" si="105"/>
        <v>19795.39788574975</v>
      </c>
      <c r="O263" s="51">
        <f t="shared" si="105"/>
        <v>19795.39788574975</v>
      </c>
      <c r="P263" s="51">
        <f t="shared" si="105"/>
        <v>19795.39788574975</v>
      </c>
      <c r="Q263" s="51">
        <f t="shared" si="105"/>
        <v>19795.39788574975</v>
      </c>
      <c r="R263" s="51">
        <f t="shared" si="105"/>
        <v>19795.39788574975</v>
      </c>
    </row>
    <row r="264" spans="1:18" x14ac:dyDescent="0.3">
      <c r="A264">
        <v>46</v>
      </c>
      <c r="B264" s="50">
        <f t="shared" si="61"/>
        <v>0</v>
      </c>
      <c r="C264" s="68">
        <f>SUMPRODUCT(D264:R264,WACC!$D$11:$R$11)</f>
        <v>0</v>
      </c>
      <c r="D264" s="51">
        <f t="shared" ref="D264:R264" si="106">D208*D$215</f>
        <v>0</v>
      </c>
      <c r="E264" s="51">
        <f t="shared" si="106"/>
        <v>0</v>
      </c>
      <c r="F264" s="51">
        <f t="shared" si="106"/>
        <v>0</v>
      </c>
      <c r="G264" s="51">
        <f t="shared" si="106"/>
        <v>0</v>
      </c>
      <c r="H264" s="51">
        <f t="shared" si="106"/>
        <v>0</v>
      </c>
      <c r="I264" s="51">
        <f t="shared" si="106"/>
        <v>0</v>
      </c>
      <c r="J264" s="51">
        <f t="shared" si="106"/>
        <v>0</v>
      </c>
      <c r="K264" s="51">
        <f t="shared" si="106"/>
        <v>0</v>
      </c>
      <c r="L264" s="51">
        <f t="shared" si="106"/>
        <v>0</v>
      </c>
      <c r="M264" s="51">
        <f t="shared" si="106"/>
        <v>0</v>
      </c>
      <c r="N264" s="51">
        <f t="shared" si="106"/>
        <v>0</v>
      </c>
      <c r="O264" s="51">
        <f t="shared" si="106"/>
        <v>0</v>
      </c>
      <c r="P264" s="51">
        <f t="shared" si="106"/>
        <v>0</v>
      </c>
      <c r="Q264" s="51">
        <f t="shared" si="106"/>
        <v>0</v>
      </c>
      <c r="R264" s="51">
        <f t="shared" si="106"/>
        <v>0</v>
      </c>
    </row>
    <row r="265" spans="1:18" x14ac:dyDescent="0.3">
      <c r="A265">
        <v>47</v>
      </c>
      <c r="B265" s="50" t="str">
        <f t="shared" si="61"/>
        <v>75078358</v>
      </c>
      <c r="C265" s="68">
        <f>SUMPRODUCT(D265:R265,WACC!$D$11:$R$11)</f>
        <v>243333.25328499594</v>
      </c>
      <c r="D265" s="51">
        <f t="shared" ref="D265:R265" si="107">D209*D$215</f>
        <v>18739.453139763205</v>
      </c>
      <c r="E265" s="51">
        <f t="shared" si="107"/>
        <v>18818.42848931031</v>
      </c>
      <c r="F265" s="51">
        <f t="shared" si="107"/>
        <v>18897.736671720231</v>
      </c>
      <c r="G265" s="51">
        <f t="shared" si="107"/>
        <v>18614.270621644428</v>
      </c>
      <c r="H265" s="51">
        <f t="shared" si="107"/>
        <v>19637.909552591747</v>
      </c>
      <c r="I265" s="51">
        <f t="shared" si="107"/>
        <v>20717.840598457209</v>
      </c>
      <c r="J265" s="51">
        <f t="shared" si="107"/>
        <v>21857.159384178627</v>
      </c>
      <c r="K265" s="51">
        <f t="shared" si="107"/>
        <v>23059.131769792799</v>
      </c>
      <c r="L265" s="51">
        <f t="shared" si="107"/>
        <v>23059.131769792799</v>
      </c>
      <c r="M265" s="51">
        <f t="shared" si="107"/>
        <v>23059.131769792799</v>
      </c>
      <c r="N265" s="51">
        <f t="shared" si="107"/>
        <v>23059.131769792799</v>
      </c>
      <c r="O265" s="51">
        <f t="shared" si="107"/>
        <v>23059.131769792799</v>
      </c>
      <c r="P265" s="51">
        <f t="shared" si="107"/>
        <v>23059.131769792799</v>
      </c>
      <c r="Q265" s="51">
        <f t="shared" si="107"/>
        <v>23059.131769792799</v>
      </c>
      <c r="R265" s="51">
        <f t="shared" si="107"/>
        <v>23059.131769792799</v>
      </c>
    </row>
    <row r="266" spans="1:18" x14ac:dyDescent="0.3">
      <c r="A266">
        <v>48</v>
      </c>
      <c r="B266" s="50" t="str">
        <f t="shared" si="61"/>
        <v>75074655</v>
      </c>
      <c r="C266" s="68">
        <f>SUMPRODUCT(D266:R266,WACC!$D$11:$R$11)</f>
        <v>484732.04265238193</v>
      </c>
      <c r="D266" s="51">
        <f t="shared" ref="D266:R266" si="108">D210*D$215</f>
        <v>37329.930356814533</v>
      </c>
      <c r="E266" s="51">
        <f t="shared" si="108"/>
        <v>37487.253213384072</v>
      </c>
      <c r="F266" s="51">
        <f t="shared" si="108"/>
        <v>37645.239089706462</v>
      </c>
      <c r="G266" s="51">
        <f t="shared" si="108"/>
        <v>37080.560503360866</v>
      </c>
      <c r="H266" s="51">
        <f t="shared" si="108"/>
        <v>39119.700584866485</v>
      </c>
      <c r="I266" s="51">
        <f t="shared" si="108"/>
        <v>41270.977382094781</v>
      </c>
      <c r="J266" s="51">
        <f t="shared" si="108"/>
        <v>43540.557535154061</v>
      </c>
      <c r="K266" s="51">
        <f t="shared" si="108"/>
        <v>45934.946801006372</v>
      </c>
      <c r="L266" s="51">
        <f t="shared" si="108"/>
        <v>45934.946801006372</v>
      </c>
      <c r="M266" s="51">
        <f t="shared" si="108"/>
        <v>45934.946801006372</v>
      </c>
      <c r="N266" s="51">
        <f t="shared" si="108"/>
        <v>45934.946801006372</v>
      </c>
      <c r="O266" s="51">
        <f t="shared" si="108"/>
        <v>45934.946801006372</v>
      </c>
      <c r="P266" s="51">
        <f t="shared" si="108"/>
        <v>45934.946801006372</v>
      </c>
      <c r="Q266" s="51">
        <f t="shared" si="108"/>
        <v>45934.946801006372</v>
      </c>
      <c r="R266" s="51">
        <f t="shared" si="108"/>
        <v>45934.946801006372</v>
      </c>
    </row>
    <row r="267" spans="1:18" x14ac:dyDescent="0.3">
      <c r="A267">
        <v>49</v>
      </c>
      <c r="B267" s="50" t="str">
        <f t="shared" si="61"/>
        <v>75081130</v>
      </c>
      <c r="C267" s="68">
        <f>SUMPRODUCT(D267:R267,WACC!$D$11:$R$11)</f>
        <v>62572.964407329309</v>
      </c>
      <c r="D267" s="51">
        <f t="shared" ref="D267:R267" si="109">D211*D$215</f>
        <v>4818.8363838372297</v>
      </c>
      <c r="E267" s="51">
        <f t="shared" si="109"/>
        <v>4839.1448360095255</v>
      </c>
      <c r="F267" s="51">
        <f t="shared" si="109"/>
        <v>4859.538875903997</v>
      </c>
      <c r="G267" s="51">
        <f t="shared" si="109"/>
        <v>4786.6457927654374</v>
      </c>
      <c r="H267" s="51">
        <f t="shared" si="109"/>
        <v>5049.8737796000378</v>
      </c>
      <c r="I267" s="51">
        <f t="shared" si="109"/>
        <v>5327.5772417576118</v>
      </c>
      <c r="J267" s="51">
        <f t="shared" si="109"/>
        <v>5620.5522168796979</v>
      </c>
      <c r="K267" s="51">
        <f t="shared" si="109"/>
        <v>5929.6385184364362</v>
      </c>
      <c r="L267" s="51">
        <f t="shared" si="109"/>
        <v>5929.6385184364362</v>
      </c>
      <c r="M267" s="51">
        <f t="shared" si="109"/>
        <v>5929.6385184364362</v>
      </c>
      <c r="N267" s="51">
        <f t="shared" si="109"/>
        <v>5929.6385184364362</v>
      </c>
      <c r="O267" s="51">
        <f t="shared" si="109"/>
        <v>5929.6385184364362</v>
      </c>
      <c r="P267" s="51">
        <f t="shared" si="109"/>
        <v>5929.6385184364362</v>
      </c>
      <c r="Q267" s="51">
        <f t="shared" si="109"/>
        <v>5929.6385184364362</v>
      </c>
      <c r="R267" s="51">
        <f t="shared" si="109"/>
        <v>5929.6385184364362</v>
      </c>
    </row>
    <row r="268" spans="1:18" x14ac:dyDescent="0.3">
      <c r="A268">
        <v>50</v>
      </c>
      <c r="B268" s="50" t="str">
        <f t="shared" si="61"/>
        <v>75085164</v>
      </c>
      <c r="C268" s="68">
        <f>SUMPRODUCT(D268:R268,WACC!$D$11:$R$11)</f>
        <v>74929.91979824999</v>
      </c>
      <c r="D268" s="51">
        <f t="shared" ref="D268:R268" si="110">D212*D$215</f>
        <v>5770.463764691307</v>
      </c>
      <c r="E268" s="51">
        <f t="shared" si="110"/>
        <v>5794.7827450514333</v>
      </c>
      <c r="F268" s="51">
        <f t="shared" si="110"/>
        <v>5819.2042150605494</v>
      </c>
      <c r="G268" s="51">
        <f t="shared" si="110"/>
        <v>5731.9161518346409</v>
      </c>
      <c r="H268" s="51">
        <f t="shared" si="110"/>
        <v>6047.126596616783</v>
      </c>
      <c r="I268" s="51">
        <f t="shared" si="110"/>
        <v>6379.6711443180593</v>
      </c>
      <c r="J268" s="51">
        <f t="shared" si="110"/>
        <v>6730.503034683491</v>
      </c>
      <c r="K268" s="51">
        <f t="shared" si="110"/>
        <v>7100.6279281697798</v>
      </c>
      <c r="L268" s="51">
        <f t="shared" si="110"/>
        <v>7100.6279281697798</v>
      </c>
      <c r="M268" s="51">
        <f t="shared" si="110"/>
        <v>7100.6279281697798</v>
      </c>
      <c r="N268" s="51">
        <f t="shared" si="110"/>
        <v>7100.6279281697798</v>
      </c>
      <c r="O268" s="51">
        <f t="shared" si="110"/>
        <v>7100.6279281697798</v>
      </c>
      <c r="P268" s="51">
        <f t="shared" si="110"/>
        <v>7100.6279281697798</v>
      </c>
      <c r="Q268" s="51">
        <f t="shared" si="110"/>
        <v>7100.6279281697798</v>
      </c>
      <c r="R268" s="51">
        <f t="shared" si="110"/>
        <v>7100.6279281697798</v>
      </c>
    </row>
    <row r="269" spans="1:18" x14ac:dyDescent="0.3">
      <c r="B269" s="50"/>
      <c r="C269" s="12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</row>
    <row r="270" spans="1:18" x14ac:dyDescent="0.3">
      <c r="B270" s="50"/>
      <c r="C270" s="12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</row>
    <row r="271" spans="1:18" x14ac:dyDescent="0.3">
      <c r="B271" s="50"/>
      <c r="C271" s="12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</row>
    <row r="272" spans="1:18" x14ac:dyDescent="0.3">
      <c r="B272" s="50"/>
      <c r="C272" s="12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</row>
    <row r="273" spans="2:18" x14ac:dyDescent="0.3">
      <c r="B273" s="50"/>
      <c r="C273" s="12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</row>
    <row r="274" spans="2:18" x14ac:dyDescent="0.3">
      <c r="B274" s="50"/>
      <c r="C274" s="12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</row>
    <row r="275" spans="2:18" x14ac:dyDescent="0.3">
      <c r="B275" s="50"/>
      <c r="C275" s="12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</row>
    <row r="276" spans="2:18" x14ac:dyDescent="0.3">
      <c r="B276" s="50"/>
      <c r="C276" s="12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</row>
    <row r="277" spans="2:18" x14ac:dyDescent="0.3">
      <c r="B277" s="50"/>
      <c r="C277" s="12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</row>
    <row r="278" spans="2:18" x14ac:dyDescent="0.3">
      <c r="B278" s="50"/>
      <c r="C278" s="12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</row>
    <row r="279" spans="2:18" x14ac:dyDescent="0.3">
      <c r="B279" s="50"/>
      <c r="C279" s="12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</row>
  </sheetData>
  <autoFilter ref="A3:AI53" xr:uid="{00000000-0001-0000-0500-000000000000}"/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3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RowHeight="14.65" x14ac:dyDescent="0.3"/>
  <cols>
    <col min="1" max="1" width="7.33203125" customWidth="1"/>
    <col min="2" max="2" width="12.6640625" customWidth="1"/>
    <col min="3" max="3" width="11.6640625" customWidth="1"/>
    <col min="4" max="4" width="12.33203125" customWidth="1"/>
    <col min="5" max="5" width="12.6640625" customWidth="1"/>
    <col min="7" max="7" width="15" customWidth="1"/>
    <col min="8" max="8" width="10.33203125" customWidth="1"/>
    <col min="9" max="9" width="13.44140625" customWidth="1"/>
    <col min="10" max="10" width="21.6640625" customWidth="1"/>
    <col min="11" max="11" width="6.6640625" customWidth="1"/>
    <col min="12" max="13" width="12.109375" customWidth="1"/>
    <col min="14" max="14" width="14" bestFit="1" customWidth="1"/>
    <col min="15" max="15" width="14.33203125" customWidth="1"/>
    <col min="16" max="16" width="10.33203125" customWidth="1"/>
    <col min="17" max="17" width="13.44140625" customWidth="1"/>
    <col min="18" max="18" width="11.33203125" customWidth="1"/>
    <col min="19" max="19" width="11.44140625" customWidth="1"/>
    <col min="22" max="23" width="22" customWidth="1"/>
    <col min="24" max="24" width="20.5546875" bestFit="1" customWidth="1"/>
    <col min="25" max="25" width="9.5546875" bestFit="1" customWidth="1"/>
  </cols>
  <sheetData>
    <row r="1" spans="1:27" x14ac:dyDescent="0.3">
      <c r="B1" s="5" t="s">
        <v>106</v>
      </c>
      <c r="P1" t="s">
        <v>346</v>
      </c>
      <c r="R1" s="141" t="s">
        <v>172</v>
      </c>
    </row>
    <row r="2" spans="1:27" x14ac:dyDescent="0.3">
      <c r="B2" s="5"/>
      <c r="M2" s="152" t="s">
        <v>191</v>
      </c>
      <c r="P2" s="210">
        <f>[4]AusNet_Overheads!$M$21</f>
        <v>0.11731672619764864</v>
      </c>
      <c r="R2" s="142" t="s">
        <v>198</v>
      </c>
      <c r="V2" s="131"/>
    </row>
    <row r="3" spans="1:27" ht="58.65" x14ac:dyDescent="0.3">
      <c r="A3" s="5" t="s">
        <v>51</v>
      </c>
      <c r="B3" s="58" t="s">
        <v>0</v>
      </c>
      <c r="C3" s="58" t="s">
        <v>37</v>
      </c>
      <c r="D3" s="58" t="s">
        <v>100</v>
      </c>
      <c r="E3" s="58" t="s">
        <v>101</v>
      </c>
      <c r="F3" s="58" t="s">
        <v>103</v>
      </c>
      <c r="G3" s="58" t="s">
        <v>131</v>
      </c>
      <c r="H3" s="58" t="s">
        <v>67</v>
      </c>
      <c r="I3" s="58" t="s">
        <v>102</v>
      </c>
      <c r="J3" s="58" t="s">
        <v>10</v>
      </c>
      <c r="K3" s="58" t="s">
        <v>92</v>
      </c>
      <c r="L3" s="58" t="s">
        <v>18</v>
      </c>
      <c r="M3" s="58" t="s">
        <v>180</v>
      </c>
      <c r="N3" s="58" t="s">
        <v>98</v>
      </c>
      <c r="O3" s="58" t="s">
        <v>97</v>
      </c>
      <c r="P3" s="58" t="s">
        <v>95</v>
      </c>
      <c r="Q3" s="58" t="s">
        <v>96</v>
      </c>
      <c r="R3" s="58" t="s">
        <v>117</v>
      </c>
      <c r="S3" s="58" t="s">
        <v>105</v>
      </c>
      <c r="T3" s="58" t="s">
        <v>104</v>
      </c>
      <c r="V3" s="58"/>
      <c r="W3" s="58"/>
      <c r="X3" s="58"/>
      <c r="Y3" s="58"/>
      <c r="Z3" s="58"/>
      <c r="AA3" s="58"/>
    </row>
    <row r="4" spans="1:27" x14ac:dyDescent="0.3">
      <c r="A4" s="153">
        <v>1</v>
      </c>
      <c r="B4" s="50" t="str">
        <f>'1014 projects'!C6</f>
        <v>75090096</v>
      </c>
      <c r="C4">
        <f>'1014 projects'!N6</f>
        <v>1</v>
      </c>
      <c r="D4" s="59">
        <f>VALUE('1014 projects'!K6)</f>
        <v>68</v>
      </c>
      <c r="E4" s="59">
        <f>VALUE('1014 projects'!L6)</f>
        <v>85</v>
      </c>
      <c r="F4" s="52">
        <f t="shared" ref="F4:F24" si="0">D4/E4</f>
        <v>0.8</v>
      </c>
      <c r="G4" s="59">
        <f>C4*E4</f>
        <v>85</v>
      </c>
      <c r="H4">
        <v>0.75</v>
      </c>
      <c r="I4" s="59">
        <f>G4*H4</f>
        <v>63.75</v>
      </c>
      <c r="J4" t="str">
        <f>'1014 projects'!R6</f>
        <v>HV Feeder</v>
      </c>
      <c r="K4">
        <f>MATCH(J4,Lookups!$B$3:$B$7,0)</f>
        <v>3</v>
      </c>
      <c r="L4" s="7" t="str">
        <f>'1014 projects'!W6</f>
        <v>Y</v>
      </c>
      <c r="M4" s="7" t="str">
        <f>'1014 projects'!T6</f>
        <v>N</v>
      </c>
      <c r="N4" s="54" cm="1">
        <f t="array" ref="N4">IF(G4=0,0,IF(M4="Y",INDEX('MCR Rates'!$A$7:$K$11,K4,11)/1000,INDEX('MCR Rates'!$A$7:$K$11,K4,10)/1000))</f>
        <v>438.83943785721226</v>
      </c>
      <c r="O4" s="51">
        <f>ROUND(I4*N4,0)</f>
        <v>27976</v>
      </c>
      <c r="P4" s="51">
        <f>ROUND(O4*$P$2,0)</f>
        <v>3282</v>
      </c>
      <c r="Q4" s="68">
        <f>SUM(O4:P4)</f>
        <v>31258</v>
      </c>
      <c r="R4" s="140">
        <v>17110</v>
      </c>
      <c r="S4" s="51">
        <f>Q4-R4</f>
        <v>14148</v>
      </c>
      <c r="T4" s="3">
        <f>IF(Q4=0,0,S4/R4)</f>
        <v>0.82688486265341909</v>
      </c>
      <c r="U4" s="3"/>
      <c r="V4" s="132"/>
      <c r="W4" s="133"/>
      <c r="X4" s="134"/>
      <c r="Y4" s="133"/>
      <c r="Z4" s="51"/>
      <c r="AA4" s="9"/>
    </row>
    <row r="5" spans="1:27" x14ac:dyDescent="0.3">
      <c r="A5" s="153">
        <v>2</v>
      </c>
      <c r="B5" s="50" t="str">
        <f>'1014 projects'!C7</f>
        <v>75077404</v>
      </c>
      <c r="C5">
        <f>'1014 projects'!N7</f>
        <v>1</v>
      </c>
      <c r="D5" s="59">
        <f>VALUE('1014 projects'!K7)</f>
        <v>88</v>
      </c>
      <c r="E5" s="59">
        <f>VALUE('1014 projects'!L7)</f>
        <v>45</v>
      </c>
      <c r="F5" s="52">
        <f t="shared" si="0"/>
        <v>1.9555555555555555</v>
      </c>
      <c r="G5" s="59">
        <f t="shared" ref="G5:G32" si="1">C5*E5</f>
        <v>45</v>
      </c>
      <c r="H5">
        <v>0.75</v>
      </c>
      <c r="I5" s="59">
        <f t="shared" ref="I5:I32" si="2">G5*H5</f>
        <v>33.75</v>
      </c>
      <c r="J5" t="str">
        <f>'1014 projects'!R7</f>
        <v>Distribution substation</v>
      </c>
      <c r="K5">
        <f>MATCH(J5,Lookups!$B$3:$B$7,0)</f>
        <v>2</v>
      </c>
      <c r="L5" s="7" t="str">
        <f>'1014 projects'!W7</f>
        <v>Y</v>
      </c>
      <c r="M5" s="7" t="str">
        <f>'1014 projects'!T7</f>
        <v>N</v>
      </c>
      <c r="N5" s="54" cm="1">
        <f t="array" ref="N5">IF(G5=0,0,IF(M5="Y",INDEX('MCR Rates'!$A$7:$K$11,K5,11)/1000,INDEX('MCR Rates'!$A$7:$K$11,K5,10)/1000))</f>
        <v>677.70427178807313</v>
      </c>
      <c r="O5" s="51">
        <f t="shared" ref="O5:O8" si="3">ROUND(I5*N5,0)</f>
        <v>22873</v>
      </c>
      <c r="P5" s="51">
        <f t="shared" ref="P5:P32" si="4">ROUND(O5*$P$2,0)</f>
        <v>2683</v>
      </c>
      <c r="Q5" s="68">
        <f t="shared" ref="Q5:Q32" si="5">SUM(O5:P5)</f>
        <v>25556</v>
      </c>
      <c r="R5" s="140">
        <v>15395</v>
      </c>
      <c r="S5" s="51">
        <f t="shared" ref="S5:S32" si="6">Q5-R5</f>
        <v>10161</v>
      </c>
      <c r="T5" s="3">
        <f t="shared" ref="T5:T32" si="7">IF(Q5=0,0,S5/R5)</f>
        <v>0.66001948684637868</v>
      </c>
      <c r="U5" s="3"/>
      <c r="V5" s="132"/>
      <c r="W5" s="133"/>
      <c r="X5" s="134"/>
      <c r="Y5" s="133"/>
      <c r="Z5" s="51"/>
      <c r="AA5" s="9"/>
    </row>
    <row r="6" spans="1:27" x14ac:dyDescent="0.3">
      <c r="A6" s="153">
        <v>3</v>
      </c>
      <c r="B6" s="50" t="str">
        <f>'1014 projects'!C8</f>
        <v>75077903</v>
      </c>
      <c r="C6">
        <f>'1014 projects'!N8</f>
        <v>1</v>
      </c>
      <c r="D6" s="59">
        <f>VALUE('1014 projects'!K8)</f>
        <v>230</v>
      </c>
      <c r="E6" s="59">
        <f>VALUE('1014 projects'!L8)</f>
        <v>287.5</v>
      </c>
      <c r="F6" s="52">
        <f t="shared" si="0"/>
        <v>0.8</v>
      </c>
      <c r="G6" s="59">
        <f t="shared" si="1"/>
        <v>287.5</v>
      </c>
      <c r="H6">
        <v>0.75</v>
      </c>
      <c r="I6" s="59">
        <f t="shared" si="2"/>
        <v>215.625</v>
      </c>
      <c r="J6" t="str">
        <f>'1014 projects'!R8</f>
        <v>HV Feeder</v>
      </c>
      <c r="K6">
        <f>MATCH(J6,Lookups!$B$3:$B$7,0)</f>
        <v>3</v>
      </c>
      <c r="L6" s="7" t="str">
        <f>'1014 projects'!W8</f>
        <v>Y</v>
      </c>
      <c r="M6" s="7" t="str">
        <f>'1014 projects'!T8</f>
        <v>N</v>
      </c>
      <c r="N6" s="54" cm="1">
        <f t="array" ref="N6">IF(G6=0,0,IF(M6="Y",INDEX('MCR Rates'!$A$7:$K$11,K6,11)/1000,INDEX('MCR Rates'!$A$7:$K$11,K6,10)/1000))</f>
        <v>438.83943785721226</v>
      </c>
      <c r="O6" s="51">
        <f t="shared" si="3"/>
        <v>94625</v>
      </c>
      <c r="P6" s="51">
        <f t="shared" si="4"/>
        <v>11101</v>
      </c>
      <c r="Q6" s="68">
        <f t="shared" si="5"/>
        <v>105726</v>
      </c>
      <c r="R6" s="140">
        <v>57614</v>
      </c>
      <c r="S6" s="51">
        <f t="shared" si="6"/>
        <v>48112</v>
      </c>
      <c r="T6" s="3">
        <f t="shared" si="7"/>
        <v>0.83507480820633873</v>
      </c>
      <c r="U6" s="3"/>
      <c r="V6" s="132"/>
      <c r="W6" s="133"/>
      <c r="X6" s="134"/>
      <c r="Y6" s="133"/>
      <c r="Z6" s="51"/>
      <c r="AA6" s="9"/>
    </row>
    <row r="7" spans="1:27" x14ac:dyDescent="0.3">
      <c r="A7" s="153">
        <v>4</v>
      </c>
      <c r="B7" s="50" t="str">
        <f>'1014 projects'!C9</f>
        <v>75078211</v>
      </c>
      <c r="C7">
        <f>'1014 projects'!N9</f>
        <v>1</v>
      </c>
      <c r="D7" s="59">
        <f>VALUE('1014 projects'!K9)</f>
        <v>350</v>
      </c>
      <c r="E7" s="59">
        <f>VALUE('1014 projects'!L9)</f>
        <v>437.5</v>
      </c>
      <c r="F7" s="52">
        <f t="shared" si="0"/>
        <v>0.8</v>
      </c>
      <c r="G7" s="59">
        <f t="shared" si="1"/>
        <v>437.5</v>
      </c>
      <c r="H7">
        <v>0.75</v>
      </c>
      <c r="I7" s="59">
        <f t="shared" si="2"/>
        <v>328.125</v>
      </c>
      <c r="J7" t="str">
        <f>'1014 projects'!R9</f>
        <v>Distribution substation</v>
      </c>
      <c r="K7">
        <f>MATCH(J7,Lookups!$B$3:$B$7,0)</f>
        <v>2</v>
      </c>
      <c r="L7" s="7" t="str">
        <f>'1014 projects'!W9</f>
        <v>Y</v>
      </c>
      <c r="M7" s="7" t="str">
        <f>'1014 projects'!T9</f>
        <v>N</v>
      </c>
      <c r="N7" s="54" cm="1">
        <f t="array" ref="N7">IF(G7=0,0,IF(M7="Y",INDEX('MCR Rates'!$A$7:$K$11,K7,11)/1000,INDEX('MCR Rates'!$A$7:$K$11,K7,10)/1000))</f>
        <v>677.70427178807313</v>
      </c>
      <c r="O7" s="51">
        <f t="shared" si="3"/>
        <v>222372</v>
      </c>
      <c r="P7" s="51">
        <f t="shared" si="4"/>
        <v>26088</v>
      </c>
      <c r="Q7" s="68">
        <f t="shared" si="5"/>
        <v>248460</v>
      </c>
      <c r="R7" s="140">
        <v>129420</v>
      </c>
      <c r="S7" s="51">
        <f t="shared" si="6"/>
        <v>119040</v>
      </c>
      <c r="T7" s="3">
        <f t="shared" si="7"/>
        <v>0.91979601298099212</v>
      </c>
      <c r="U7" s="3"/>
      <c r="V7" s="132"/>
      <c r="W7" s="133"/>
      <c r="X7" s="134"/>
      <c r="Y7" s="133"/>
      <c r="Z7" s="51"/>
      <c r="AA7" s="9"/>
    </row>
    <row r="8" spans="1:27" x14ac:dyDescent="0.3">
      <c r="A8" s="153">
        <v>5</v>
      </c>
      <c r="B8" s="50" t="str">
        <f>'1014 projects'!C10</f>
        <v>75067688</v>
      </c>
      <c r="C8">
        <f>'1014 projects'!N10</f>
        <v>1</v>
      </c>
      <c r="D8" s="59">
        <f>VALUE('1014 projects'!K10)</f>
        <v>351</v>
      </c>
      <c r="E8" s="59">
        <f>VALUE('1014 projects'!L10)</f>
        <v>288.8</v>
      </c>
      <c r="F8" s="52">
        <f t="shared" si="0"/>
        <v>1.2153739612188366</v>
      </c>
      <c r="G8" s="59">
        <f t="shared" si="1"/>
        <v>288.8</v>
      </c>
      <c r="H8">
        <v>0.75</v>
      </c>
      <c r="I8" s="59">
        <f t="shared" si="2"/>
        <v>216.60000000000002</v>
      </c>
      <c r="J8" t="str">
        <f>'1014 projects'!R10</f>
        <v>HV Feeder</v>
      </c>
      <c r="K8">
        <f>MATCH(J8,Lookups!$B$3:$B$7,0)</f>
        <v>3</v>
      </c>
      <c r="L8" s="7" t="str">
        <f>'1014 projects'!W10</f>
        <v>Y</v>
      </c>
      <c r="M8" s="7" t="str">
        <f>'1014 projects'!T10</f>
        <v>N</v>
      </c>
      <c r="N8" s="54" cm="1">
        <f t="array" ref="N8">IF(G8=0,0,IF(M8="Y",INDEX('MCR Rates'!$A$7:$K$11,K8,11)/1000,INDEX('MCR Rates'!$A$7:$K$11,K8,10)/1000))</f>
        <v>438.83943785721226</v>
      </c>
      <c r="O8" s="51">
        <f t="shared" si="3"/>
        <v>95053</v>
      </c>
      <c r="P8" s="51">
        <f t="shared" si="4"/>
        <v>11151</v>
      </c>
      <c r="Q8" s="68">
        <f t="shared" si="5"/>
        <v>106204</v>
      </c>
      <c r="R8" s="140">
        <v>103760</v>
      </c>
      <c r="S8" s="51">
        <f t="shared" si="6"/>
        <v>2444</v>
      </c>
      <c r="T8" s="3">
        <f t="shared" si="7"/>
        <v>2.3554356206630687E-2</v>
      </c>
      <c r="U8" s="3"/>
      <c r="V8" s="132"/>
      <c r="W8" s="133"/>
      <c r="X8" s="134"/>
      <c r="Y8" s="133"/>
      <c r="Z8" s="51"/>
      <c r="AA8" s="9"/>
    </row>
    <row r="9" spans="1:27" x14ac:dyDescent="0.3">
      <c r="A9" s="153">
        <v>6</v>
      </c>
      <c r="B9" s="50" t="str">
        <f>'1014 projects'!C11</f>
        <v>75084229</v>
      </c>
      <c r="C9">
        <f>'1014 projects'!N11</f>
        <v>1</v>
      </c>
      <c r="D9" s="59">
        <f>VALUE('1014 projects'!K11)</f>
        <v>40</v>
      </c>
      <c r="E9" s="59">
        <f>VALUE('1014 projects'!L11)</f>
        <v>50</v>
      </c>
      <c r="F9" s="52">
        <f t="shared" si="0"/>
        <v>0.8</v>
      </c>
      <c r="G9" s="59">
        <f t="shared" si="1"/>
        <v>50</v>
      </c>
      <c r="H9">
        <v>0.75</v>
      </c>
      <c r="I9" s="59">
        <f t="shared" si="2"/>
        <v>37.5</v>
      </c>
      <c r="J9" t="str">
        <f>'1014 projects'!R11</f>
        <v>Distribution substation</v>
      </c>
      <c r="K9">
        <f>MATCH(J9,Lookups!$B$3:$B$7,0)</f>
        <v>2</v>
      </c>
      <c r="L9" s="7" t="str">
        <f>'1014 projects'!W11</f>
        <v>Y</v>
      </c>
      <c r="M9" s="7" t="str">
        <f>'1014 projects'!T11</f>
        <v>N</v>
      </c>
      <c r="N9" s="54" cm="1">
        <f t="array" ref="N9">IF(G9=0,0,IF(M9="Y",INDEX('MCR Rates'!$A$7:$K$11,K9,11)/1000,INDEX('MCR Rates'!$A$7:$K$11,K9,10)/1000))</f>
        <v>677.70427178807313</v>
      </c>
      <c r="O9" s="51">
        <f>ROUND(I9*N9,0)</f>
        <v>25414</v>
      </c>
      <c r="P9" s="51">
        <f t="shared" si="4"/>
        <v>2981</v>
      </c>
      <c r="Q9" s="68">
        <f t="shared" si="5"/>
        <v>28395</v>
      </c>
      <c r="R9" s="140">
        <v>17106</v>
      </c>
      <c r="S9" s="51">
        <f t="shared" si="6"/>
        <v>11289</v>
      </c>
      <c r="T9" s="3">
        <f t="shared" si="7"/>
        <v>0.6599438793405823</v>
      </c>
      <c r="U9" s="3"/>
      <c r="V9" s="132"/>
      <c r="W9" s="133"/>
      <c r="X9" s="134"/>
      <c r="Y9" s="133"/>
      <c r="Z9" s="51"/>
      <c r="AA9" s="9"/>
    </row>
    <row r="10" spans="1:27" x14ac:dyDescent="0.3">
      <c r="A10" s="153">
        <v>7</v>
      </c>
      <c r="B10" s="50" t="str">
        <f>'1014 projects'!C12</f>
        <v>75087003</v>
      </c>
      <c r="C10">
        <f>'1014 projects'!N12</f>
        <v>1</v>
      </c>
      <c r="D10" s="59">
        <f>VALUE('1014 projects'!K12)</f>
        <v>78</v>
      </c>
      <c r="E10" s="59">
        <f>VALUE('1014 projects'!L12)</f>
        <v>72.5</v>
      </c>
      <c r="F10" s="52">
        <f t="shared" si="0"/>
        <v>1.0758620689655172</v>
      </c>
      <c r="G10" s="59">
        <f t="shared" si="1"/>
        <v>72.5</v>
      </c>
      <c r="H10">
        <v>0.75</v>
      </c>
      <c r="I10" s="59">
        <f t="shared" si="2"/>
        <v>54.375</v>
      </c>
      <c r="J10" t="str">
        <f>'1014 projects'!R12</f>
        <v>HV Feeder</v>
      </c>
      <c r="K10">
        <f>MATCH(J10,Lookups!$B$3:$B$7,0)</f>
        <v>3</v>
      </c>
      <c r="L10" s="7" t="str">
        <f>'1014 projects'!W12</f>
        <v>Y</v>
      </c>
      <c r="M10" s="7" t="str">
        <f>'1014 projects'!T12</f>
        <v>N</v>
      </c>
      <c r="N10" s="54" cm="1">
        <f t="array" ref="N10">IF(G10=0,0,IF(M10="Y",INDEX('MCR Rates'!$A$7:$K$11,K10,11)/1000,INDEX('MCR Rates'!$A$7:$K$11,K10,10)/1000))</f>
        <v>438.83943785721226</v>
      </c>
      <c r="O10" s="51">
        <f t="shared" ref="O10:O32" si="8">ROUND(I10*N10,0)</f>
        <v>23862</v>
      </c>
      <c r="P10" s="51">
        <f t="shared" si="4"/>
        <v>2799</v>
      </c>
      <c r="Q10" s="68">
        <f t="shared" si="5"/>
        <v>26661</v>
      </c>
      <c r="R10" s="140">
        <v>14595</v>
      </c>
      <c r="S10" s="51">
        <f t="shared" si="6"/>
        <v>12066</v>
      </c>
      <c r="T10" s="3">
        <f t="shared" si="7"/>
        <v>0.82672147995889</v>
      </c>
      <c r="U10" s="3"/>
      <c r="V10" s="132"/>
      <c r="W10" s="133"/>
      <c r="X10" s="134"/>
      <c r="Y10" s="133"/>
      <c r="Z10" s="51"/>
      <c r="AA10" s="9"/>
    </row>
    <row r="11" spans="1:27" x14ac:dyDescent="0.3">
      <c r="A11" s="153">
        <v>8</v>
      </c>
      <c r="B11" s="50" t="str">
        <f>'1014 projects'!C13</f>
        <v>75089640</v>
      </c>
      <c r="C11">
        <f>'1014 projects'!N13</f>
        <v>1</v>
      </c>
      <c r="D11" s="59">
        <f>VALUE('1014 projects'!K13)</f>
        <v>90</v>
      </c>
      <c r="E11" s="59">
        <f>VALUE('1014 projects'!L13)</f>
        <v>12.5</v>
      </c>
      <c r="F11" s="52">
        <f t="shared" si="0"/>
        <v>7.2</v>
      </c>
      <c r="G11" s="59">
        <f t="shared" si="1"/>
        <v>12.5</v>
      </c>
      <c r="H11">
        <v>0.75</v>
      </c>
      <c r="I11" s="59">
        <f t="shared" si="2"/>
        <v>9.375</v>
      </c>
      <c r="J11" t="str">
        <f>'1014 projects'!R13</f>
        <v>HV Feeder</v>
      </c>
      <c r="K11">
        <f>MATCH(J11,Lookups!$B$3:$B$7,0)</f>
        <v>3</v>
      </c>
      <c r="L11" s="7" t="str">
        <f>'1014 projects'!W13</f>
        <v>N</v>
      </c>
      <c r="M11" s="7" t="str">
        <f>'1014 projects'!T13</f>
        <v>N</v>
      </c>
      <c r="N11" s="54" cm="1">
        <f t="array" ref="N11">IF(G11=0,0,IF(M11="Y",INDEX('MCR Rates'!$A$7:$K$11,K11,11)/1000,INDEX('MCR Rates'!$A$7:$K$11,K11,10)/1000))</f>
        <v>438.83943785721226</v>
      </c>
      <c r="O11" s="51">
        <f t="shared" si="8"/>
        <v>4114</v>
      </c>
      <c r="P11" s="51">
        <f t="shared" si="4"/>
        <v>483</v>
      </c>
      <c r="Q11" s="68">
        <f t="shared" si="5"/>
        <v>4597</v>
      </c>
      <c r="R11" s="140">
        <v>2516</v>
      </c>
      <c r="S11" s="51">
        <f t="shared" si="6"/>
        <v>2081</v>
      </c>
      <c r="T11" s="3">
        <f t="shared" si="7"/>
        <v>0.82710651828298887</v>
      </c>
      <c r="U11" s="3"/>
      <c r="V11" s="132"/>
      <c r="W11" s="133"/>
      <c r="X11" s="134"/>
      <c r="Y11" s="133"/>
      <c r="Z11" s="51"/>
      <c r="AA11" s="9"/>
    </row>
    <row r="12" spans="1:27" x14ac:dyDescent="0.3">
      <c r="A12" s="153">
        <v>9</v>
      </c>
      <c r="B12" s="50" t="str">
        <f>'1014 projects'!C14</f>
        <v>75072730</v>
      </c>
      <c r="C12">
        <f>'1014 projects'!N14</f>
        <v>1</v>
      </c>
      <c r="D12" s="59">
        <f>VALUE('1014 projects'!K14)</f>
        <v>2</v>
      </c>
      <c r="E12" s="59">
        <f>VALUE('1014 projects'!L14)</f>
        <v>2.5</v>
      </c>
      <c r="F12" s="52">
        <f t="shared" si="0"/>
        <v>0.8</v>
      </c>
      <c r="G12" s="59">
        <f t="shared" si="1"/>
        <v>2.5</v>
      </c>
      <c r="H12">
        <v>0.75</v>
      </c>
      <c r="I12" s="59">
        <f t="shared" si="2"/>
        <v>1.875</v>
      </c>
      <c r="J12" t="str">
        <f>'1014 projects'!R14</f>
        <v>LV Feeder</v>
      </c>
      <c r="K12">
        <f>MATCH(J12,Lookups!$B$3:$B$7,0)</f>
        <v>1</v>
      </c>
      <c r="L12" s="7" t="str">
        <f>'1014 projects'!W14</f>
        <v>N</v>
      </c>
      <c r="M12" s="7" t="str">
        <f>'1014 projects'!T14</f>
        <v>N</v>
      </c>
      <c r="N12" s="54" cm="1">
        <f t="array" ref="N12">IF(G12=0,0,IF(M12="Y",INDEX('MCR Rates'!$A$7:$K$11,K12,11)/1000,INDEX('MCR Rates'!$A$7:$K$11,K12,10)/1000))</f>
        <v>812.05679839113168</v>
      </c>
      <c r="O12" s="51">
        <f t="shared" si="8"/>
        <v>1523</v>
      </c>
      <c r="P12" s="51">
        <f t="shared" si="4"/>
        <v>179</v>
      </c>
      <c r="Q12" s="68">
        <f t="shared" si="5"/>
        <v>1702</v>
      </c>
      <c r="R12" s="140">
        <v>0</v>
      </c>
      <c r="S12" s="51">
        <f t="shared" si="6"/>
        <v>1702</v>
      </c>
      <c r="T12" s="3" t="e">
        <f t="shared" si="7"/>
        <v>#DIV/0!</v>
      </c>
      <c r="U12" s="3"/>
      <c r="V12" s="132"/>
      <c r="W12" s="133"/>
      <c r="X12" s="134"/>
      <c r="Y12" s="133"/>
      <c r="Z12" s="51"/>
      <c r="AA12" s="9"/>
    </row>
    <row r="13" spans="1:27" x14ac:dyDescent="0.3">
      <c r="A13" s="153">
        <v>10</v>
      </c>
      <c r="B13" s="50" t="str">
        <f>'1014 projects'!C15</f>
        <v>75055038</v>
      </c>
      <c r="C13">
        <f>'1014 projects'!N15</f>
        <v>1</v>
      </c>
      <c r="D13" s="59">
        <f>VALUE('1014 projects'!K15)</f>
        <v>135</v>
      </c>
      <c r="E13" s="59">
        <f>VALUE('1014 projects'!L15)</f>
        <v>168.8</v>
      </c>
      <c r="F13" s="52">
        <f t="shared" si="0"/>
        <v>0.79976303317535535</v>
      </c>
      <c r="G13" s="59">
        <f t="shared" si="1"/>
        <v>168.8</v>
      </c>
      <c r="H13">
        <v>0.75</v>
      </c>
      <c r="I13" s="59">
        <f t="shared" si="2"/>
        <v>126.60000000000001</v>
      </c>
      <c r="J13" t="str">
        <f>'1014 projects'!R15</f>
        <v>HV Feeder</v>
      </c>
      <c r="K13">
        <f>MATCH(J13,Lookups!$B$3:$B$7,0)</f>
        <v>3</v>
      </c>
      <c r="L13" s="7" t="str">
        <f>'1014 projects'!W15</f>
        <v>Y</v>
      </c>
      <c r="M13" s="7" t="str">
        <f>'1014 projects'!T15</f>
        <v>N</v>
      </c>
      <c r="N13" s="54" cm="1">
        <f t="array" ref="N13">IF(G13=0,0,IF(M13="Y",INDEX('MCR Rates'!$A$7:$K$11,K13,11)/1000,INDEX('MCR Rates'!$A$7:$K$11,K13,10)/1000))</f>
        <v>438.83943785721226</v>
      </c>
      <c r="O13" s="51">
        <f t="shared" si="8"/>
        <v>55557</v>
      </c>
      <c r="P13" s="51">
        <f t="shared" si="4"/>
        <v>6518</v>
      </c>
      <c r="Q13" s="68">
        <f t="shared" si="5"/>
        <v>62075</v>
      </c>
      <c r="R13" s="140">
        <v>37048</v>
      </c>
      <c r="S13" s="51">
        <f t="shared" si="6"/>
        <v>25027</v>
      </c>
      <c r="T13" s="3">
        <f t="shared" si="7"/>
        <v>0.67552904340315267</v>
      </c>
      <c r="U13" s="3"/>
      <c r="V13" s="132"/>
      <c r="W13" s="133"/>
      <c r="X13" s="134"/>
      <c r="Y13" s="133"/>
      <c r="Z13" s="51"/>
      <c r="AA13" s="9"/>
    </row>
    <row r="14" spans="1:27" x14ac:dyDescent="0.3">
      <c r="A14" s="153">
        <v>11</v>
      </c>
      <c r="B14" s="50" t="str">
        <f>'1014 projects'!C16</f>
        <v>75079161</v>
      </c>
      <c r="C14">
        <f>'1014 projects'!N16</f>
        <v>1</v>
      </c>
      <c r="D14" s="59">
        <f>VALUE('1014 projects'!K16)</f>
        <v>34</v>
      </c>
      <c r="E14" s="59">
        <f>VALUE('1014 projects'!L16)</f>
        <v>10</v>
      </c>
      <c r="F14" s="52">
        <f t="shared" si="0"/>
        <v>3.4</v>
      </c>
      <c r="G14" s="59">
        <f t="shared" si="1"/>
        <v>10</v>
      </c>
      <c r="H14">
        <v>0.75</v>
      </c>
      <c r="I14" s="59">
        <f t="shared" si="2"/>
        <v>7.5</v>
      </c>
      <c r="J14" t="str">
        <f>'1014 projects'!R16</f>
        <v>HV Feeder</v>
      </c>
      <c r="K14">
        <f>MATCH(J14,Lookups!$B$3:$B$7,0)</f>
        <v>3</v>
      </c>
      <c r="L14" s="7" t="str">
        <f>'1014 projects'!W16</f>
        <v>N</v>
      </c>
      <c r="M14" s="7" t="str">
        <f>'1014 projects'!T16</f>
        <v>N</v>
      </c>
      <c r="N14" s="54" cm="1">
        <f t="array" ref="N14">IF(G14=0,0,IF(M14="Y",INDEX('MCR Rates'!$A$7:$K$11,K14,11)/1000,INDEX('MCR Rates'!$A$7:$K$11,K14,10)/1000))</f>
        <v>438.83943785721226</v>
      </c>
      <c r="O14" s="51">
        <f t="shared" si="8"/>
        <v>3291</v>
      </c>
      <c r="P14" s="51">
        <f t="shared" si="4"/>
        <v>386</v>
      </c>
      <c r="Q14" s="68">
        <f t="shared" si="5"/>
        <v>3677</v>
      </c>
      <c r="R14" s="140">
        <v>2004</v>
      </c>
      <c r="S14" s="51">
        <f t="shared" si="6"/>
        <v>1673</v>
      </c>
      <c r="T14" s="3">
        <f t="shared" si="7"/>
        <v>0.83483033932135731</v>
      </c>
      <c r="U14" s="3"/>
      <c r="V14" s="132"/>
      <c r="W14" s="133"/>
      <c r="X14" s="134"/>
      <c r="Y14" s="133"/>
      <c r="Z14" s="51"/>
      <c r="AA14" s="9"/>
    </row>
    <row r="15" spans="1:27" x14ac:dyDescent="0.3">
      <c r="A15" s="153">
        <v>12</v>
      </c>
      <c r="B15" s="50" t="str">
        <f>'1014 projects'!C17</f>
        <v>75088679</v>
      </c>
      <c r="C15">
        <f>'1014 projects'!N17</f>
        <v>1</v>
      </c>
      <c r="D15" s="59">
        <f>VALUE('1014 projects'!K17)</f>
        <v>87</v>
      </c>
      <c r="E15" s="59">
        <f>VALUE('1014 projects'!L17)</f>
        <v>108.8</v>
      </c>
      <c r="F15" s="52">
        <f t="shared" si="0"/>
        <v>0.79963235294117652</v>
      </c>
      <c r="G15" s="59">
        <f t="shared" si="1"/>
        <v>108.8</v>
      </c>
      <c r="H15">
        <v>0.75</v>
      </c>
      <c r="I15" s="59">
        <f t="shared" si="2"/>
        <v>81.599999999999994</v>
      </c>
      <c r="J15" t="str">
        <f>'1014 projects'!R17</f>
        <v>HV Feeder</v>
      </c>
      <c r="K15">
        <f>MATCH(J15,Lookups!$B$3:$B$7,0)</f>
        <v>3</v>
      </c>
      <c r="L15" s="7" t="str">
        <f>'1014 projects'!W17</f>
        <v>Y</v>
      </c>
      <c r="M15" s="7" t="str">
        <f>'1014 projects'!T17</f>
        <v>N</v>
      </c>
      <c r="N15" s="54" cm="1">
        <f t="array" ref="N15">IF(G15=0,0,IF(M15="Y",INDEX('MCR Rates'!$A$7:$K$11,K15,11)/1000,INDEX('MCR Rates'!$A$7:$K$11,K15,10)/1000))</f>
        <v>438.83943785721226</v>
      </c>
      <c r="O15" s="51">
        <f t="shared" si="8"/>
        <v>35809</v>
      </c>
      <c r="P15" s="51">
        <f t="shared" si="4"/>
        <v>4201</v>
      </c>
      <c r="Q15" s="68">
        <f t="shared" si="5"/>
        <v>40010</v>
      </c>
      <c r="R15" s="140">
        <v>21902</v>
      </c>
      <c r="S15" s="51">
        <f t="shared" si="6"/>
        <v>18108</v>
      </c>
      <c r="T15" s="3">
        <f t="shared" si="7"/>
        <v>0.82677381061090316</v>
      </c>
      <c r="U15" s="3"/>
      <c r="V15" s="132"/>
      <c r="W15" s="133"/>
      <c r="X15" s="134"/>
      <c r="Y15" s="133"/>
      <c r="Z15" s="51"/>
      <c r="AA15" s="9"/>
    </row>
    <row r="16" spans="1:27" x14ac:dyDescent="0.3">
      <c r="A16" s="153">
        <v>13</v>
      </c>
      <c r="B16" s="50" t="str">
        <f>'1014 projects'!C18</f>
        <v>75085538</v>
      </c>
      <c r="C16">
        <f>'1014 projects'!N18</f>
        <v>1</v>
      </c>
      <c r="D16" s="59">
        <f>VALUE('1014 projects'!K18)</f>
        <v>1730</v>
      </c>
      <c r="E16" s="59">
        <f>VALUE('1014 projects'!L18)</f>
        <v>922.2</v>
      </c>
      <c r="F16" s="52">
        <f t="shared" si="0"/>
        <v>1.8759488180438082</v>
      </c>
      <c r="G16" s="59">
        <f t="shared" si="1"/>
        <v>922.2</v>
      </c>
      <c r="H16">
        <v>0.75</v>
      </c>
      <c r="I16" s="59">
        <f t="shared" si="2"/>
        <v>691.65000000000009</v>
      </c>
      <c r="J16" t="str">
        <f>'1014 projects'!R18</f>
        <v>HV Feeder</v>
      </c>
      <c r="K16">
        <f>MATCH(J16,Lookups!$B$3:$B$7,0)</f>
        <v>3</v>
      </c>
      <c r="L16" s="7" t="str">
        <f>'1014 projects'!W18</f>
        <v>Y</v>
      </c>
      <c r="M16" s="7" t="str">
        <f>'1014 projects'!T18</f>
        <v>N</v>
      </c>
      <c r="N16" s="54" cm="1">
        <f t="array" ref="N16">IF(G16=0,0,IF(M16="Y",INDEX('MCR Rates'!$A$7:$K$11,K16,11)/1000,INDEX('MCR Rates'!$A$7:$K$11,K16,10)/1000))</f>
        <v>438.83943785721226</v>
      </c>
      <c r="O16" s="51">
        <f t="shared" si="8"/>
        <v>303523</v>
      </c>
      <c r="P16" s="51">
        <f t="shared" si="4"/>
        <v>35608</v>
      </c>
      <c r="Q16" s="68">
        <f t="shared" si="5"/>
        <v>339131</v>
      </c>
      <c r="R16" s="140">
        <v>185640</v>
      </c>
      <c r="S16" s="51">
        <f t="shared" si="6"/>
        <v>153491</v>
      </c>
      <c r="T16" s="3">
        <f t="shared" si="7"/>
        <v>0.82682072829131648</v>
      </c>
      <c r="U16" s="3"/>
      <c r="V16" s="132"/>
      <c r="W16" s="133"/>
      <c r="X16" s="134"/>
      <c r="Y16" s="133"/>
      <c r="Z16" s="51"/>
      <c r="AA16" s="9"/>
    </row>
    <row r="17" spans="1:27" x14ac:dyDescent="0.3">
      <c r="A17" s="153">
        <v>14</v>
      </c>
      <c r="B17" s="50" t="str">
        <f>'1014 projects'!C19</f>
        <v>75089294</v>
      </c>
      <c r="C17">
        <f>'1014 projects'!N19</f>
        <v>1</v>
      </c>
      <c r="D17" s="59">
        <f>VALUE('1014 projects'!K19)</f>
        <v>36</v>
      </c>
      <c r="E17" s="59">
        <f>VALUE('1014 projects'!L19)</f>
        <v>45</v>
      </c>
      <c r="F17" s="52">
        <f t="shared" si="0"/>
        <v>0.8</v>
      </c>
      <c r="G17" s="59">
        <f t="shared" si="1"/>
        <v>45</v>
      </c>
      <c r="H17">
        <v>0.75</v>
      </c>
      <c r="I17" s="59">
        <f t="shared" si="2"/>
        <v>33.75</v>
      </c>
      <c r="J17" t="str">
        <f>'1014 projects'!R19</f>
        <v>Distribution substation</v>
      </c>
      <c r="K17">
        <f>MATCH(J17,Lookups!$B$3:$B$7,0)</f>
        <v>2</v>
      </c>
      <c r="L17" s="7" t="str">
        <f>'1014 projects'!W19</f>
        <v>Y</v>
      </c>
      <c r="M17" s="7" t="str">
        <f>'1014 projects'!T19</f>
        <v>N</v>
      </c>
      <c r="N17" s="54" cm="1">
        <f t="array" ref="N17">IF(G17=0,0,IF(M17="Y",INDEX('MCR Rates'!$A$7:$K$11,K17,11)/1000,INDEX('MCR Rates'!$A$7:$K$11,K17,10)/1000))</f>
        <v>677.70427178807313</v>
      </c>
      <c r="O17" s="51">
        <f t="shared" si="8"/>
        <v>22873</v>
      </c>
      <c r="P17" s="51">
        <f t="shared" si="4"/>
        <v>2683</v>
      </c>
      <c r="Q17" s="68">
        <f t="shared" si="5"/>
        <v>25556</v>
      </c>
      <c r="R17" s="140">
        <v>15395</v>
      </c>
      <c r="S17" s="51">
        <f t="shared" si="6"/>
        <v>10161</v>
      </c>
      <c r="T17" s="3">
        <f t="shared" si="7"/>
        <v>0.66001948684637868</v>
      </c>
      <c r="U17" s="3"/>
      <c r="V17" s="132"/>
      <c r="W17" s="133"/>
      <c r="X17" s="134"/>
      <c r="Y17" s="133"/>
      <c r="Z17" s="51"/>
      <c r="AA17" s="9"/>
    </row>
    <row r="18" spans="1:27" x14ac:dyDescent="0.3">
      <c r="A18" s="153">
        <v>15</v>
      </c>
      <c r="B18" s="50" t="str">
        <f>'1014 projects'!C20</f>
        <v>75093308</v>
      </c>
      <c r="C18">
        <f>'1014 projects'!N20</f>
        <v>1</v>
      </c>
      <c r="D18" s="59">
        <f>VALUE('1014 projects'!K20)</f>
        <v>18</v>
      </c>
      <c r="E18" s="59">
        <f>VALUE('1014 projects'!L20)</f>
        <v>22.5</v>
      </c>
      <c r="F18" s="52">
        <f t="shared" si="0"/>
        <v>0.8</v>
      </c>
      <c r="G18" s="59">
        <f t="shared" si="1"/>
        <v>22.5</v>
      </c>
      <c r="H18">
        <v>0.75</v>
      </c>
      <c r="I18" s="59">
        <f t="shared" si="2"/>
        <v>16.875</v>
      </c>
      <c r="J18" t="str">
        <f>'1014 projects'!R20</f>
        <v>LV Feeder</v>
      </c>
      <c r="K18">
        <f>MATCH(J18,Lookups!$B$3:$B$7,0)</f>
        <v>1</v>
      </c>
      <c r="L18" s="7" t="str">
        <f>'1014 projects'!W20</f>
        <v>N</v>
      </c>
      <c r="M18" s="7" t="str">
        <f>'1014 projects'!T20</f>
        <v>N</v>
      </c>
      <c r="N18" s="54" cm="1">
        <f t="array" ref="N18">IF(G18=0,0,IF(M18="Y",INDEX('MCR Rates'!$A$7:$K$11,K18,11)/1000,INDEX('MCR Rates'!$A$7:$K$11,K18,10)/1000))</f>
        <v>812.05679839113168</v>
      </c>
      <c r="O18" s="51">
        <f t="shared" si="8"/>
        <v>13703</v>
      </c>
      <c r="P18" s="51">
        <f t="shared" si="4"/>
        <v>1608</v>
      </c>
      <c r="Q18" s="68">
        <f t="shared" si="5"/>
        <v>15311</v>
      </c>
      <c r="R18" s="140">
        <v>26752</v>
      </c>
      <c r="S18" s="51">
        <f t="shared" si="6"/>
        <v>-11441</v>
      </c>
      <c r="T18" s="3">
        <f t="shared" si="7"/>
        <v>-0.42766895933014354</v>
      </c>
      <c r="U18" s="3"/>
      <c r="V18" s="132"/>
      <c r="W18" s="133"/>
      <c r="X18" s="134"/>
      <c r="Y18" s="133"/>
      <c r="Z18" s="51"/>
      <c r="AA18" s="9"/>
    </row>
    <row r="19" spans="1:27" x14ac:dyDescent="0.3">
      <c r="A19" s="153">
        <v>16</v>
      </c>
      <c r="B19" s="50" t="str">
        <f>'1014 projects'!C21</f>
        <v>75080861</v>
      </c>
      <c r="C19">
        <f>'1014 projects'!N21</f>
        <v>1</v>
      </c>
      <c r="D19" s="59">
        <f>VALUE('1014 projects'!K21)</f>
        <v>800</v>
      </c>
      <c r="E19" s="59">
        <f>VALUE('1014 projects'!L21)</f>
        <v>670</v>
      </c>
      <c r="F19" s="52">
        <f t="shared" si="0"/>
        <v>1.1940298507462686</v>
      </c>
      <c r="G19" s="59">
        <f t="shared" si="1"/>
        <v>670</v>
      </c>
      <c r="H19">
        <v>0.75</v>
      </c>
      <c r="I19" s="59">
        <f t="shared" si="2"/>
        <v>502.5</v>
      </c>
      <c r="J19" t="str">
        <f>'1014 projects'!R21</f>
        <v>Distribution substation</v>
      </c>
      <c r="K19">
        <f>MATCH(J19,Lookups!$B$3:$B$7,0)</f>
        <v>2</v>
      </c>
      <c r="L19" s="7" t="str">
        <f>'1014 projects'!W21</f>
        <v>Y</v>
      </c>
      <c r="M19" s="7" t="str">
        <f>'1014 projects'!T21</f>
        <v>N</v>
      </c>
      <c r="N19" s="54" cm="1">
        <f t="array" ref="N19">IF(G19=0,0,IF(M19="Y",INDEX('MCR Rates'!$A$7:$K$11,K19,11)/1000,INDEX('MCR Rates'!$A$7:$K$11,K19,10)/1000))</f>
        <v>677.70427178807313</v>
      </c>
      <c r="O19" s="51">
        <f t="shared" si="8"/>
        <v>340546</v>
      </c>
      <c r="P19" s="51">
        <f t="shared" si="4"/>
        <v>39952</v>
      </c>
      <c r="Q19" s="68">
        <f t="shared" si="5"/>
        <v>380498</v>
      </c>
      <c r="R19" s="140">
        <v>228186</v>
      </c>
      <c r="S19" s="51">
        <f t="shared" si="6"/>
        <v>152312</v>
      </c>
      <c r="T19" s="3">
        <f t="shared" si="7"/>
        <v>0.66749055594997064</v>
      </c>
      <c r="U19" s="3"/>
      <c r="V19" s="132"/>
      <c r="W19" s="133"/>
      <c r="X19" s="134"/>
      <c r="Y19" s="133"/>
      <c r="Z19" s="51"/>
      <c r="AA19" s="9"/>
    </row>
    <row r="20" spans="1:27" x14ac:dyDescent="0.3">
      <c r="A20" s="153">
        <v>17</v>
      </c>
      <c r="B20" s="50" t="str">
        <f>'1014 projects'!C22</f>
        <v>75085366</v>
      </c>
      <c r="C20">
        <f>'1014 projects'!N22</f>
        <v>2</v>
      </c>
      <c r="D20" s="59">
        <f>VALUE('1014 projects'!K22)</f>
        <v>36</v>
      </c>
      <c r="E20" s="59">
        <f>VALUE('1014 projects'!L22)</f>
        <v>45</v>
      </c>
      <c r="F20" s="52">
        <f t="shared" si="0"/>
        <v>0.8</v>
      </c>
      <c r="G20" s="59">
        <f t="shared" si="1"/>
        <v>90</v>
      </c>
      <c r="H20">
        <v>0.75</v>
      </c>
      <c r="I20" s="59">
        <f t="shared" si="2"/>
        <v>67.5</v>
      </c>
      <c r="J20" t="str">
        <f>'1014 projects'!R22</f>
        <v>LV Feeder</v>
      </c>
      <c r="K20">
        <f>MATCH(J20,Lookups!$B$3:$B$7,0)</f>
        <v>1</v>
      </c>
      <c r="L20" s="7" t="str">
        <f>'1014 projects'!W22</f>
        <v>Y</v>
      </c>
      <c r="M20" s="7" t="str">
        <f>'1014 projects'!T22</f>
        <v>N</v>
      </c>
      <c r="N20" s="54" cm="1">
        <f t="array" ref="N20">IF(G20=0,0,IF(M20="Y",INDEX('MCR Rates'!$A$7:$K$11,K20,11)/1000,INDEX('MCR Rates'!$A$7:$K$11,K20,10)/1000))</f>
        <v>812.05679839113168</v>
      </c>
      <c r="O20" s="51">
        <f t="shared" si="8"/>
        <v>54814</v>
      </c>
      <c r="P20" s="51">
        <f t="shared" si="4"/>
        <v>6431</v>
      </c>
      <c r="Q20" s="68">
        <f t="shared" si="5"/>
        <v>61245</v>
      </c>
      <c r="R20" s="140">
        <v>38666</v>
      </c>
      <c r="S20" s="51">
        <f t="shared" si="6"/>
        <v>22579</v>
      </c>
      <c r="T20" s="3">
        <f t="shared" si="7"/>
        <v>0.58394972327109085</v>
      </c>
      <c r="U20" s="3"/>
      <c r="V20" s="132"/>
      <c r="W20" s="133"/>
      <c r="X20" s="134"/>
      <c r="Y20" s="133"/>
      <c r="Z20" s="51"/>
      <c r="AA20" s="9"/>
    </row>
    <row r="21" spans="1:27" x14ac:dyDescent="0.3">
      <c r="A21" s="153">
        <v>18</v>
      </c>
      <c r="B21" s="50" t="str">
        <f>'1014 projects'!C23</f>
        <v>75088855</v>
      </c>
      <c r="C21">
        <f>'1014 projects'!N23</f>
        <v>1</v>
      </c>
      <c r="D21" s="59">
        <f>VALUE('1014 projects'!K23)</f>
        <v>252</v>
      </c>
      <c r="E21" s="59">
        <f>VALUE('1014 projects'!L23)</f>
        <v>37</v>
      </c>
      <c r="F21" s="52">
        <f t="shared" si="0"/>
        <v>6.8108108108108105</v>
      </c>
      <c r="G21" s="59">
        <f t="shared" si="1"/>
        <v>37</v>
      </c>
      <c r="H21">
        <v>0.75</v>
      </c>
      <c r="I21" s="59">
        <f t="shared" si="2"/>
        <v>27.75</v>
      </c>
      <c r="J21" t="str">
        <f>'1014 projects'!R23</f>
        <v>Distribution substation</v>
      </c>
      <c r="K21">
        <f>MATCH(J21,Lookups!$B$3:$B$7,0)</f>
        <v>2</v>
      </c>
      <c r="L21" s="7" t="str">
        <f>'1014 projects'!W23</f>
        <v>Y</v>
      </c>
      <c r="M21" s="7" t="str">
        <f>'1014 projects'!T23</f>
        <v>N</v>
      </c>
      <c r="N21" s="54" cm="1">
        <f t="array" ref="N21">IF(G21=0,0,IF(M21="Y",INDEX('MCR Rates'!$A$7:$K$11,K21,11)/1000,INDEX('MCR Rates'!$A$7:$K$11,K21,10)/1000))</f>
        <v>677.70427178807313</v>
      </c>
      <c r="O21" s="51">
        <f t="shared" si="8"/>
        <v>18806</v>
      </c>
      <c r="P21" s="51">
        <f t="shared" si="4"/>
        <v>2206</v>
      </c>
      <c r="Q21" s="68">
        <f t="shared" si="5"/>
        <v>21012</v>
      </c>
      <c r="R21" s="140">
        <v>12658</v>
      </c>
      <c r="S21" s="51">
        <f t="shared" si="6"/>
        <v>8354</v>
      </c>
      <c r="T21" s="3">
        <f t="shared" si="7"/>
        <v>0.65997787960183285</v>
      </c>
      <c r="U21" s="3"/>
      <c r="V21" s="132"/>
      <c r="W21" s="133"/>
      <c r="X21" s="134"/>
      <c r="Y21" s="133"/>
      <c r="Z21" s="51"/>
      <c r="AA21" s="9"/>
    </row>
    <row r="22" spans="1:27" x14ac:dyDescent="0.3">
      <c r="A22" s="153">
        <v>19</v>
      </c>
      <c r="B22" s="50" t="str">
        <f>'1014 projects'!C24</f>
        <v>75090071</v>
      </c>
      <c r="C22">
        <f>'1014 projects'!N24</f>
        <v>1</v>
      </c>
      <c r="D22" s="59">
        <f>VALUE('1014 projects'!K24)</f>
        <v>43</v>
      </c>
      <c r="E22" s="59">
        <f>VALUE('1014 projects'!L24)</f>
        <v>33.799999999999997</v>
      </c>
      <c r="F22" s="52">
        <f t="shared" si="0"/>
        <v>1.2721893491124261</v>
      </c>
      <c r="G22" s="59">
        <f t="shared" si="1"/>
        <v>33.799999999999997</v>
      </c>
      <c r="H22">
        <v>0.75</v>
      </c>
      <c r="I22" s="59">
        <f t="shared" si="2"/>
        <v>25.349999999999998</v>
      </c>
      <c r="J22" t="str">
        <f>'1014 projects'!R24</f>
        <v>LV Feeder</v>
      </c>
      <c r="K22">
        <f>MATCH(J22,Lookups!$B$3:$B$7,0)</f>
        <v>1</v>
      </c>
      <c r="L22" s="7" t="str">
        <f>'1014 projects'!W24</f>
        <v>Y</v>
      </c>
      <c r="M22" s="7" t="str">
        <f>'1014 projects'!T24</f>
        <v>N</v>
      </c>
      <c r="N22" s="54" cm="1">
        <f t="array" ref="N22">IF(G22=0,0,IF(M22="Y",INDEX('MCR Rates'!$A$7:$K$11,K22,11)/1000,INDEX('MCR Rates'!$A$7:$K$11,K22,10)/1000))</f>
        <v>812.05679839113168</v>
      </c>
      <c r="O22" s="51">
        <f t="shared" si="8"/>
        <v>20586</v>
      </c>
      <c r="P22" s="51">
        <f t="shared" si="4"/>
        <v>2415</v>
      </c>
      <c r="Q22" s="68">
        <f t="shared" si="5"/>
        <v>23001</v>
      </c>
      <c r="R22" s="140">
        <v>15904</v>
      </c>
      <c r="S22" s="51">
        <f t="shared" si="6"/>
        <v>7097</v>
      </c>
      <c r="T22" s="3">
        <f t="shared" si="7"/>
        <v>0.44623993963782699</v>
      </c>
      <c r="U22" s="3"/>
      <c r="V22" s="132"/>
      <c r="W22" s="133"/>
      <c r="X22" s="134"/>
      <c r="Y22" s="133"/>
      <c r="Z22" s="51"/>
      <c r="AA22" s="9"/>
    </row>
    <row r="23" spans="1:27" x14ac:dyDescent="0.3">
      <c r="A23" s="153">
        <v>20</v>
      </c>
      <c r="B23" s="50" t="str">
        <f>'1014 projects'!C25</f>
        <v>75094398</v>
      </c>
      <c r="C23">
        <f>'1014 projects'!N25</f>
        <v>2</v>
      </c>
      <c r="D23" s="59">
        <f>VALUE('1014 projects'!K25)</f>
        <v>7</v>
      </c>
      <c r="E23" s="59">
        <f>VALUE('1014 projects'!L25)</f>
        <v>8.8000000000000007</v>
      </c>
      <c r="F23" s="52">
        <f t="shared" si="0"/>
        <v>0.79545454545454541</v>
      </c>
      <c r="G23" s="59">
        <f t="shared" si="1"/>
        <v>17.600000000000001</v>
      </c>
      <c r="H23">
        <v>0.75</v>
      </c>
      <c r="I23" s="59">
        <f t="shared" si="2"/>
        <v>13.200000000000001</v>
      </c>
      <c r="J23" t="str">
        <f>'1014 projects'!R25</f>
        <v>Distribution substation</v>
      </c>
      <c r="K23">
        <f>MATCH(J23,Lookups!$B$3:$B$7,0)</f>
        <v>2</v>
      </c>
      <c r="L23" s="7" t="str">
        <f>'1014 projects'!W25</f>
        <v>N</v>
      </c>
      <c r="M23" s="7" t="str">
        <f>'1014 projects'!T25</f>
        <v>N</v>
      </c>
      <c r="N23" s="54" cm="1">
        <f t="array" ref="N23">IF(G23=0,0,IF(M23="Y",INDEX('MCR Rates'!$A$7:$K$11,K23,11)/1000,INDEX('MCR Rates'!$A$7:$K$11,K23,10)/1000))</f>
        <v>677.70427178807313</v>
      </c>
      <c r="O23" s="51">
        <f t="shared" si="8"/>
        <v>8946</v>
      </c>
      <c r="P23" s="51">
        <f t="shared" si="4"/>
        <v>1050</v>
      </c>
      <c r="Q23" s="68">
        <f t="shared" si="5"/>
        <v>9996</v>
      </c>
      <c r="R23" s="140">
        <v>6343</v>
      </c>
      <c r="S23" s="51">
        <f t="shared" si="6"/>
        <v>3653</v>
      </c>
      <c r="T23" s="3">
        <f t="shared" si="7"/>
        <v>0.57591045246728678</v>
      </c>
      <c r="U23" s="3"/>
      <c r="V23" s="132"/>
      <c r="W23" s="133"/>
      <c r="X23" s="134"/>
      <c r="Y23" s="133"/>
      <c r="Z23" s="51"/>
      <c r="AA23" s="9"/>
    </row>
    <row r="24" spans="1:27" x14ac:dyDescent="0.3">
      <c r="A24" s="153">
        <v>21</v>
      </c>
      <c r="B24" s="50" t="str">
        <f>'1014 projects'!C26</f>
        <v>75082753</v>
      </c>
      <c r="C24">
        <f>'1014 projects'!N26</f>
        <v>1</v>
      </c>
      <c r="D24" s="59">
        <f>VALUE('1014 projects'!K26)</f>
        <v>80</v>
      </c>
      <c r="E24" s="59">
        <f>VALUE('1014 projects'!L26)</f>
        <v>75</v>
      </c>
      <c r="F24" s="52">
        <f t="shared" si="0"/>
        <v>1.0666666666666667</v>
      </c>
      <c r="G24" s="59">
        <f t="shared" si="1"/>
        <v>75</v>
      </c>
      <c r="H24">
        <v>0.75</v>
      </c>
      <c r="I24" s="59">
        <f t="shared" si="2"/>
        <v>56.25</v>
      </c>
      <c r="J24" t="str">
        <f>'1014 projects'!R26</f>
        <v>HV Feeder</v>
      </c>
      <c r="K24">
        <f>MATCH(J24,Lookups!$B$3:$B$7,0)</f>
        <v>3</v>
      </c>
      <c r="L24" s="7" t="str">
        <f>'1014 projects'!W26</f>
        <v>Y</v>
      </c>
      <c r="M24" s="7" t="str">
        <f>'1014 projects'!T26</f>
        <v>N</v>
      </c>
      <c r="N24" s="54" cm="1">
        <f t="array" ref="N24">IF(G24=0,0,IF(M24="Y",INDEX('MCR Rates'!$A$7:$K$11,K24,11)/1000,INDEX('MCR Rates'!$A$7:$K$11,K24,10)/1000))</f>
        <v>438.83943785721226</v>
      </c>
      <c r="O24" s="51">
        <f t="shared" si="8"/>
        <v>24685</v>
      </c>
      <c r="P24" s="51">
        <f t="shared" si="4"/>
        <v>2896</v>
      </c>
      <c r="Q24" s="68">
        <f t="shared" si="5"/>
        <v>27581</v>
      </c>
      <c r="R24" s="140">
        <v>15030</v>
      </c>
      <c r="S24" s="51">
        <f t="shared" si="6"/>
        <v>12551</v>
      </c>
      <c r="T24" s="3">
        <f t="shared" si="7"/>
        <v>0.83506320691949432</v>
      </c>
      <c r="U24" s="3"/>
      <c r="V24" s="132"/>
      <c r="W24" s="133"/>
      <c r="X24" s="134"/>
      <c r="Y24" s="133"/>
      <c r="Z24" s="51"/>
      <c r="AA24" s="9"/>
    </row>
    <row r="25" spans="1:27" x14ac:dyDescent="0.3">
      <c r="A25" s="153">
        <v>22</v>
      </c>
      <c r="B25" s="50" t="str">
        <f>'1014 projects'!C27</f>
        <v>75079993</v>
      </c>
      <c r="C25">
        <f>'1014 projects'!N27</f>
        <v>1</v>
      </c>
      <c r="D25" s="59">
        <f>VALUE('1014 projects'!K27)</f>
        <v>140</v>
      </c>
      <c r="E25" s="59">
        <f>VALUE('1014 projects'!L27)</f>
        <v>175</v>
      </c>
      <c r="F25" s="52">
        <f t="shared" ref="F25:F32" si="9">D25/E25</f>
        <v>0.8</v>
      </c>
      <c r="G25" s="59">
        <f t="shared" si="1"/>
        <v>175</v>
      </c>
      <c r="H25">
        <v>0.75</v>
      </c>
      <c r="I25" s="59">
        <f t="shared" si="2"/>
        <v>131.25</v>
      </c>
      <c r="J25" t="str">
        <f>'1014 projects'!R27</f>
        <v>HV Feeder</v>
      </c>
      <c r="K25">
        <f>MATCH(J25,Lookups!$B$3:$B$7,0)</f>
        <v>3</v>
      </c>
      <c r="L25" s="7" t="str">
        <f>'1014 projects'!W27</f>
        <v>Y</v>
      </c>
      <c r="M25" s="7" t="str">
        <f>'1014 projects'!T27</f>
        <v>N</v>
      </c>
      <c r="N25" s="54" cm="1">
        <f t="array" ref="N25">IF(G25=0,0,IF(M25="Y",INDEX('MCR Rates'!$A$7:$K$11,K25,11)/1000,INDEX('MCR Rates'!$A$7:$K$11,K25,10)/1000))</f>
        <v>438.83943785721226</v>
      </c>
      <c r="O25" s="51">
        <f t="shared" si="8"/>
        <v>57598</v>
      </c>
      <c r="P25" s="51">
        <f t="shared" si="4"/>
        <v>6757</v>
      </c>
      <c r="Q25" s="68">
        <f t="shared" si="5"/>
        <v>64355</v>
      </c>
      <c r="R25" s="140">
        <v>35069</v>
      </c>
      <c r="S25" s="51">
        <f t="shared" si="6"/>
        <v>29286</v>
      </c>
      <c r="T25" s="3">
        <f t="shared" si="7"/>
        <v>0.83509652399555168</v>
      </c>
      <c r="U25" s="3"/>
      <c r="V25" s="132"/>
      <c r="W25" s="133"/>
      <c r="X25" s="134"/>
      <c r="Y25" s="133"/>
      <c r="Z25" s="51"/>
      <c r="AA25" s="9"/>
    </row>
    <row r="26" spans="1:27" x14ac:dyDescent="0.3">
      <c r="A26" s="153">
        <v>23</v>
      </c>
      <c r="B26" s="50" t="str">
        <f>'1014 projects'!C28</f>
        <v>75083984</v>
      </c>
      <c r="C26">
        <f>'1014 projects'!N28</f>
        <v>1</v>
      </c>
      <c r="D26" s="59">
        <f>VALUE('1014 projects'!K28)</f>
        <v>143</v>
      </c>
      <c r="E26" s="59">
        <f>VALUE('1014 projects'!L28)</f>
        <v>84.8</v>
      </c>
      <c r="F26" s="52">
        <f t="shared" si="9"/>
        <v>1.6863207547169812</v>
      </c>
      <c r="G26" s="59">
        <f t="shared" si="1"/>
        <v>84.8</v>
      </c>
      <c r="H26">
        <v>0.75</v>
      </c>
      <c r="I26" s="59">
        <f t="shared" si="2"/>
        <v>63.599999999999994</v>
      </c>
      <c r="J26" t="str">
        <f>'1014 projects'!R28</f>
        <v>HV Feeder</v>
      </c>
      <c r="K26">
        <f>MATCH(J26,Lookups!$B$3:$B$7,0)</f>
        <v>3</v>
      </c>
      <c r="L26" s="7" t="str">
        <f>'1014 projects'!W28</f>
        <v>Y</v>
      </c>
      <c r="M26" s="7" t="str">
        <f>'1014 projects'!T28</f>
        <v>N</v>
      </c>
      <c r="N26" s="54" cm="1">
        <f t="array" ref="N26">IF(G26=0,0,IF(M26="Y",INDEX('MCR Rates'!$A$7:$K$11,K26,11)/1000,INDEX('MCR Rates'!$A$7:$K$11,K26,10)/1000))</f>
        <v>438.83943785721226</v>
      </c>
      <c r="O26" s="51">
        <f t="shared" si="8"/>
        <v>27910</v>
      </c>
      <c r="P26" s="51">
        <f t="shared" si="4"/>
        <v>3274</v>
      </c>
      <c r="Q26" s="68">
        <f t="shared" si="5"/>
        <v>31184</v>
      </c>
      <c r="R26" s="140">
        <v>17070</v>
      </c>
      <c r="S26" s="51">
        <f t="shared" si="6"/>
        <v>14114</v>
      </c>
      <c r="T26" s="3">
        <f t="shared" si="7"/>
        <v>0.82683069712946689</v>
      </c>
      <c r="U26" s="3"/>
      <c r="V26" s="132"/>
      <c r="W26" s="133"/>
      <c r="X26" s="134"/>
      <c r="Y26" s="133"/>
      <c r="Z26" s="51"/>
      <c r="AA26" s="9"/>
    </row>
    <row r="27" spans="1:27" x14ac:dyDescent="0.3">
      <c r="A27" s="153">
        <v>24</v>
      </c>
      <c r="B27" s="50" t="str">
        <f>'1014 projects'!C29</f>
        <v>75090929</v>
      </c>
      <c r="C27">
        <f>'1014 projects'!N29</f>
        <v>1</v>
      </c>
      <c r="D27" s="59">
        <f>VALUE('1014 projects'!K29)</f>
        <v>10</v>
      </c>
      <c r="E27" s="59">
        <f>VALUE('1014 projects'!L29)</f>
        <v>12.5</v>
      </c>
      <c r="F27" s="52">
        <f t="shared" si="9"/>
        <v>0.8</v>
      </c>
      <c r="G27" s="59">
        <f t="shared" si="1"/>
        <v>12.5</v>
      </c>
      <c r="H27">
        <v>0.75</v>
      </c>
      <c r="I27" s="59">
        <f t="shared" si="2"/>
        <v>9.375</v>
      </c>
      <c r="J27" t="str">
        <f>'1014 projects'!R29</f>
        <v>LV Feeder</v>
      </c>
      <c r="K27">
        <f>MATCH(J27,Lookups!$B$3:$B$7,0)</f>
        <v>1</v>
      </c>
      <c r="L27" s="7" t="str">
        <f>'1014 projects'!W29</f>
        <v>N</v>
      </c>
      <c r="M27" s="7" t="str">
        <f>'1014 projects'!T29</f>
        <v>N</v>
      </c>
      <c r="N27" s="54" cm="1">
        <f t="array" ref="N27">IF(G27=0,0,IF(M27="Y",INDEX('MCR Rates'!$A$7:$K$11,K27,11)/1000,INDEX('MCR Rates'!$A$7:$K$11,K27,10)/1000))</f>
        <v>812.05679839113168</v>
      </c>
      <c r="O27" s="51">
        <f t="shared" si="8"/>
        <v>7613</v>
      </c>
      <c r="P27" s="51">
        <f t="shared" si="4"/>
        <v>893</v>
      </c>
      <c r="Q27" s="68">
        <f t="shared" si="5"/>
        <v>8506</v>
      </c>
      <c r="R27" s="140">
        <v>16973</v>
      </c>
      <c r="S27" s="51">
        <f t="shared" si="6"/>
        <v>-8467</v>
      </c>
      <c r="T27" s="3">
        <f t="shared" si="7"/>
        <v>-0.4988511164791139</v>
      </c>
      <c r="U27" s="3"/>
      <c r="V27" s="132"/>
      <c r="W27" s="133"/>
      <c r="X27" s="134"/>
      <c r="Y27" s="133"/>
      <c r="Z27" s="51"/>
      <c r="AA27" s="9"/>
    </row>
    <row r="28" spans="1:27" x14ac:dyDescent="0.3">
      <c r="A28" s="153">
        <v>25</v>
      </c>
      <c r="B28" s="50" t="str">
        <f>'1014 projects'!C30</f>
        <v>75075826</v>
      </c>
      <c r="C28">
        <f>'1014 projects'!N30</f>
        <v>1</v>
      </c>
      <c r="D28" s="59">
        <f>VALUE('1014 projects'!K30)</f>
        <v>7</v>
      </c>
      <c r="E28" s="59">
        <f>VALUE('1014 projects'!L30)</f>
        <v>8.8000000000000007</v>
      </c>
      <c r="F28" s="52">
        <f t="shared" si="9"/>
        <v>0.79545454545454541</v>
      </c>
      <c r="G28" s="59">
        <f t="shared" si="1"/>
        <v>8.8000000000000007</v>
      </c>
      <c r="H28">
        <v>0.75</v>
      </c>
      <c r="I28" s="59">
        <f t="shared" si="2"/>
        <v>6.6000000000000005</v>
      </c>
      <c r="J28" t="str">
        <f>'1014 projects'!R30</f>
        <v>HV Feeder</v>
      </c>
      <c r="K28">
        <f>MATCH(J28,Lookups!$B$3:$B$7,0)</f>
        <v>3</v>
      </c>
      <c r="L28" s="7" t="str">
        <f>'1014 projects'!W30</f>
        <v>N</v>
      </c>
      <c r="M28" s="7" t="str">
        <f>'1014 projects'!T30</f>
        <v>N</v>
      </c>
      <c r="N28" s="54" cm="1">
        <f t="array" ref="N28">IF(G28=0,0,IF(M28="Y",INDEX('MCR Rates'!$A$7:$K$11,K28,11)/1000,INDEX('MCR Rates'!$A$7:$K$11,K28,10)/1000))</f>
        <v>438.83943785721226</v>
      </c>
      <c r="O28" s="51">
        <f t="shared" si="8"/>
        <v>2896</v>
      </c>
      <c r="P28" s="51">
        <f t="shared" si="4"/>
        <v>340</v>
      </c>
      <c r="Q28" s="68">
        <f t="shared" si="5"/>
        <v>3236</v>
      </c>
      <c r="R28" s="140">
        <v>61721</v>
      </c>
      <c r="S28" s="51">
        <f t="shared" si="6"/>
        <v>-58485</v>
      </c>
      <c r="T28" s="3">
        <f t="shared" si="7"/>
        <v>-0.94757051894817002</v>
      </c>
      <c r="U28" s="3"/>
      <c r="V28" s="132"/>
      <c r="W28" s="133"/>
      <c r="X28" s="134"/>
      <c r="Y28" s="133"/>
      <c r="Z28" s="51"/>
      <c r="AA28" s="9"/>
    </row>
    <row r="29" spans="1:27" x14ac:dyDescent="0.3">
      <c r="A29" s="153">
        <v>26</v>
      </c>
      <c r="B29" s="50" t="str">
        <f>'1014 projects'!C31</f>
        <v>75079446</v>
      </c>
      <c r="C29">
        <f>'1014 projects'!N31</f>
        <v>1</v>
      </c>
      <c r="D29" s="59">
        <f>VALUE('1014 projects'!K31)</f>
        <v>15</v>
      </c>
      <c r="E29" s="59">
        <f>VALUE('1014 projects'!L31)</f>
        <v>18.8</v>
      </c>
      <c r="F29" s="52">
        <f t="shared" si="9"/>
        <v>0.7978723404255319</v>
      </c>
      <c r="G29" s="59">
        <f t="shared" si="1"/>
        <v>18.8</v>
      </c>
      <c r="H29">
        <v>0.75</v>
      </c>
      <c r="I29" s="59">
        <f t="shared" si="2"/>
        <v>14.100000000000001</v>
      </c>
      <c r="J29" t="str">
        <f>'1014 projects'!R31</f>
        <v>LV Feeder</v>
      </c>
      <c r="K29">
        <f>MATCH(J29,Lookups!$B$3:$B$7,0)</f>
        <v>1</v>
      </c>
      <c r="L29" s="7" t="str">
        <f>'1014 projects'!W31</f>
        <v>N</v>
      </c>
      <c r="M29" s="7" t="str">
        <f>'1014 projects'!T31</f>
        <v>N</v>
      </c>
      <c r="N29" s="54" cm="1">
        <f t="array" ref="N29">IF(G29=0,0,IF(M29="Y",INDEX('MCR Rates'!$A$7:$K$11,K29,11)/1000,INDEX('MCR Rates'!$A$7:$K$11,K29,10)/1000))</f>
        <v>812.05679839113168</v>
      </c>
      <c r="O29" s="51">
        <f t="shared" si="8"/>
        <v>11450</v>
      </c>
      <c r="P29" s="51">
        <f t="shared" si="4"/>
        <v>1343</v>
      </c>
      <c r="Q29" s="68">
        <f t="shared" si="5"/>
        <v>12793</v>
      </c>
      <c r="R29" s="140">
        <v>21466</v>
      </c>
      <c r="S29" s="51">
        <f t="shared" si="6"/>
        <v>-8673</v>
      </c>
      <c r="T29" s="3">
        <f t="shared" si="7"/>
        <v>-0.40403428677909253</v>
      </c>
      <c r="U29" s="3"/>
      <c r="V29" s="132"/>
      <c r="W29" s="133"/>
      <c r="X29" s="134"/>
      <c r="Y29" s="133"/>
      <c r="Z29" s="51"/>
      <c r="AA29" s="9"/>
    </row>
    <row r="30" spans="1:27" x14ac:dyDescent="0.3">
      <c r="A30" s="153">
        <v>27</v>
      </c>
      <c r="B30" s="50" t="str">
        <f>'1014 projects'!C32</f>
        <v>75091372</v>
      </c>
      <c r="C30">
        <f>'1014 projects'!N32</f>
        <v>1</v>
      </c>
      <c r="D30" s="59">
        <f>VALUE('1014 projects'!K32)</f>
        <v>189</v>
      </c>
      <c r="E30" s="59">
        <f>VALUE('1014 projects'!L32)</f>
        <v>206.3</v>
      </c>
      <c r="F30" s="52">
        <f t="shared" si="9"/>
        <v>0.91614154144449822</v>
      </c>
      <c r="G30" s="59">
        <f t="shared" si="1"/>
        <v>206.3</v>
      </c>
      <c r="H30">
        <v>0.75</v>
      </c>
      <c r="I30" s="59">
        <f t="shared" si="2"/>
        <v>154.72500000000002</v>
      </c>
      <c r="J30" t="str">
        <f>'1014 projects'!R32</f>
        <v>HV Feeder</v>
      </c>
      <c r="K30">
        <f>MATCH(J30,Lookups!$B$3:$B$7,0)</f>
        <v>3</v>
      </c>
      <c r="L30" s="7" t="str">
        <f>'1014 projects'!W32</f>
        <v>Y</v>
      </c>
      <c r="M30" s="7" t="str">
        <f>'1014 projects'!T32</f>
        <v>N</v>
      </c>
      <c r="N30" s="54" cm="1">
        <f t="array" ref="N30">IF(G30=0,0,IF(M30="Y",INDEX('MCR Rates'!$A$7:$K$11,K30,11)/1000,INDEX('MCR Rates'!$A$7:$K$11,K30,10)/1000))</f>
        <v>438.83943785721226</v>
      </c>
      <c r="O30" s="51">
        <f t="shared" si="8"/>
        <v>67899</v>
      </c>
      <c r="P30" s="51">
        <f t="shared" si="4"/>
        <v>7966</v>
      </c>
      <c r="Q30" s="68">
        <f t="shared" si="5"/>
        <v>75865</v>
      </c>
      <c r="R30" s="140">
        <v>43751</v>
      </c>
      <c r="S30" s="51">
        <f t="shared" si="6"/>
        <v>32114</v>
      </c>
      <c r="T30" s="3">
        <f t="shared" si="7"/>
        <v>0.73401750817124178</v>
      </c>
      <c r="U30" s="3"/>
      <c r="V30" s="132"/>
      <c r="W30" s="133"/>
      <c r="X30" s="134"/>
      <c r="Y30" s="133"/>
      <c r="Z30" s="51"/>
      <c r="AA30" s="9"/>
    </row>
    <row r="31" spans="1:27" x14ac:dyDescent="0.3">
      <c r="A31" s="153">
        <v>28</v>
      </c>
      <c r="B31" s="50" t="str">
        <f>'1014 projects'!C33</f>
        <v>75084806</v>
      </c>
      <c r="C31">
        <f>'1014 projects'!N33</f>
        <v>1</v>
      </c>
      <c r="D31" s="59">
        <f>VALUE('1014 projects'!K33)</f>
        <v>12</v>
      </c>
      <c r="E31" s="59">
        <f>VALUE('1014 projects'!L33)</f>
        <v>15</v>
      </c>
      <c r="F31" s="52">
        <f t="shared" si="9"/>
        <v>0.8</v>
      </c>
      <c r="G31" s="59">
        <f t="shared" si="1"/>
        <v>15</v>
      </c>
      <c r="H31">
        <v>0.75</v>
      </c>
      <c r="I31" s="59">
        <f t="shared" si="2"/>
        <v>11.25</v>
      </c>
      <c r="J31" t="str">
        <f>'1014 projects'!R33</f>
        <v>HV Feeder</v>
      </c>
      <c r="K31">
        <f>MATCH(J31,Lookups!$B$3:$B$7,0)</f>
        <v>3</v>
      </c>
      <c r="L31" s="7" t="str">
        <f>'1014 projects'!W33</f>
        <v>N</v>
      </c>
      <c r="M31" s="7" t="str">
        <f>'1014 projects'!T33</f>
        <v>N</v>
      </c>
      <c r="N31" s="54" cm="1">
        <f t="array" ref="N31">IF(G31=0,0,IF(M31="Y",INDEX('MCR Rates'!$A$7:$K$11,K31,11)/1000,INDEX('MCR Rates'!$A$7:$K$11,K31,10)/1000))</f>
        <v>438.83943785721226</v>
      </c>
      <c r="O31" s="51">
        <f t="shared" si="8"/>
        <v>4937</v>
      </c>
      <c r="P31" s="51">
        <f t="shared" si="4"/>
        <v>579</v>
      </c>
      <c r="Q31" s="68">
        <f t="shared" si="5"/>
        <v>5516</v>
      </c>
      <c r="R31" s="140">
        <v>3020</v>
      </c>
      <c r="S31" s="51">
        <f t="shared" si="6"/>
        <v>2496</v>
      </c>
      <c r="T31" s="3">
        <f t="shared" si="7"/>
        <v>0.82649006622516552</v>
      </c>
      <c r="U31" s="3"/>
      <c r="V31" s="132"/>
      <c r="W31" s="133"/>
      <c r="X31" s="134"/>
      <c r="Y31" s="133"/>
      <c r="Z31" s="51"/>
      <c r="AA31" s="9"/>
    </row>
    <row r="32" spans="1:27" x14ac:dyDescent="0.3">
      <c r="A32" s="153">
        <v>29</v>
      </c>
      <c r="B32" s="50" t="str">
        <f>'1014 projects'!C34</f>
        <v>75084512</v>
      </c>
      <c r="C32">
        <f>'1014 projects'!N34</f>
        <v>1</v>
      </c>
      <c r="D32" s="59">
        <f>VALUE('1014 projects'!K34)</f>
        <v>10</v>
      </c>
      <c r="E32" s="59">
        <f>VALUE('1014 projects'!L34)</f>
        <v>12.5</v>
      </c>
      <c r="F32" s="52">
        <f t="shared" si="9"/>
        <v>0.8</v>
      </c>
      <c r="G32" s="59">
        <f t="shared" si="1"/>
        <v>12.5</v>
      </c>
      <c r="H32">
        <v>0.75</v>
      </c>
      <c r="I32" s="59">
        <f t="shared" si="2"/>
        <v>9.375</v>
      </c>
      <c r="J32" t="str">
        <f>'1014 projects'!R34</f>
        <v>HV Feeder</v>
      </c>
      <c r="K32">
        <f>MATCH(J32,Lookups!$B$3:$B$7,0)</f>
        <v>3</v>
      </c>
      <c r="L32" s="7" t="str">
        <f>'1014 projects'!W34</f>
        <v>N</v>
      </c>
      <c r="M32" s="7" t="str">
        <f>'1014 projects'!T34</f>
        <v>N</v>
      </c>
      <c r="N32" s="54" cm="1">
        <f t="array" ref="N32">IF(G32=0,0,IF(M32="Y",INDEX('MCR Rates'!$A$7:$K$11,K32,11)/1000,INDEX('MCR Rates'!$A$7:$K$11,K32,10)/1000))</f>
        <v>438.83943785721226</v>
      </c>
      <c r="O32" s="51">
        <f t="shared" si="8"/>
        <v>4114</v>
      </c>
      <c r="P32" s="51">
        <f t="shared" si="4"/>
        <v>483</v>
      </c>
      <c r="Q32" s="68">
        <f t="shared" si="5"/>
        <v>4597</v>
      </c>
      <c r="R32" s="140">
        <v>15097</v>
      </c>
      <c r="S32" s="51">
        <f t="shared" si="6"/>
        <v>-10500</v>
      </c>
      <c r="T32" s="3">
        <f t="shared" si="7"/>
        <v>-0.69550241769888055</v>
      </c>
      <c r="U32" s="3"/>
      <c r="V32" s="132"/>
      <c r="W32" s="133"/>
      <c r="X32" s="134"/>
      <c r="Y32" s="133"/>
      <c r="Z32" s="51"/>
      <c r="AA32" s="9"/>
    </row>
    <row r="33" spans="1:27" x14ac:dyDescent="0.3">
      <c r="A33" s="153">
        <v>30</v>
      </c>
      <c r="B33" s="50" t="str">
        <f>'1014 projects'!C35</f>
        <v>75089909</v>
      </c>
      <c r="C33">
        <f>'1014 projects'!N35</f>
        <v>1</v>
      </c>
      <c r="D33" s="59">
        <f>VALUE('1014 projects'!K35)</f>
        <v>27</v>
      </c>
      <c r="E33" s="59">
        <f>VALUE('1014 projects'!L35)</f>
        <v>29.5</v>
      </c>
      <c r="F33" s="52">
        <f t="shared" ref="F33:F53" si="10">D33/E33</f>
        <v>0.9152542372881356</v>
      </c>
      <c r="G33" s="59">
        <f t="shared" ref="G33:G53" si="11">C33*E33</f>
        <v>29.5</v>
      </c>
      <c r="H33">
        <v>0.75</v>
      </c>
      <c r="I33" s="59">
        <f t="shared" ref="I33:I53" si="12">G33*H33</f>
        <v>22.125</v>
      </c>
      <c r="J33" t="str">
        <f>'1014 projects'!R35</f>
        <v>Distribution substation</v>
      </c>
      <c r="K33">
        <f>MATCH(J33,Lookups!$B$3:$B$7,0)</f>
        <v>2</v>
      </c>
      <c r="L33" s="7" t="str">
        <f>'1014 projects'!W35</f>
        <v>Y</v>
      </c>
      <c r="M33" s="7" t="str">
        <f>'1014 projects'!T35</f>
        <v>Y</v>
      </c>
      <c r="N33" s="54" cm="1">
        <f t="array" ref="N33">IF(G33=0,0,IF(M33="Y",INDEX('MCR Rates'!$A$7:$K$11,K33,11)/1000,INDEX('MCR Rates'!$A$7:$K$11,K33,10)/1000))</f>
        <v>677.70427178807313</v>
      </c>
      <c r="O33" s="51">
        <f t="shared" ref="O33:O53" si="13">ROUND(I33*N33,0)</f>
        <v>14994</v>
      </c>
      <c r="P33" s="51">
        <f t="shared" ref="P33:P53" si="14">ROUND(O33*$P$2,0)</f>
        <v>1759</v>
      </c>
      <c r="Q33" s="68">
        <f t="shared" ref="Q33:Q53" si="15">SUM(O33:P33)</f>
        <v>16753</v>
      </c>
      <c r="R33" s="140">
        <v>10092</v>
      </c>
      <c r="S33" s="51">
        <f t="shared" ref="S33:S53" si="16">Q33-R33</f>
        <v>6661</v>
      </c>
      <c r="T33" s="3">
        <f t="shared" ref="T33:T53" si="17">IF(Q33=0,0,S33/R33)</f>
        <v>0.66002774474831549</v>
      </c>
      <c r="U33" s="3"/>
      <c r="V33" s="132"/>
      <c r="W33" s="133"/>
      <c r="X33" s="134"/>
      <c r="Y33" s="133"/>
      <c r="Z33" s="51"/>
      <c r="AA33" s="9"/>
    </row>
    <row r="34" spans="1:27" x14ac:dyDescent="0.3">
      <c r="A34" s="153">
        <v>31</v>
      </c>
      <c r="B34" s="50" t="str">
        <f>'1014 projects'!C36</f>
        <v>75084775</v>
      </c>
      <c r="C34">
        <f>'1014 projects'!N36</f>
        <v>1</v>
      </c>
      <c r="D34" s="59">
        <f>VALUE('1014 projects'!K36)</f>
        <v>157</v>
      </c>
      <c r="E34" s="59">
        <f>VALUE('1014 projects'!L36)</f>
        <v>109.3</v>
      </c>
      <c r="F34" s="52">
        <f t="shared" si="10"/>
        <v>1.4364135407136323</v>
      </c>
      <c r="G34" s="59">
        <f t="shared" si="11"/>
        <v>109.3</v>
      </c>
      <c r="H34">
        <v>0.75</v>
      </c>
      <c r="I34" s="59">
        <f t="shared" si="12"/>
        <v>81.974999999999994</v>
      </c>
      <c r="J34" t="str">
        <f>'1014 projects'!R36</f>
        <v>LV Feeder</v>
      </c>
      <c r="K34">
        <f>MATCH(J34,Lookups!$B$3:$B$7,0)</f>
        <v>1</v>
      </c>
      <c r="L34" s="7" t="str">
        <f>'1014 projects'!W36</f>
        <v>Y</v>
      </c>
      <c r="M34" s="7" t="str">
        <f>'1014 projects'!T36</f>
        <v>N</v>
      </c>
      <c r="N34" s="54" cm="1">
        <f t="array" ref="N34">IF(G34=0,0,IF(M34="Y",INDEX('MCR Rates'!$A$7:$K$11,K34,11)/1000,INDEX('MCR Rates'!$A$7:$K$11,K34,10)/1000))</f>
        <v>812.05679839113168</v>
      </c>
      <c r="O34" s="51">
        <f t="shared" si="13"/>
        <v>66568</v>
      </c>
      <c r="P34" s="51">
        <f t="shared" si="14"/>
        <v>7810</v>
      </c>
      <c r="Q34" s="68">
        <f t="shared" si="15"/>
        <v>74378</v>
      </c>
      <c r="R34" s="140">
        <v>46958</v>
      </c>
      <c r="S34" s="51">
        <f t="shared" si="16"/>
        <v>27420</v>
      </c>
      <c r="T34" s="3">
        <f t="shared" si="17"/>
        <v>0.58392606158695004</v>
      </c>
      <c r="U34" s="3"/>
      <c r="V34" s="132"/>
      <c r="W34" s="133"/>
      <c r="X34" s="134"/>
      <c r="Y34" s="133"/>
      <c r="Z34" s="51"/>
      <c r="AA34" s="9"/>
    </row>
    <row r="35" spans="1:27" x14ac:dyDescent="0.3">
      <c r="A35" s="153">
        <v>32</v>
      </c>
      <c r="B35" s="50" t="str">
        <f>'1014 projects'!C37</f>
        <v>75086649</v>
      </c>
      <c r="C35">
        <f>'1014 projects'!N37</f>
        <v>1</v>
      </c>
      <c r="D35" s="59">
        <f>VALUE('1014 projects'!K37)</f>
        <v>181</v>
      </c>
      <c r="E35" s="59">
        <f>VALUE('1014 projects'!L37)</f>
        <v>146.30000000000001</v>
      </c>
      <c r="F35" s="52">
        <f t="shared" si="10"/>
        <v>1.2371838687628161</v>
      </c>
      <c r="G35" s="59">
        <f t="shared" si="11"/>
        <v>146.30000000000001</v>
      </c>
      <c r="H35">
        <v>0.75</v>
      </c>
      <c r="I35" s="59">
        <f t="shared" si="12"/>
        <v>109.72500000000001</v>
      </c>
      <c r="J35" t="str">
        <f>'1014 projects'!R37</f>
        <v>HV Feeder</v>
      </c>
      <c r="K35">
        <f>MATCH(J35,Lookups!$B$3:$B$7,0)</f>
        <v>3</v>
      </c>
      <c r="L35" s="7" t="str">
        <f>'1014 projects'!W37</f>
        <v>Y</v>
      </c>
      <c r="M35" s="7" t="str">
        <f>'1014 projects'!T37</f>
        <v>N</v>
      </c>
      <c r="N35" s="54" cm="1">
        <f t="array" ref="N35">IF(G35=0,0,IF(M35="Y",INDEX('MCR Rates'!$A$7:$K$11,K35,11)/1000,INDEX('MCR Rates'!$A$7:$K$11,K35,10)/1000))</f>
        <v>438.83943785721226</v>
      </c>
      <c r="O35" s="51">
        <f t="shared" si="13"/>
        <v>48152</v>
      </c>
      <c r="P35" s="51">
        <f t="shared" si="14"/>
        <v>5649</v>
      </c>
      <c r="Q35" s="68">
        <f t="shared" si="15"/>
        <v>53801</v>
      </c>
      <c r="R35" s="140">
        <v>29450</v>
      </c>
      <c r="S35" s="51">
        <f t="shared" si="16"/>
        <v>24351</v>
      </c>
      <c r="T35" s="3">
        <f t="shared" si="17"/>
        <v>0.82685908319185064</v>
      </c>
      <c r="U35" s="3"/>
      <c r="V35" s="132"/>
      <c r="W35" s="133"/>
      <c r="X35" s="134"/>
      <c r="Y35" s="133"/>
      <c r="Z35" s="51"/>
      <c r="AA35" s="9"/>
    </row>
    <row r="36" spans="1:27" x14ac:dyDescent="0.3">
      <c r="A36" s="153">
        <v>33</v>
      </c>
      <c r="B36" s="50" t="str">
        <f>'1014 projects'!C38</f>
        <v>75079264</v>
      </c>
      <c r="C36">
        <f>'1014 projects'!N38</f>
        <v>1</v>
      </c>
      <c r="D36" s="59">
        <f>VALUE('1014 projects'!K38)</f>
        <v>130</v>
      </c>
      <c r="E36" s="59">
        <f>VALUE('1014 projects'!L38)</f>
        <v>162.5</v>
      </c>
      <c r="F36" s="52">
        <f t="shared" si="10"/>
        <v>0.8</v>
      </c>
      <c r="G36" s="59">
        <f t="shared" si="11"/>
        <v>162.5</v>
      </c>
      <c r="H36">
        <v>0.75</v>
      </c>
      <c r="I36" s="59">
        <f t="shared" si="12"/>
        <v>121.875</v>
      </c>
      <c r="J36" t="str">
        <f>'1014 projects'!R38</f>
        <v>Distribution substation</v>
      </c>
      <c r="K36">
        <f>MATCH(J36,Lookups!$B$3:$B$7,0)</f>
        <v>2</v>
      </c>
      <c r="L36" s="7" t="str">
        <f>'1014 projects'!W38</f>
        <v>Y</v>
      </c>
      <c r="M36" s="7" t="str">
        <f>'1014 projects'!T38</f>
        <v>N</v>
      </c>
      <c r="N36" s="54" cm="1">
        <f t="array" ref="N36">IF(G36=0,0,IF(M36="Y",INDEX('MCR Rates'!$A$7:$K$11,K36,11)/1000,INDEX('MCR Rates'!$A$7:$K$11,K36,10)/1000))</f>
        <v>677.70427178807313</v>
      </c>
      <c r="O36" s="51">
        <f t="shared" si="13"/>
        <v>82595</v>
      </c>
      <c r="P36" s="51">
        <f t="shared" si="14"/>
        <v>9690</v>
      </c>
      <c r="Q36" s="68">
        <f t="shared" si="15"/>
        <v>92285</v>
      </c>
      <c r="R36" s="140">
        <v>55343</v>
      </c>
      <c r="S36" s="51">
        <f t="shared" si="16"/>
        <v>36942</v>
      </c>
      <c r="T36" s="3">
        <f t="shared" si="17"/>
        <v>0.66750989285004425</v>
      </c>
      <c r="U36" s="3"/>
      <c r="V36" s="132"/>
      <c r="W36" s="133"/>
      <c r="X36" s="134"/>
      <c r="Y36" s="133"/>
      <c r="Z36" s="51"/>
      <c r="AA36" s="9"/>
    </row>
    <row r="37" spans="1:27" x14ac:dyDescent="0.3">
      <c r="A37" s="153">
        <v>34</v>
      </c>
      <c r="B37" s="50" t="str">
        <f>'1014 projects'!C39</f>
        <v>75078492</v>
      </c>
      <c r="C37">
        <f>'1014 projects'!N39</f>
        <v>1</v>
      </c>
      <c r="D37" s="59">
        <f>VALUE('1014 projects'!K39)</f>
        <v>52</v>
      </c>
      <c r="E37" s="59">
        <f>VALUE('1014 projects'!L39)</f>
        <v>65</v>
      </c>
      <c r="F37" s="52">
        <f t="shared" si="10"/>
        <v>0.8</v>
      </c>
      <c r="G37" s="59">
        <f t="shared" si="11"/>
        <v>65</v>
      </c>
      <c r="H37">
        <v>0.75</v>
      </c>
      <c r="I37" s="59">
        <f t="shared" si="12"/>
        <v>48.75</v>
      </c>
      <c r="J37" t="str">
        <f>'1014 projects'!R39</f>
        <v>HV Feeder</v>
      </c>
      <c r="K37">
        <f>MATCH(J37,Lookups!$B$3:$B$7,0)</f>
        <v>3</v>
      </c>
      <c r="L37" s="7" t="str">
        <f>'1014 projects'!W39</f>
        <v>Y</v>
      </c>
      <c r="M37" s="7" t="str">
        <f>'1014 projects'!T39</f>
        <v>Y</v>
      </c>
      <c r="N37" s="54" cm="1">
        <f t="array" ref="N37">IF(G37=0,0,IF(M37="Y",INDEX('MCR Rates'!$A$7:$K$11,K37,11)/1000,INDEX('MCR Rates'!$A$7:$K$11,K37,10)/1000))</f>
        <v>607.25888613799827</v>
      </c>
      <c r="O37" s="51">
        <f t="shared" si="13"/>
        <v>29604</v>
      </c>
      <c r="P37" s="51">
        <f t="shared" si="14"/>
        <v>3473</v>
      </c>
      <c r="Q37" s="68">
        <f t="shared" si="15"/>
        <v>33077</v>
      </c>
      <c r="R37" s="140">
        <v>13026</v>
      </c>
      <c r="S37" s="51">
        <f t="shared" si="16"/>
        <v>20051</v>
      </c>
      <c r="T37" s="3">
        <f t="shared" si="17"/>
        <v>1.5393060033778596</v>
      </c>
      <c r="U37" s="3"/>
      <c r="V37" s="132"/>
      <c r="W37" s="133"/>
      <c r="X37" s="134"/>
      <c r="Y37" s="133"/>
      <c r="Z37" s="51"/>
      <c r="AA37" s="9"/>
    </row>
    <row r="38" spans="1:27" x14ac:dyDescent="0.3">
      <c r="A38" s="153">
        <v>35</v>
      </c>
      <c r="B38" s="50" t="str">
        <f>'1014 projects'!C40</f>
        <v>75080863</v>
      </c>
      <c r="C38">
        <f>'1014 projects'!N40</f>
        <v>1</v>
      </c>
      <c r="D38" s="59">
        <f>VALUE('1014 projects'!K40)</f>
        <v>277</v>
      </c>
      <c r="E38" s="59">
        <f>VALUE('1014 projects'!L40)</f>
        <v>346.3</v>
      </c>
      <c r="F38" s="52">
        <f t="shared" si="10"/>
        <v>0.79988449321397626</v>
      </c>
      <c r="G38" s="59">
        <f t="shared" si="11"/>
        <v>346.3</v>
      </c>
      <c r="H38">
        <v>0.75</v>
      </c>
      <c r="I38" s="59">
        <f t="shared" si="12"/>
        <v>259.72500000000002</v>
      </c>
      <c r="J38" t="str">
        <f>'1014 projects'!R40</f>
        <v>HV Feeder</v>
      </c>
      <c r="K38">
        <f>MATCH(J38,Lookups!$B$3:$B$7,0)</f>
        <v>3</v>
      </c>
      <c r="L38" s="7" t="str">
        <f>'1014 projects'!W40</f>
        <v>Y</v>
      </c>
      <c r="M38" s="7" t="str">
        <f>'1014 projects'!T40</f>
        <v>N</v>
      </c>
      <c r="N38" s="54" cm="1">
        <f t="array" ref="N38">IF(G38=0,0,IF(M38="Y",INDEX('MCR Rates'!$A$7:$K$11,K38,11)/1000,INDEX('MCR Rates'!$A$7:$K$11,K38,10)/1000))</f>
        <v>438.83943785721226</v>
      </c>
      <c r="O38" s="51">
        <f t="shared" si="13"/>
        <v>113978</v>
      </c>
      <c r="P38" s="51">
        <f t="shared" si="14"/>
        <v>13372</v>
      </c>
      <c r="Q38" s="68">
        <f t="shared" si="15"/>
        <v>127350</v>
      </c>
      <c r="R38" s="140">
        <v>69711</v>
      </c>
      <c r="S38" s="51">
        <f t="shared" si="16"/>
        <v>57639</v>
      </c>
      <c r="T38" s="3">
        <f t="shared" si="17"/>
        <v>0.82682790377415327</v>
      </c>
      <c r="U38" s="3"/>
      <c r="V38" s="132"/>
      <c r="W38" s="133"/>
      <c r="X38" s="134"/>
      <c r="Y38" s="133"/>
      <c r="Z38" s="51"/>
      <c r="AA38" s="9"/>
    </row>
    <row r="39" spans="1:27" x14ac:dyDescent="0.3">
      <c r="A39" s="153">
        <v>36</v>
      </c>
      <c r="B39" s="50" t="str">
        <f>'1014 projects'!C41</f>
        <v>75077056</v>
      </c>
      <c r="C39">
        <f>'1014 projects'!N41</f>
        <v>1</v>
      </c>
      <c r="D39" s="59">
        <f>VALUE('1014 projects'!K41)</f>
        <v>200</v>
      </c>
      <c r="E39" s="59">
        <f>VALUE('1014 projects'!L41)</f>
        <v>175</v>
      </c>
      <c r="F39" s="52">
        <f t="shared" si="10"/>
        <v>1.1428571428571428</v>
      </c>
      <c r="G39" s="59">
        <f t="shared" si="11"/>
        <v>175</v>
      </c>
      <c r="H39">
        <v>0.75</v>
      </c>
      <c r="I39" s="59">
        <f t="shared" si="12"/>
        <v>131.25</v>
      </c>
      <c r="J39" t="str">
        <f>'1014 projects'!R41</f>
        <v>Distribution substation</v>
      </c>
      <c r="K39">
        <f>MATCH(J39,Lookups!$B$3:$B$7,0)</f>
        <v>2</v>
      </c>
      <c r="L39" s="7" t="str">
        <f>'1014 projects'!W41</f>
        <v>Y</v>
      </c>
      <c r="M39" s="7" t="str">
        <f>'1014 projects'!T41</f>
        <v>N</v>
      </c>
      <c r="N39" s="54" cm="1">
        <f t="array" ref="N39">IF(G39=0,0,IF(M39="Y",INDEX('MCR Rates'!$A$7:$K$11,K39,11)/1000,INDEX('MCR Rates'!$A$7:$K$11,K39,10)/1000))</f>
        <v>677.70427178807313</v>
      </c>
      <c r="O39" s="51">
        <f t="shared" si="13"/>
        <v>88949</v>
      </c>
      <c r="P39" s="51">
        <f t="shared" si="14"/>
        <v>10435</v>
      </c>
      <c r="Q39" s="68">
        <f t="shared" si="15"/>
        <v>99384</v>
      </c>
      <c r="R39" s="140">
        <v>59601</v>
      </c>
      <c r="S39" s="51">
        <f t="shared" si="16"/>
        <v>39783</v>
      </c>
      <c r="T39" s="3">
        <f t="shared" si="17"/>
        <v>0.66748880052348114</v>
      </c>
      <c r="U39" s="3"/>
      <c r="V39" s="132"/>
      <c r="W39" s="133"/>
      <c r="X39" s="134"/>
      <c r="Y39" s="133"/>
      <c r="Z39" s="51"/>
      <c r="AA39" s="9"/>
    </row>
    <row r="40" spans="1:27" x14ac:dyDescent="0.3">
      <c r="A40" s="153">
        <v>37</v>
      </c>
      <c r="B40" s="50" t="str">
        <f>'1014 projects'!C42</f>
        <v>75096058</v>
      </c>
      <c r="C40">
        <f>'1014 projects'!N42</f>
        <v>1</v>
      </c>
      <c r="D40" s="59">
        <f>VALUE('1014 projects'!K42)</f>
        <v>15</v>
      </c>
      <c r="E40" s="59">
        <f>VALUE('1014 projects'!L42)</f>
        <v>18.8</v>
      </c>
      <c r="F40" s="52">
        <f t="shared" si="10"/>
        <v>0.7978723404255319</v>
      </c>
      <c r="G40" s="59">
        <f t="shared" si="11"/>
        <v>18.8</v>
      </c>
      <c r="H40">
        <v>0.75</v>
      </c>
      <c r="I40" s="59">
        <f t="shared" si="12"/>
        <v>14.100000000000001</v>
      </c>
      <c r="J40" t="str">
        <f>'1014 projects'!R42</f>
        <v>Distribution substation</v>
      </c>
      <c r="K40">
        <f>MATCH(J40,Lookups!$B$3:$B$7,0)</f>
        <v>2</v>
      </c>
      <c r="L40" s="7" t="str">
        <f>'1014 projects'!W42</f>
        <v>N</v>
      </c>
      <c r="M40" s="7" t="str">
        <f>'1014 projects'!T42</f>
        <v>N</v>
      </c>
      <c r="N40" s="54" cm="1">
        <f t="array" ref="N40">IF(G40=0,0,IF(M40="Y",INDEX('MCR Rates'!$A$7:$K$11,K40,11)/1000,INDEX('MCR Rates'!$A$7:$K$11,K40,10)/1000))</f>
        <v>677.70427178807313</v>
      </c>
      <c r="O40" s="51">
        <f t="shared" si="13"/>
        <v>9556</v>
      </c>
      <c r="P40" s="51">
        <f t="shared" si="14"/>
        <v>1121</v>
      </c>
      <c r="Q40" s="68">
        <f t="shared" si="15"/>
        <v>10677</v>
      </c>
      <c r="R40" s="140">
        <v>0</v>
      </c>
      <c r="S40" s="51">
        <f t="shared" si="16"/>
        <v>10677</v>
      </c>
      <c r="T40" s="3" t="e">
        <f t="shared" si="17"/>
        <v>#DIV/0!</v>
      </c>
      <c r="U40" s="3"/>
      <c r="V40" s="132"/>
      <c r="W40" s="133"/>
      <c r="X40" s="134"/>
      <c r="Y40" s="133"/>
      <c r="Z40" s="51"/>
      <c r="AA40" s="9"/>
    </row>
    <row r="41" spans="1:27" x14ac:dyDescent="0.3">
      <c r="A41" s="153">
        <v>38</v>
      </c>
      <c r="B41" s="50" t="str">
        <f>'1014 projects'!C43</f>
        <v>75043272</v>
      </c>
      <c r="C41">
        <f>'1014 projects'!N43</f>
        <v>1</v>
      </c>
      <c r="D41" s="59">
        <f>VALUE('1014 projects'!K43)</f>
        <v>3.3</v>
      </c>
      <c r="E41" s="59">
        <f>VALUE('1014 projects'!L43)</f>
        <v>4.0999999999999996</v>
      </c>
      <c r="F41" s="52">
        <f t="shared" si="10"/>
        <v>0.80487804878048785</v>
      </c>
      <c r="G41" s="59">
        <f t="shared" si="11"/>
        <v>4.0999999999999996</v>
      </c>
      <c r="H41">
        <v>0.75</v>
      </c>
      <c r="I41" s="59">
        <f t="shared" si="12"/>
        <v>3.0749999999999997</v>
      </c>
      <c r="J41" t="str">
        <f>'1014 projects'!R43</f>
        <v>HV Feeder</v>
      </c>
      <c r="K41">
        <f>MATCH(J41,Lookups!$B$3:$B$7,0)</f>
        <v>3</v>
      </c>
      <c r="L41" s="7" t="str">
        <f>'1014 projects'!W43</f>
        <v>N</v>
      </c>
      <c r="M41" s="7" t="str">
        <f>'1014 projects'!T43</f>
        <v>N</v>
      </c>
      <c r="N41" s="54" cm="1">
        <f t="array" ref="N41">IF(G41=0,0,IF(M41="Y",INDEX('MCR Rates'!$A$7:$K$11,K41,11)/1000,INDEX('MCR Rates'!$A$7:$K$11,K41,10)/1000))</f>
        <v>438.83943785721226</v>
      </c>
      <c r="O41" s="51">
        <f t="shared" si="13"/>
        <v>1349</v>
      </c>
      <c r="P41" s="51">
        <f t="shared" si="14"/>
        <v>158</v>
      </c>
      <c r="Q41" s="68">
        <f t="shared" si="15"/>
        <v>1507</v>
      </c>
      <c r="R41" s="140">
        <v>0</v>
      </c>
      <c r="S41" s="51">
        <f t="shared" si="16"/>
        <v>1507</v>
      </c>
      <c r="T41" s="3" t="e">
        <f t="shared" si="17"/>
        <v>#DIV/0!</v>
      </c>
      <c r="U41" s="3"/>
      <c r="V41" s="132"/>
      <c r="W41" s="133"/>
      <c r="X41" s="134"/>
      <c r="Y41" s="133"/>
      <c r="Z41" s="51"/>
      <c r="AA41" s="9"/>
    </row>
    <row r="42" spans="1:27" x14ac:dyDescent="0.3">
      <c r="A42" s="153">
        <v>39</v>
      </c>
      <c r="B42" s="50" t="str">
        <f>'1014 projects'!C44</f>
        <v>75090268</v>
      </c>
      <c r="C42">
        <f>'1014 projects'!N44</f>
        <v>1</v>
      </c>
      <c r="D42" s="59">
        <f>VALUE('1014 projects'!K44)</f>
        <v>70</v>
      </c>
      <c r="E42" s="59">
        <f>VALUE('1014 projects'!L44)</f>
        <v>59.5</v>
      </c>
      <c r="F42" s="52">
        <f t="shared" si="10"/>
        <v>1.1764705882352942</v>
      </c>
      <c r="G42" s="59">
        <f t="shared" si="11"/>
        <v>59.5</v>
      </c>
      <c r="H42">
        <v>0.75</v>
      </c>
      <c r="I42" s="59">
        <f t="shared" si="12"/>
        <v>44.625</v>
      </c>
      <c r="J42" t="str">
        <f>'1014 projects'!R44</f>
        <v>LV Feeder</v>
      </c>
      <c r="K42">
        <f>MATCH(J42,Lookups!$B$3:$B$7,0)</f>
        <v>1</v>
      </c>
      <c r="L42" s="7" t="str">
        <f>'1014 projects'!W44</f>
        <v>Y</v>
      </c>
      <c r="M42" s="7" t="str">
        <f>'1014 projects'!T44</f>
        <v>N</v>
      </c>
      <c r="N42" s="54" cm="1">
        <f t="array" ref="N42">IF(G42=0,0,IF(M42="Y",INDEX('MCR Rates'!$A$7:$K$11,K42,11)/1000,INDEX('MCR Rates'!$A$7:$K$11,K42,10)/1000))</f>
        <v>812.05679839113168</v>
      </c>
      <c r="O42" s="51">
        <f t="shared" si="13"/>
        <v>36238</v>
      </c>
      <c r="P42" s="51">
        <f t="shared" si="14"/>
        <v>4251</v>
      </c>
      <c r="Q42" s="68">
        <f t="shared" si="15"/>
        <v>40489</v>
      </c>
      <c r="R42" s="140">
        <v>25562</v>
      </c>
      <c r="S42" s="51">
        <f t="shared" si="16"/>
        <v>14927</v>
      </c>
      <c r="T42" s="3">
        <f t="shared" si="17"/>
        <v>0.58395274235192862</v>
      </c>
      <c r="U42" s="3"/>
      <c r="V42" s="132"/>
      <c r="W42" s="133"/>
      <c r="X42" s="134"/>
      <c r="Y42" s="133"/>
      <c r="Z42" s="51"/>
      <c r="AA42" s="9"/>
    </row>
    <row r="43" spans="1:27" x14ac:dyDescent="0.3">
      <c r="A43" s="153">
        <v>40</v>
      </c>
      <c r="B43" s="50" t="str">
        <f>'1014 projects'!C45</f>
        <v>75060522</v>
      </c>
      <c r="C43">
        <f>'1014 projects'!N45</f>
        <v>1</v>
      </c>
      <c r="D43" s="59">
        <f>VALUE('1014 projects'!K45)</f>
        <v>160</v>
      </c>
      <c r="E43" s="59">
        <f>VALUE('1014 projects'!L45)</f>
        <v>196</v>
      </c>
      <c r="F43" s="52">
        <f t="shared" si="10"/>
        <v>0.81632653061224492</v>
      </c>
      <c r="G43" s="59">
        <f t="shared" si="11"/>
        <v>196</v>
      </c>
      <c r="H43">
        <v>0.75</v>
      </c>
      <c r="I43" s="59">
        <f t="shared" si="12"/>
        <v>147</v>
      </c>
      <c r="J43" t="str">
        <f>'1014 projects'!R45</f>
        <v>HV Feeder</v>
      </c>
      <c r="K43">
        <f>MATCH(J43,Lookups!$B$3:$B$7,0)</f>
        <v>3</v>
      </c>
      <c r="L43" s="7" t="str">
        <f>'1014 projects'!W45</f>
        <v>Y</v>
      </c>
      <c r="M43" s="7" t="str">
        <f>'1014 projects'!T45</f>
        <v>N</v>
      </c>
      <c r="N43" s="54" cm="1">
        <f t="array" ref="N43">IF(G43=0,0,IF(M43="Y",INDEX('MCR Rates'!$A$7:$K$11,K43,11)/1000,INDEX('MCR Rates'!$A$7:$K$11,K43,10)/1000))</f>
        <v>438.83943785721226</v>
      </c>
      <c r="O43" s="51">
        <f t="shared" si="13"/>
        <v>64509</v>
      </c>
      <c r="P43" s="51">
        <f t="shared" si="14"/>
        <v>7568</v>
      </c>
      <c r="Q43" s="68">
        <f t="shared" si="15"/>
        <v>72077</v>
      </c>
      <c r="R43" s="140">
        <v>70419</v>
      </c>
      <c r="S43" s="51">
        <f t="shared" si="16"/>
        <v>1658</v>
      </c>
      <c r="T43" s="3">
        <f t="shared" si="17"/>
        <v>2.3544781948053792E-2</v>
      </c>
      <c r="U43" s="3"/>
      <c r="V43" s="132"/>
      <c r="W43" s="133"/>
      <c r="X43" s="134"/>
      <c r="Y43" s="133"/>
      <c r="Z43" s="51"/>
      <c r="AA43" s="9"/>
    </row>
    <row r="44" spans="1:27" x14ac:dyDescent="0.3">
      <c r="A44" s="153">
        <v>41</v>
      </c>
      <c r="B44" s="50" t="str">
        <f>'1014 projects'!C46</f>
        <v>75093476</v>
      </c>
      <c r="C44">
        <f>'1014 projects'!N46</f>
        <v>1</v>
      </c>
      <c r="D44" s="59">
        <f>VALUE('1014 projects'!K46)</f>
        <v>40</v>
      </c>
      <c r="E44" s="59">
        <f>VALUE('1014 projects'!L46)</f>
        <v>40</v>
      </c>
      <c r="F44" s="52">
        <f t="shared" si="10"/>
        <v>1</v>
      </c>
      <c r="G44" s="59">
        <f t="shared" si="11"/>
        <v>40</v>
      </c>
      <c r="H44">
        <v>0.75</v>
      </c>
      <c r="I44" s="59">
        <f t="shared" si="12"/>
        <v>30</v>
      </c>
      <c r="J44" t="str">
        <f>'1014 projects'!R46</f>
        <v>HV Feeder</v>
      </c>
      <c r="K44">
        <f>MATCH(J44,Lookups!$B$3:$B$7,0)</f>
        <v>3</v>
      </c>
      <c r="L44" s="7" t="str">
        <f>'1014 projects'!W46</f>
        <v>Y</v>
      </c>
      <c r="M44" s="7" t="str">
        <f>'1014 projects'!T46</f>
        <v>N</v>
      </c>
      <c r="N44" s="54" cm="1">
        <f t="array" ref="N44">IF(G44=0,0,IF(M44="Y",INDEX('MCR Rates'!$A$7:$K$11,K44,11)/1000,INDEX('MCR Rates'!$A$7:$K$11,K44,10)/1000))</f>
        <v>438.83943785721226</v>
      </c>
      <c r="O44" s="51">
        <f t="shared" si="13"/>
        <v>13165</v>
      </c>
      <c r="P44" s="51">
        <f t="shared" si="14"/>
        <v>1544</v>
      </c>
      <c r="Q44" s="68">
        <f t="shared" si="15"/>
        <v>14709</v>
      </c>
      <c r="R44" s="140">
        <v>8483</v>
      </c>
      <c r="S44" s="51">
        <f t="shared" si="16"/>
        <v>6226</v>
      </c>
      <c r="T44" s="3">
        <f t="shared" si="17"/>
        <v>0.73393846516562533</v>
      </c>
      <c r="U44" s="3"/>
      <c r="V44" s="132"/>
      <c r="W44" s="133"/>
      <c r="X44" s="134"/>
      <c r="Y44" s="133"/>
      <c r="Z44" s="51"/>
      <c r="AA44" s="9"/>
    </row>
    <row r="45" spans="1:27" x14ac:dyDescent="0.3">
      <c r="A45" s="153">
        <v>42</v>
      </c>
      <c r="B45" s="50" t="str">
        <f>'1014 projects'!C47</f>
        <v>75088155</v>
      </c>
      <c r="C45">
        <f>'1014 projects'!N47</f>
        <v>1</v>
      </c>
      <c r="D45" s="59">
        <f>VALUE('1014 projects'!K47)</f>
        <v>67</v>
      </c>
      <c r="E45" s="59">
        <f>VALUE('1014 projects'!L47)</f>
        <v>83.8</v>
      </c>
      <c r="F45" s="52">
        <f t="shared" si="10"/>
        <v>0.79952267303102631</v>
      </c>
      <c r="G45" s="59">
        <f t="shared" si="11"/>
        <v>83.8</v>
      </c>
      <c r="H45">
        <v>0.75</v>
      </c>
      <c r="I45" s="59">
        <f t="shared" si="12"/>
        <v>62.849999999999994</v>
      </c>
      <c r="J45" t="str">
        <f>'1014 projects'!R47</f>
        <v>HV Feeder</v>
      </c>
      <c r="K45">
        <f>MATCH(J45,Lookups!$B$3:$B$7,0)</f>
        <v>3</v>
      </c>
      <c r="L45" s="7" t="str">
        <f>'1014 projects'!W47</f>
        <v>Y</v>
      </c>
      <c r="M45" s="7" t="str">
        <f>'1014 projects'!T47</f>
        <v>N</v>
      </c>
      <c r="N45" s="54" cm="1">
        <f t="array" ref="N45">IF(G45=0,0,IF(M45="Y",INDEX('MCR Rates'!$A$7:$K$11,K45,11)/1000,INDEX('MCR Rates'!$A$7:$K$11,K45,10)/1000))</f>
        <v>438.83943785721226</v>
      </c>
      <c r="O45" s="51">
        <f t="shared" si="13"/>
        <v>27581</v>
      </c>
      <c r="P45" s="51">
        <f t="shared" si="14"/>
        <v>3236</v>
      </c>
      <c r="Q45" s="68">
        <f t="shared" si="15"/>
        <v>30817</v>
      </c>
      <c r="R45" s="140">
        <v>16869</v>
      </c>
      <c r="S45" s="51">
        <f t="shared" si="16"/>
        <v>13948</v>
      </c>
      <c r="T45" s="3">
        <f t="shared" si="17"/>
        <v>0.82684213646333515</v>
      </c>
      <c r="U45" s="3"/>
      <c r="V45" s="132"/>
      <c r="W45" s="133"/>
      <c r="X45" s="134"/>
      <c r="Y45" s="133"/>
      <c r="Z45" s="51"/>
      <c r="AA45" s="9"/>
    </row>
    <row r="46" spans="1:27" x14ac:dyDescent="0.3">
      <c r="A46" s="153">
        <v>43</v>
      </c>
      <c r="B46" s="50" t="str">
        <f>'1014 projects'!C48</f>
        <v>75089798</v>
      </c>
      <c r="C46">
        <f>'1014 projects'!N48</f>
        <v>1</v>
      </c>
      <c r="D46" s="59">
        <f>VALUE('1014 projects'!K48)</f>
        <v>57</v>
      </c>
      <c r="E46" s="59">
        <f>VALUE('1014 projects'!L48)</f>
        <v>71.3</v>
      </c>
      <c r="F46" s="52">
        <f t="shared" si="10"/>
        <v>0.79943899018232822</v>
      </c>
      <c r="G46" s="59">
        <f t="shared" si="11"/>
        <v>71.3</v>
      </c>
      <c r="H46">
        <v>0.75</v>
      </c>
      <c r="I46" s="59">
        <f t="shared" si="12"/>
        <v>53.474999999999994</v>
      </c>
      <c r="J46" t="str">
        <f>'1014 projects'!R48</f>
        <v>LV Feeder</v>
      </c>
      <c r="K46">
        <f>MATCH(J46,Lookups!$B$3:$B$7,0)</f>
        <v>1</v>
      </c>
      <c r="L46" s="7" t="str">
        <f>'1014 projects'!W48</f>
        <v>Y</v>
      </c>
      <c r="M46" s="7" t="str">
        <f>'1014 projects'!T48</f>
        <v>N</v>
      </c>
      <c r="N46" s="54" cm="1">
        <f t="array" ref="N46">IF(G46=0,0,IF(M46="Y",INDEX('MCR Rates'!$A$7:$K$11,K46,11)/1000,INDEX('MCR Rates'!$A$7:$K$11,K46,10)/1000))</f>
        <v>812.05679839113168</v>
      </c>
      <c r="O46" s="51">
        <f t="shared" si="13"/>
        <v>43425</v>
      </c>
      <c r="P46" s="51">
        <f t="shared" si="14"/>
        <v>5094</v>
      </c>
      <c r="Q46" s="68">
        <f t="shared" si="15"/>
        <v>48519</v>
      </c>
      <c r="R46" s="140">
        <v>32271</v>
      </c>
      <c r="S46" s="51">
        <f t="shared" si="16"/>
        <v>16248</v>
      </c>
      <c r="T46" s="3">
        <f t="shared" si="17"/>
        <v>0.50348610207306865</v>
      </c>
      <c r="U46" s="3"/>
      <c r="V46" s="132"/>
      <c r="W46" s="133"/>
      <c r="X46" s="134"/>
      <c r="Y46" s="133"/>
      <c r="Z46" s="51"/>
      <c r="AA46" s="9"/>
    </row>
    <row r="47" spans="1:27" x14ac:dyDescent="0.3">
      <c r="A47" s="153">
        <v>44</v>
      </c>
      <c r="B47" s="50">
        <f>'1014 projects'!C49</f>
        <v>0</v>
      </c>
      <c r="C47">
        <f>'1014 projects'!N49</f>
        <v>9</v>
      </c>
      <c r="D47" s="59">
        <f>VALUE('1014 projects'!K49)</f>
        <v>0</v>
      </c>
      <c r="E47" s="59">
        <f>VALUE('1014 projects'!L49)</f>
        <v>0</v>
      </c>
      <c r="F47" s="52" t="e">
        <f t="shared" si="10"/>
        <v>#DIV/0!</v>
      </c>
      <c r="G47" s="59">
        <f t="shared" si="11"/>
        <v>0</v>
      </c>
      <c r="H47">
        <v>0.75</v>
      </c>
      <c r="I47" s="59">
        <f t="shared" si="12"/>
        <v>0</v>
      </c>
      <c r="J47">
        <f>'1014 projects'!R49</f>
        <v>0</v>
      </c>
      <c r="K47" t="e">
        <f>MATCH(J47,Lookups!$B$3:$B$7,0)</f>
        <v>#N/A</v>
      </c>
      <c r="L47" s="7" t="str">
        <f>'1014 projects'!W49</f>
        <v>N</v>
      </c>
      <c r="M47" s="7">
        <f>'1014 projects'!T49</f>
        <v>0</v>
      </c>
      <c r="N47" s="54" cm="1">
        <f t="array" ref="N47">IF(G47=0,0,IF(M47="Y",INDEX('MCR Rates'!$A$7:$K$11,K47,11)/1000,INDEX('MCR Rates'!$A$7:$K$11,K47,10)/1000))</f>
        <v>0</v>
      </c>
      <c r="O47" s="51">
        <f t="shared" si="13"/>
        <v>0</v>
      </c>
      <c r="P47" s="51">
        <f t="shared" si="14"/>
        <v>0</v>
      </c>
      <c r="Q47" s="68">
        <f t="shared" si="15"/>
        <v>0</v>
      </c>
      <c r="R47" s="140">
        <v>0</v>
      </c>
      <c r="S47" s="51">
        <f t="shared" si="16"/>
        <v>0</v>
      </c>
      <c r="T47" s="3">
        <f t="shared" si="17"/>
        <v>0</v>
      </c>
      <c r="U47" s="3"/>
      <c r="V47" s="132"/>
      <c r="W47" s="133"/>
      <c r="X47" s="134"/>
      <c r="Y47" s="133"/>
      <c r="Z47" s="51"/>
      <c r="AA47" s="9"/>
    </row>
    <row r="48" spans="1:27" x14ac:dyDescent="0.3">
      <c r="A48" s="153">
        <v>45</v>
      </c>
      <c r="B48" s="50" t="str">
        <f>'1014 projects'!C50</f>
        <v>75081423</v>
      </c>
      <c r="C48">
        <f>'1014 projects'!N50</f>
        <v>1</v>
      </c>
      <c r="D48" s="59">
        <f>VALUE('1014 projects'!K50)</f>
        <v>200</v>
      </c>
      <c r="E48" s="59">
        <f>VALUE('1014 projects'!L50)</f>
        <v>135</v>
      </c>
      <c r="F48" s="52">
        <f t="shared" si="10"/>
        <v>1.4814814814814814</v>
      </c>
      <c r="G48" s="59">
        <f t="shared" si="11"/>
        <v>135</v>
      </c>
      <c r="H48">
        <v>0.75</v>
      </c>
      <c r="I48" s="59">
        <f t="shared" si="12"/>
        <v>101.25</v>
      </c>
      <c r="J48" t="str">
        <f>'1014 projects'!R50</f>
        <v>HV Feeder</v>
      </c>
      <c r="K48">
        <f>MATCH(J48,Lookups!$B$3:$B$7,0)</f>
        <v>3</v>
      </c>
      <c r="L48" s="7" t="str">
        <f>'1014 projects'!W50</f>
        <v>Y</v>
      </c>
      <c r="M48" s="7" t="str">
        <f>'1014 projects'!T50</f>
        <v>N</v>
      </c>
      <c r="N48" s="54" cm="1">
        <f t="array" ref="N48">IF(G48=0,0,IF(M48="Y",INDEX('MCR Rates'!$A$7:$K$11,K48,11)/1000,INDEX('MCR Rates'!$A$7:$K$11,K48,10)/1000))</f>
        <v>438.83943785721226</v>
      </c>
      <c r="O48" s="51">
        <f t="shared" si="13"/>
        <v>44432</v>
      </c>
      <c r="P48" s="51">
        <f t="shared" si="14"/>
        <v>5213</v>
      </c>
      <c r="Q48" s="68">
        <f t="shared" si="15"/>
        <v>49645</v>
      </c>
      <c r="R48" s="140">
        <v>27176</v>
      </c>
      <c r="S48" s="51">
        <f t="shared" si="16"/>
        <v>22469</v>
      </c>
      <c r="T48" s="3">
        <f t="shared" si="17"/>
        <v>0.82679570209007947</v>
      </c>
      <c r="U48" s="3"/>
      <c r="V48" s="132"/>
      <c r="W48" s="133"/>
      <c r="X48" s="134"/>
      <c r="Y48" s="133"/>
      <c r="Z48" s="51"/>
      <c r="AA48" s="9"/>
    </row>
    <row r="49" spans="1:27" x14ac:dyDescent="0.3">
      <c r="A49" s="153">
        <v>46</v>
      </c>
      <c r="B49" s="50">
        <f>'1014 projects'!C51</f>
        <v>0</v>
      </c>
      <c r="C49">
        <f>'1014 projects'!N51</f>
        <v>0</v>
      </c>
      <c r="D49" s="59">
        <f>VALUE('1014 projects'!K51)</f>
        <v>0</v>
      </c>
      <c r="E49" s="59">
        <f>VALUE('1014 projects'!L51)</f>
        <v>0</v>
      </c>
      <c r="F49" s="52" t="e">
        <f t="shared" ref="F49" si="18">D49/E49</f>
        <v>#DIV/0!</v>
      </c>
      <c r="G49" s="59">
        <f t="shared" ref="G49" si="19">C49*E49</f>
        <v>0</v>
      </c>
      <c r="H49">
        <v>0.75</v>
      </c>
      <c r="I49" s="59">
        <f t="shared" ref="I49" si="20">G49*H49</f>
        <v>0</v>
      </c>
      <c r="J49">
        <f>'1014 projects'!R51</f>
        <v>0</v>
      </c>
      <c r="K49" t="e">
        <f>MATCH(J49,Lookups!$B$3:$B$7,0)</f>
        <v>#N/A</v>
      </c>
      <c r="L49" s="7">
        <f>'1014 projects'!W51</f>
        <v>0</v>
      </c>
      <c r="M49" s="7">
        <f>'1014 projects'!T51</f>
        <v>0</v>
      </c>
      <c r="N49" s="54" cm="1">
        <f t="array" ref="N49">IF(G49=0,0,IF(M49="Y",INDEX('MCR Rates'!$A$7:$K$11,K49,11)/1000,INDEX('MCR Rates'!$A$7:$K$11,K49,10)/1000))</f>
        <v>0</v>
      </c>
      <c r="O49" s="51">
        <f t="shared" ref="O49" si="21">ROUND(I49*N49,0)</f>
        <v>0</v>
      </c>
      <c r="P49" s="51">
        <f t="shared" ref="P49" si="22">ROUND(O49*$P$2,0)</f>
        <v>0</v>
      </c>
      <c r="Q49" s="68">
        <f t="shared" ref="Q49" si="23">SUM(O49:P49)</f>
        <v>0</v>
      </c>
      <c r="R49" s="140">
        <v>27176</v>
      </c>
      <c r="S49" s="51">
        <f t="shared" ref="S49" si="24">Q49-R49</f>
        <v>-27176</v>
      </c>
      <c r="T49" s="3">
        <f t="shared" ref="T49" si="25">IF(Q49=0,0,S49/R49)</f>
        <v>0</v>
      </c>
      <c r="U49" s="3"/>
      <c r="V49" s="132"/>
      <c r="W49" s="133"/>
      <c r="X49" s="134"/>
      <c r="Y49" s="133"/>
      <c r="Z49" s="51"/>
      <c r="AA49" s="9"/>
    </row>
    <row r="50" spans="1:27" x14ac:dyDescent="0.3">
      <c r="A50" s="153">
        <v>47</v>
      </c>
      <c r="B50" s="50" t="str">
        <f>'1014 projects'!C52</f>
        <v>75078358</v>
      </c>
      <c r="C50">
        <f>'1014 projects'!N52</f>
        <v>1</v>
      </c>
      <c r="D50" s="59">
        <f>VALUE('1014 projects'!K52)</f>
        <v>82</v>
      </c>
      <c r="E50" s="59">
        <f>VALUE('1014 projects'!L52)</f>
        <v>102.5</v>
      </c>
      <c r="F50" s="52">
        <f t="shared" si="10"/>
        <v>0.8</v>
      </c>
      <c r="G50" s="59">
        <f t="shared" si="11"/>
        <v>102.5</v>
      </c>
      <c r="H50">
        <v>0.75</v>
      </c>
      <c r="I50" s="59">
        <f t="shared" si="12"/>
        <v>76.875</v>
      </c>
      <c r="J50" t="str">
        <f>'1014 projects'!R52</f>
        <v>HV Feeder</v>
      </c>
      <c r="K50">
        <f>MATCH(J50,Lookups!$B$3:$B$7,0)</f>
        <v>3</v>
      </c>
      <c r="L50" s="7" t="str">
        <f>'1014 projects'!W52</f>
        <v>Y</v>
      </c>
      <c r="M50" s="7" t="str">
        <f>'1014 projects'!T52</f>
        <v>N</v>
      </c>
      <c r="N50" s="54" cm="1">
        <f t="array" ref="N50">IF(G50=0,0,IF(M50="Y",INDEX('MCR Rates'!$A$7:$K$11,K50,11)/1000,INDEX('MCR Rates'!$A$7:$K$11,K50,10)/1000))</f>
        <v>438.83943785721226</v>
      </c>
      <c r="O50" s="51">
        <f t="shared" si="13"/>
        <v>33736</v>
      </c>
      <c r="P50" s="51">
        <f t="shared" si="14"/>
        <v>3958</v>
      </c>
      <c r="Q50" s="68">
        <f t="shared" si="15"/>
        <v>37694</v>
      </c>
      <c r="R50" s="140">
        <v>20540</v>
      </c>
      <c r="S50" s="51">
        <f t="shared" si="16"/>
        <v>17154</v>
      </c>
      <c r="T50" s="3">
        <f t="shared" si="17"/>
        <v>0.83515092502434274</v>
      </c>
      <c r="U50" s="3"/>
      <c r="V50" s="132"/>
      <c r="W50" s="133"/>
      <c r="X50" s="134"/>
      <c r="Y50" s="133"/>
      <c r="Z50" s="51"/>
      <c r="AA50" s="9"/>
    </row>
    <row r="51" spans="1:27" x14ac:dyDescent="0.3">
      <c r="A51" s="153">
        <v>48</v>
      </c>
      <c r="B51" s="50" t="str">
        <f>'1014 projects'!C53</f>
        <v>75074655</v>
      </c>
      <c r="C51">
        <f>'1014 projects'!N53</f>
        <v>1</v>
      </c>
      <c r="D51" s="59">
        <f>VALUE('1014 projects'!K53)</f>
        <v>166</v>
      </c>
      <c r="E51" s="59">
        <f>VALUE('1014 projects'!L53)</f>
        <v>207.5</v>
      </c>
      <c r="F51" s="52">
        <f t="shared" si="10"/>
        <v>0.8</v>
      </c>
      <c r="G51" s="59">
        <f t="shared" si="11"/>
        <v>207.5</v>
      </c>
      <c r="H51">
        <v>0.75</v>
      </c>
      <c r="I51" s="59">
        <f t="shared" si="12"/>
        <v>155.625</v>
      </c>
      <c r="J51" t="str">
        <f>'1014 projects'!R53</f>
        <v>HV Feeder</v>
      </c>
      <c r="K51">
        <f>MATCH(J51,Lookups!$B$3:$B$7,0)</f>
        <v>3</v>
      </c>
      <c r="L51" s="7" t="str">
        <f>'1014 projects'!W53</f>
        <v>Y</v>
      </c>
      <c r="M51" s="7" t="str">
        <f>'1014 projects'!T53</f>
        <v>N</v>
      </c>
      <c r="N51" s="54" cm="1">
        <f t="array" ref="N51">IF(G51=0,0,IF(M51="Y",INDEX('MCR Rates'!$A$7:$K$11,K51,11)/1000,INDEX('MCR Rates'!$A$7:$K$11,K51,10)/1000))</f>
        <v>438.83943785721226</v>
      </c>
      <c r="O51" s="51">
        <f t="shared" si="13"/>
        <v>68294</v>
      </c>
      <c r="P51" s="51">
        <f t="shared" si="14"/>
        <v>8012</v>
      </c>
      <c r="Q51" s="68">
        <f t="shared" si="15"/>
        <v>76306</v>
      </c>
      <c r="R51" s="140">
        <v>41582</v>
      </c>
      <c r="S51" s="51">
        <f t="shared" si="16"/>
        <v>34724</v>
      </c>
      <c r="T51" s="3">
        <f t="shared" si="17"/>
        <v>0.83507286806791403</v>
      </c>
      <c r="U51" s="3"/>
      <c r="V51" s="132"/>
      <c r="W51" s="133"/>
      <c r="X51" s="134"/>
      <c r="Y51" s="133"/>
      <c r="Z51" s="51"/>
      <c r="AA51" s="9"/>
    </row>
    <row r="52" spans="1:27" x14ac:dyDescent="0.3">
      <c r="A52" s="153">
        <v>49</v>
      </c>
      <c r="B52" s="50" t="str">
        <f>'1014 projects'!C54</f>
        <v>75081130</v>
      </c>
      <c r="C52">
        <f>'1014 projects'!N54</f>
        <v>1</v>
      </c>
      <c r="D52" s="59">
        <f>VALUE('1014 projects'!K54)</f>
        <v>48</v>
      </c>
      <c r="E52" s="59">
        <f>VALUE('1014 projects'!L54)</f>
        <v>60</v>
      </c>
      <c r="F52" s="52">
        <f t="shared" si="10"/>
        <v>0.8</v>
      </c>
      <c r="G52" s="59">
        <f t="shared" si="11"/>
        <v>60</v>
      </c>
      <c r="H52">
        <v>0.75</v>
      </c>
      <c r="I52" s="59">
        <f t="shared" si="12"/>
        <v>45</v>
      </c>
      <c r="J52" t="str">
        <f>'1014 projects'!R54</f>
        <v>Distribution substation</v>
      </c>
      <c r="K52">
        <f>MATCH(J52,Lookups!$B$3:$B$7,0)</f>
        <v>2</v>
      </c>
      <c r="L52" s="7" t="str">
        <f>'1014 projects'!W54</f>
        <v>Y</v>
      </c>
      <c r="M52" s="7" t="str">
        <f>'1014 projects'!T54</f>
        <v>N</v>
      </c>
      <c r="N52" s="54" cm="1">
        <f t="array" ref="N52">IF(G52=0,0,IF(M52="Y",INDEX('MCR Rates'!$A$7:$K$11,K52,11)/1000,INDEX('MCR Rates'!$A$7:$K$11,K52,10)/1000))</f>
        <v>677.70427178807313</v>
      </c>
      <c r="O52" s="51">
        <f t="shared" si="13"/>
        <v>30497</v>
      </c>
      <c r="P52" s="51">
        <f t="shared" si="14"/>
        <v>3578</v>
      </c>
      <c r="Q52" s="68">
        <f t="shared" si="15"/>
        <v>34075</v>
      </c>
      <c r="R52" s="140">
        <v>20435</v>
      </c>
      <c r="S52" s="51">
        <f t="shared" si="16"/>
        <v>13640</v>
      </c>
      <c r="T52" s="3">
        <f t="shared" si="17"/>
        <v>0.66748226082701245</v>
      </c>
      <c r="U52" s="3"/>
      <c r="V52" s="132"/>
      <c r="W52" s="133"/>
      <c r="X52" s="134"/>
      <c r="Y52" s="133"/>
      <c r="Z52" s="51"/>
      <c r="AA52" s="9"/>
    </row>
    <row r="53" spans="1:27" x14ac:dyDescent="0.3">
      <c r="A53" s="153">
        <v>50</v>
      </c>
      <c r="B53" s="50" t="str">
        <f>'1014 projects'!C55</f>
        <v>75085164</v>
      </c>
      <c r="C53">
        <f>'1014 projects'!N55</f>
        <v>1</v>
      </c>
      <c r="D53" s="59">
        <f>VALUE('1014 projects'!K55)</f>
        <v>51.2</v>
      </c>
      <c r="E53" s="59">
        <f>VALUE('1014 projects'!L55)</f>
        <v>64</v>
      </c>
      <c r="F53" s="52">
        <f t="shared" si="10"/>
        <v>0.8</v>
      </c>
      <c r="G53" s="59">
        <f t="shared" si="11"/>
        <v>64</v>
      </c>
      <c r="H53">
        <v>0.75</v>
      </c>
      <c r="I53" s="59">
        <f t="shared" si="12"/>
        <v>48</v>
      </c>
      <c r="J53" t="str">
        <f>'1014 projects'!R55</f>
        <v>HV Feeder</v>
      </c>
      <c r="K53">
        <f>MATCH(J53,Lookups!$B$3:$B$7,0)</f>
        <v>3</v>
      </c>
      <c r="L53" s="7" t="str">
        <f>'1014 projects'!W55</f>
        <v>Y</v>
      </c>
      <c r="M53" s="7" t="str">
        <f>'1014 projects'!T55</f>
        <v>N</v>
      </c>
      <c r="N53" s="54" cm="1">
        <f t="array" ref="N53">IF(G53=0,0,IF(M53="Y",INDEX('MCR Rates'!$A$7:$K$11,K53,11)/1000,INDEX('MCR Rates'!$A$7:$K$11,K53,10)/1000))</f>
        <v>438.83943785721226</v>
      </c>
      <c r="O53" s="51">
        <f t="shared" si="13"/>
        <v>21064</v>
      </c>
      <c r="P53" s="51">
        <f t="shared" si="14"/>
        <v>2471</v>
      </c>
      <c r="Q53" s="68">
        <f t="shared" si="15"/>
        <v>23535</v>
      </c>
      <c r="R53" s="140">
        <v>12883</v>
      </c>
      <c r="S53" s="51">
        <f t="shared" si="16"/>
        <v>10652</v>
      </c>
      <c r="T53" s="3">
        <f t="shared" si="17"/>
        <v>0.82682604983311336</v>
      </c>
      <c r="U53" s="3"/>
      <c r="V53" s="132"/>
      <c r="W53" s="133"/>
      <c r="X53" s="134"/>
      <c r="Y53" s="133"/>
      <c r="Z53" s="51"/>
      <c r="AA53" s="9"/>
    </row>
  </sheetData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25"/>
  <sheetViews>
    <sheetView zoomScale="85" zoomScaleNormal="85" workbookViewId="0">
      <selection activeCell="E21" sqref="E21"/>
    </sheetView>
  </sheetViews>
  <sheetFormatPr defaultRowHeight="14.65" x14ac:dyDescent="0.3"/>
  <cols>
    <col min="1" max="1" width="3.5546875" customWidth="1"/>
    <col min="2" max="2" width="36.44140625" customWidth="1"/>
    <col min="3" max="3" width="14.33203125" customWidth="1"/>
    <col min="4" max="4" width="1.6640625" customWidth="1"/>
    <col min="5" max="7" width="11.33203125" customWidth="1"/>
    <col min="8" max="8" width="2.33203125" customWidth="1"/>
    <col min="9" max="9" width="11.33203125" customWidth="1"/>
    <col min="10" max="10" width="13.109375" customWidth="1"/>
    <col min="11" max="11" width="12" customWidth="1"/>
    <col min="15" max="15" width="10.33203125" customWidth="1"/>
    <col min="16" max="16" width="10.33203125" bestFit="1" customWidth="1"/>
    <col min="18" max="18" width="11.33203125" bestFit="1" customWidth="1"/>
    <col min="19" max="19" width="10.44140625" bestFit="1" customWidth="1"/>
    <col min="22" max="22" width="13.33203125" customWidth="1"/>
    <col min="24" max="24" width="10.44140625" customWidth="1"/>
  </cols>
  <sheetData>
    <row r="1" spans="1:25" x14ac:dyDescent="0.3">
      <c r="B1" s="60" t="s">
        <v>68</v>
      </c>
    </row>
    <row r="2" spans="1:25" x14ac:dyDescent="0.3">
      <c r="B2" s="60"/>
      <c r="E2" s="135"/>
    </row>
    <row r="3" spans="1:25" x14ac:dyDescent="0.3">
      <c r="B3" s="60" t="s">
        <v>90</v>
      </c>
      <c r="N3" s="127"/>
      <c r="U3" s="127"/>
      <c r="V3" s="127"/>
      <c r="W3" s="127"/>
      <c r="X3" s="127"/>
      <c r="Y3" s="127"/>
    </row>
    <row r="4" spans="1:25" x14ac:dyDescent="0.3">
      <c r="B4" s="61"/>
      <c r="F4" s="36" t="s">
        <v>88</v>
      </c>
      <c r="G4" s="36" t="s">
        <v>89</v>
      </c>
      <c r="J4" s="36" t="s">
        <v>88</v>
      </c>
      <c r="K4" s="36" t="s">
        <v>89</v>
      </c>
      <c r="N4" s="127"/>
      <c r="O4" s="36"/>
      <c r="P4" s="36"/>
      <c r="S4" s="36"/>
      <c r="T4" s="36"/>
      <c r="U4" s="127"/>
      <c r="V4" s="127"/>
      <c r="W4" s="127"/>
      <c r="X4" s="127"/>
      <c r="Y4" s="127"/>
    </row>
    <row r="5" spans="1:25" ht="44" x14ac:dyDescent="0.3">
      <c r="B5" s="156" t="s">
        <v>69</v>
      </c>
      <c r="C5" s="36" t="s">
        <v>192</v>
      </c>
      <c r="E5" s="49" t="s">
        <v>70</v>
      </c>
      <c r="F5" s="49" t="s">
        <v>71</v>
      </c>
      <c r="G5" s="49" t="s">
        <v>71</v>
      </c>
      <c r="H5" s="7"/>
      <c r="I5" s="49" t="s">
        <v>70</v>
      </c>
      <c r="J5" s="49" t="s">
        <v>71</v>
      </c>
      <c r="K5" s="49" t="s">
        <v>71</v>
      </c>
      <c r="N5" s="49"/>
      <c r="O5" s="49"/>
      <c r="P5" s="49"/>
      <c r="Q5" s="7"/>
      <c r="R5" s="49"/>
      <c r="S5" s="49"/>
      <c r="T5" s="49"/>
      <c r="U5" s="127"/>
      <c r="V5" s="49"/>
      <c r="W5" s="49"/>
      <c r="X5" s="49"/>
      <c r="Y5" s="49"/>
    </row>
    <row r="6" spans="1:25" x14ac:dyDescent="0.3">
      <c r="E6" s="70" t="s">
        <v>72</v>
      </c>
      <c r="F6" s="70" t="s">
        <v>72</v>
      </c>
      <c r="G6" s="70" t="s">
        <v>72</v>
      </c>
      <c r="H6" s="7"/>
      <c r="I6" s="70" t="s">
        <v>73</v>
      </c>
      <c r="J6" s="70" t="s">
        <v>73</v>
      </c>
      <c r="K6" s="70" t="s">
        <v>73</v>
      </c>
      <c r="N6" s="70"/>
      <c r="O6" s="70"/>
      <c r="P6" s="70"/>
      <c r="Q6" s="7"/>
      <c r="R6" s="70"/>
      <c r="S6" s="70"/>
      <c r="T6" s="70"/>
      <c r="U6" s="127"/>
      <c r="V6" s="70"/>
      <c r="W6" s="70"/>
      <c r="X6" s="70"/>
      <c r="Y6" s="70"/>
    </row>
    <row r="7" spans="1:25" x14ac:dyDescent="0.3">
      <c r="A7">
        <v>1</v>
      </c>
      <c r="B7" t="s">
        <v>74</v>
      </c>
      <c r="C7" s="205">
        <v>307504.27379060851</v>
      </c>
      <c r="E7" s="62">
        <f>$C7*$C$21</f>
        <v>210004.72627369571</v>
      </c>
      <c r="F7" s="63">
        <f>SUM($E7:E$11)</f>
        <v>1269315.6576702667</v>
      </c>
      <c r="G7" s="63">
        <f>SUM($E7:E$11)</f>
        <v>1269315.6576702667</v>
      </c>
      <c r="I7" s="62">
        <f>$C7*$C$22</f>
        <v>134352.52660305859</v>
      </c>
      <c r="J7" s="63">
        <f>SUM($I7:I$11)</f>
        <v>812056.79839113168</v>
      </c>
      <c r="K7" s="63">
        <f>SUM($I7:I$11)</f>
        <v>812056.79839113168</v>
      </c>
      <c r="N7" s="63"/>
      <c r="O7" s="63"/>
      <c r="P7" s="62"/>
      <c r="R7" s="62"/>
      <c r="S7" s="63"/>
      <c r="T7" s="62"/>
      <c r="U7" s="127"/>
      <c r="V7" s="128"/>
      <c r="W7" s="128"/>
      <c r="X7" s="124"/>
      <c r="Y7" s="124"/>
    </row>
    <row r="8" spans="1:25" x14ac:dyDescent="0.3">
      <c r="A8">
        <v>2</v>
      </c>
      <c r="B8" t="s">
        <v>91</v>
      </c>
      <c r="C8" s="205">
        <v>546710.65106974693</v>
      </c>
      <c r="E8" s="62">
        <f t="shared" ref="E8:E12" si="0">$C8*$C$21</f>
        <v>373366.58516491373</v>
      </c>
      <c r="F8" s="63">
        <f>SUM($E8:E$11)</f>
        <v>1059310.931396571</v>
      </c>
      <c r="G8" s="63">
        <f>SUM($E8:E$11)</f>
        <v>1059310.931396571</v>
      </c>
      <c r="I8" s="62">
        <f t="shared" ref="I8:I12" si="1">$C8*$C$22</f>
        <v>238864.8339308608</v>
      </c>
      <c r="J8" s="63">
        <f>SUM($I8:I$11)</f>
        <v>677704.27178807312</v>
      </c>
      <c r="K8" s="63">
        <f>SUM($I8:I$11)</f>
        <v>677704.27178807312</v>
      </c>
      <c r="N8" s="62"/>
      <c r="O8" s="63"/>
      <c r="P8" s="62"/>
      <c r="R8" s="62"/>
      <c r="S8" s="63"/>
      <c r="T8" s="62"/>
      <c r="U8" s="127"/>
      <c r="V8" s="128"/>
      <c r="W8" s="128"/>
      <c r="X8" s="124"/>
      <c r="Y8" s="124"/>
    </row>
    <row r="9" spans="1:25" x14ac:dyDescent="0.3">
      <c r="A9">
        <v>3</v>
      </c>
      <c r="B9" t="s">
        <v>75</v>
      </c>
      <c r="C9" s="205">
        <v>362692.31023981638</v>
      </c>
      <c r="E9" s="62">
        <f t="shared" si="0"/>
        <v>247694.44142864848</v>
      </c>
      <c r="F9" s="63">
        <f>SUM($E9:E$11)</f>
        <v>685944.34623165731</v>
      </c>
      <c r="G9" s="63">
        <f>SUM($E9:E$12)</f>
        <v>949198.64467793703</v>
      </c>
      <c r="I9" s="62">
        <f t="shared" si="1"/>
        <v>158464.88134796105</v>
      </c>
      <c r="J9" s="63">
        <f>SUM($I9:I$11)</f>
        <v>438839.43785721227</v>
      </c>
      <c r="K9" s="63">
        <f>SUM($I9:I$12)</f>
        <v>607258.88613799831</v>
      </c>
      <c r="N9" s="62"/>
      <c r="O9" s="63"/>
      <c r="P9" s="62"/>
      <c r="R9" s="62"/>
      <c r="S9" s="63"/>
      <c r="T9" s="62"/>
      <c r="U9" s="127"/>
      <c r="V9" s="128"/>
      <c r="W9" s="128"/>
      <c r="X9" s="124"/>
      <c r="Y9" s="124"/>
    </row>
    <row r="10" spans="1:25" x14ac:dyDescent="0.3">
      <c r="A10">
        <v>4</v>
      </c>
      <c r="B10" t="s">
        <v>76</v>
      </c>
      <c r="C10" s="205">
        <v>562244.24972086574</v>
      </c>
      <c r="E10" s="62">
        <f t="shared" si="0"/>
        <v>383974.98774924647</v>
      </c>
      <c r="F10" s="63">
        <f>SUM($E10:E$11)</f>
        <v>438249.90480300883</v>
      </c>
      <c r="G10" s="63">
        <f>SUM($E10:E$12)</f>
        <v>701504.20324928849</v>
      </c>
      <c r="I10" s="62">
        <f t="shared" si="1"/>
        <v>245651.660664322</v>
      </c>
      <c r="J10" s="63">
        <f>SUM($I10:I$11)</f>
        <v>280374.55650925124</v>
      </c>
      <c r="K10" s="63">
        <f>SUM($I10:I$12)</f>
        <v>448794.00479003729</v>
      </c>
      <c r="N10" s="62"/>
      <c r="O10" s="63"/>
      <c r="P10" s="62"/>
      <c r="R10" s="62"/>
      <c r="S10" s="63"/>
      <c r="T10" s="62"/>
      <c r="U10" s="127"/>
      <c r="V10" s="128"/>
      <c r="W10" s="128"/>
      <c r="X10" s="124"/>
      <c r="Y10" s="124"/>
    </row>
    <row r="11" spans="1:25" x14ac:dyDescent="0.3">
      <c r="A11">
        <v>5</v>
      </c>
      <c r="B11" t="s">
        <v>77</v>
      </c>
      <c r="C11" s="205">
        <v>79473.301624227315</v>
      </c>
      <c r="E11" s="62">
        <f t="shared" si="0"/>
        <v>54274.91705376238</v>
      </c>
      <c r="F11" s="63">
        <f>SUM($E11:E$11)</f>
        <v>54274.91705376238</v>
      </c>
      <c r="G11" s="63">
        <f>SUM($E11:E$11)</f>
        <v>54274.91705376238</v>
      </c>
      <c r="I11" s="62">
        <f t="shared" si="1"/>
        <v>34722.895844929226</v>
      </c>
      <c r="J11" s="63">
        <f>SUM($I11:I$11)</f>
        <v>34722.895844929226</v>
      </c>
      <c r="K11" s="63">
        <f>SUM($I11:I$11)</f>
        <v>34722.895844929226</v>
      </c>
      <c r="N11" s="62"/>
      <c r="O11" s="63"/>
      <c r="P11" s="62"/>
      <c r="R11" s="62"/>
      <c r="S11" s="63"/>
      <c r="T11" s="62"/>
      <c r="U11" s="127"/>
      <c r="V11" s="128"/>
      <c r="W11" s="128"/>
      <c r="X11" s="124"/>
      <c r="Y11" s="124"/>
    </row>
    <row r="12" spans="1:25" x14ac:dyDescent="0.3">
      <c r="B12" t="s">
        <v>87</v>
      </c>
      <c r="C12" s="205">
        <v>385476.19047619047</v>
      </c>
      <c r="E12" s="62">
        <f t="shared" si="0"/>
        <v>263254.29844627972</v>
      </c>
      <c r="I12" s="62">
        <f t="shared" si="1"/>
        <v>168419.44828078605</v>
      </c>
      <c r="N12" s="62"/>
      <c r="R12" s="62"/>
      <c r="U12" s="127"/>
      <c r="V12" s="127"/>
      <c r="W12" s="127"/>
      <c r="X12" s="127"/>
      <c r="Y12" s="127"/>
    </row>
    <row r="13" spans="1:25" x14ac:dyDescent="0.3">
      <c r="D13" s="65"/>
      <c r="E13" s="65"/>
      <c r="F13" s="65"/>
      <c r="G13" s="65"/>
      <c r="H13" s="65"/>
    </row>
    <row r="14" spans="1:25" x14ac:dyDescent="0.3">
      <c r="B14" s="64" t="s">
        <v>86</v>
      </c>
    </row>
    <row r="16" spans="1:25" x14ac:dyDescent="0.3">
      <c r="B16" t="s">
        <v>78</v>
      </c>
      <c r="C16" s="7" t="s">
        <v>79</v>
      </c>
    </row>
    <row r="17" spans="2:6" x14ac:dyDescent="0.3">
      <c r="B17" s="66" t="s">
        <v>80</v>
      </c>
      <c r="C17" s="7">
        <v>30</v>
      </c>
    </row>
    <row r="18" spans="2:6" x14ac:dyDescent="0.3">
      <c r="B18" s="66" t="s">
        <v>81</v>
      </c>
      <c r="C18" s="7">
        <v>15</v>
      </c>
    </row>
    <row r="20" spans="2:6" ht="16.600000000000001" x14ac:dyDescent="0.3">
      <c r="B20" t="s">
        <v>82</v>
      </c>
      <c r="C20" s="67" t="s">
        <v>85</v>
      </c>
    </row>
    <row r="21" spans="2:6" x14ac:dyDescent="0.3">
      <c r="B21" s="66" t="s">
        <v>72</v>
      </c>
      <c r="C21" s="206">
        <f>((1+$E$21)^C17-1)/(((1+$E$21)^C17-1)+1)</f>
        <v>0.68293270751968804</v>
      </c>
      <c r="E21" s="200">
        <f>AVERAGE(WACC!G10:K10)</f>
        <v>3.9030473797473819E-2</v>
      </c>
      <c r="F21" s="53" t="s">
        <v>207</v>
      </c>
    </row>
    <row r="22" spans="2:6" x14ac:dyDescent="0.3">
      <c r="B22" s="66" t="s">
        <v>83</v>
      </c>
      <c r="C22" s="206">
        <f>((1+$E$21)^C18-1)/(((1+$E$21)^C18-1)+1)</f>
        <v>0.43691271326701753</v>
      </c>
      <c r="E22" s="78"/>
      <c r="F22" s="53"/>
    </row>
    <row r="24" spans="2:6" x14ac:dyDescent="0.3">
      <c r="B24" s="64" t="s">
        <v>84</v>
      </c>
    </row>
    <row r="25" spans="2:6" x14ac:dyDescent="0.3">
      <c r="B25" s="66"/>
      <c r="C25" s="78"/>
    </row>
  </sheetData>
  <pageMargins left="0.25" right="0.25" top="0.75" bottom="0.75" header="0.3" footer="0.3"/>
  <pageSetup paperSize="9" orientation="landscape" verticalDpi="0" r:id="rId1"/>
  <headerFooter>
    <oddFooter>&amp;C_x000D_&amp;1#&amp;"Century Gothic"&amp;7&amp;K7F7F7F BUSINESS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25"/>
  <sheetViews>
    <sheetView zoomScale="85" zoomScaleNormal="85" workbookViewId="0"/>
  </sheetViews>
  <sheetFormatPr defaultRowHeight="14.65" x14ac:dyDescent="0.3"/>
  <cols>
    <col min="2" max="2" width="29.88671875" customWidth="1"/>
    <col min="5" max="5" width="39.88671875" bestFit="1" customWidth="1"/>
    <col min="8" max="8" width="8.33203125" customWidth="1"/>
  </cols>
  <sheetData>
    <row r="2" spans="1:5" x14ac:dyDescent="0.3">
      <c r="B2" t="s">
        <v>107</v>
      </c>
      <c r="C2" s="7"/>
      <c r="E2" s="5" t="s">
        <v>215</v>
      </c>
    </row>
    <row r="3" spans="1:5" x14ac:dyDescent="0.3">
      <c r="A3">
        <v>1</v>
      </c>
      <c r="B3" t="s">
        <v>19</v>
      </c>
      <c r="E3" t="s">
        <v>216</v>
      </c>
    </row>
    <row r="4" spans="1:5" x14ac:dyDescent="0.3">
      <c r="A4">
        <v>2</v>
      </c>
      <c r="B4" t="s">
        <v>17</v>
      </c>
      <c r="E4" t="s">
        <v>217</v>
      </c>
    </row>
    <row r="5" spans="1:5" x14ac:dyDescent="0.3">
      <c r="A5">
        <v>3</v>
      </c>
      <c r="B5" t="s">
        <v>12</v>
      </c>
      <c r="E5" t="s">
        <v>218</v>
      </c>
    </row>
    <row r="6" spans="1:5" x14ac:dyDescent="0.3">
      <c r="A6">
        <v>4</v>
      </c>
      <c r="B6" t="s">
        <v>93</v>
      </c>
      <c r="E6" t="s">
        <v>219</v>
      </c>
    </row>
    <row r="7" spans="1:5" x14ac:dyDescent="0.3">
      <c r="A7">
        <v>5</v>
      </c>
      <c r="B7" t="s">
        <v>94</v>
      </c>
      <c r="E7" t="s">
        <v>220</v>
      </c>
    </row>
    <row r="8" spans="1:5" x14ac:dyDescent="0.3">
      <c r="E8" t="s">
        <v>221</v>
      </c>
    </row>
    <row r="9" spans="1:5" x14ac:dyDescent="0.3">
      <c r="B9" s="5" t="s">
        <v>208</v>
      </c>
      <c r="E9" t="s">
        <v>222</v>
      </c>
    </row>
    <row r="10" spans="1:5" x14ac:dyDescent="0.3">
      <c r="B10" t="s">
        <v>14</v>
      </c>
      <c r="E10" t="s">
        <v>223</v>
      </c>
    </row>
    <row r="11" spans="1:5" x14ac:dyDescent="0.3">
      <c r="B11" t="s">
        <v>11</v>
      </c>
      <c r="E11" t="s">
        <v>224</v>
      </c>
    </row>
    <row r="12" spans="1:5" x14ac:dyDescent="0.3">
      <c r="E12" t="s">
        <v>225</v>
      </c>
    </row>
    <row r="13" spans="1:5" x14ac:dyDescent="0.3">
      <c r="B13" s="5" t="s">
        <v>209</v>
      </c>
      <c r="E13" t="s">
        <v>226</v>
      </c>
    </row>
    <row r="14" spans="1:5" x14ac:dyDescent="0.3">
      <c r="B14" t="s">
        <v>210</v>
      </c>
      <c r="E14" t="s">
        <v>227</v>
      </c>
    </row>
    <row r="15" spans="1:5" x14ac:dyDescent="0.3">
      <c r="B15" t="s">
        <v>13</v>
      </c>
      <c r="E15" t="s">
        <v>228</v>
      </c>
    </row>
    <row r="16" spans="1:5" x14ac:dyDescent="0.3">
      <c r="B16" t="s">
        <v>211</v>
      </c>
      <c r="E16" t="s">
        <v>229</v>
      </c>
    </row>
    <row r="17" spans="2:5" x14ac:dyDescent="0.3">
      <c r="B17" t="s">
        <v>212</v>
      </c>
      <c r="E17" t="s">
        <v>230</v>
      </c>
    </row>
    <row r="18" spans="2:5" x14ac:dyDescent="0.3">
      <c r="B18" t="s">
        <v>213</v>
      </c>
      <c r="E18" t="s">
        <v>231</v>
      </c>
    </row>
    <row r="19" spans="2:5" x14ac:dyDescent="0.3">
      <c r="B19" t="s">
        <v>214</v>
      </c>
      <c r="E19" t="s">
        <v>232</v>
      </c>
    </row>
    <row r="20" spans="2:5" x14ac:dyDescent="0.3">
      <c r="E20" t="s">
        <v>45</v>
      </c>
    </row>
    <row r="21" spans="2:5" x14ac:dyDescent="0.3">
      <c r="B21" s="5" t="s">
        <v>282</v>
      </c>
      <c r="E21" t="s">
        <v>233</v>
      </c>
    </row>
    <row r="22" spans="2:5" x14ac:dyDescent="0.3">
      <c r="B22" t="s">
        <v>283</v>
      </c>
      <c r="C22" s="7" t="s">
        <v>284</v>
      </c>
    </row>
    <row r="23" spans="2:5" x14ac:dyDescent="0.3">
      <c r="B23" t="s">
        <v>285</v>
      </c>
      <c r="C23" s="202">
        <v>10</v>
      </c>
    </row>
    <row r="24" spans="2:5" x14ac:dyDescent="0.3">
      <c r="B24" t="s">
        <v>286</v>
      </c>
      <c r="C24" s="202">
        <v>25</v>
      </c>
    </row>
    <row r="25" spans="2:5" x14ac:dyDescent="0.3">
      <c r="B25" t="s">
        <v>287</v>
      </c>
      <c r="C25" s="202">
        <v>25</v>
      </c>
    </row>
  </sheetData>
  <pageMargins left="0.7" right="0.7" top="0.75" bottom="0.75" header="0.3" footer="0.3"/>
  <headerFooter>
    <oddFooter>&amp;C_x000D_&amp;1#&amp;"Century Gothic"&amp;7&amp;K7F7F7F BUSINESS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8FF239-48EB-4546-BFA9-A2951C301523}">
  <ds:schemaRefs>
    <ds:schemaRef ds:uri="http://schemas.microsoft.com/office/2006/metadata/properties"/>
    <ds:schemaRef ds:uri="http://schemas.microsoft.com/office/infopath/2007/PartnerControls"/>
    <ds:schemaRef ds:uri="d668db9c-bb18-4bed-8851-b5721f14e6b4"/>
    <ds:schemaRef ds:uri="facbff88-6fe3-477c-bd78-371714a63d39"/>
  </ds:schemaRefs>
</ds:datastoreItem>
</file>

<file path=customXml/itemProps2.xml><?xml version="1.0" encoding="utf-8"?>
<ds:datastoreItem xmlns:ds="http://schemas.openxmlformats.org/officeDocument/2006/customXml" ds:itemID="{4E13F8DC-3ADD-4ED1-98B9-24645B8CE8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2E1560-A9C1-49B8-9A81-D92BC8610F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8db9c-bb18-4bed-8851-b5721f14e6b4"/>
    <ds:schemaRef ds:uri="facbff88-6fe3-477c-bd78-371714a63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Contr_Fcast</vt:lpstr>
      <vt:lpstr>WACC</vt:lpstr>
      <vt:lpstr>1014 projects</vt:lpstr>
      <vt:lpstr>FD PTRM Rev Summary</vt:lpstr>
      <vt:lpstr>Duos revenue</vt:lpstr>
      <vt:lpstr>MCR</vt:lpstr>
      <vt:lpstr>MCR Rates</vt:lpstr>
      <vt:lpstr>Lookups</vt:lpstr>
    </vt:vector>
  </TitlesOfParts>
  <Company>Ausnet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Steven Martin</cp:lastModifiedBy>
  <dcterms:created xsi:type="dcterms:W3CDTF">2020-01-09T04:30:05Z</dcterms:created>
  <dcterms:modified xsi:type="dcterms:W3CDTF">2025-01-30T23:30:41Z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0x0101000B26092BDB0EB54683F161AC1502A92A</vt:lpwstr>
  </property>
  <property fmtid="{D5CDD505-2E9C-101B-9397-08002B2CF9AE}" pid="3" name="MediaServiceImageTags">
    <vt:lpwstr/>
  </property>
</Properties>
</file>