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xml" ContentType="application/vnd.openxmlformats-officedocument.spreadsheetml.sheetMetadata+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B:\Price Review\2026-31 EDPR\11.0 2026 EDPR - Proposal submission models\Public\SCS\"/>
    </mc:Choice>
  </mc:AlternateContent>
  <xr:revisionPtr revIDLastSave="0" documentId="13_ncr:1_{655F8DE8-D0B8-434E-82FE-CB95145DA600}" xr6:coauthVersionLast="47" xr6:coauthVersionMax="47" xr10:uidLastSave="{00000000-0000-0000-0000-000000000000}"/>
  <bookViews>
    <workbookView xWindow="-115" yWindow="-115" windowWidth="24697" windowHeight="13381" tabRatio="801" activeTab="1" xr2:uid="{00000000-000D-0000-FFFF-FFFF00000000}"/>
  </bookViews>
  <sheets>
    <sheet name="AER Changes" sheetId="41" r:id="rId1"/>
    <sheet name="Inputs from Capex model" sheetId="55" r:id="rId2"/>
    <sheet name="Contents" sheetId="14" r:id="rId3"/>
    <sheet name="Escalation" sheetId="23" r:id="rId4"/>
    <sheet name="Assumptions" sheetId="13" r:id="rId5"/>
    <sheet name="Allocations" sheetId="1" r:id="rId6"/>
    <sheet name="Connections" sheetId="4" r:id="rId7"/>
    <sheet name="Historical_data &gt;" sheetId="53" r:id="rId8"/>
    <sheet name="Historical_Cost" sheetId="17" r:id="rId9"/>
    <sheet name="Historical_Cap_Cons" sheetId="50" r:id="rId10"/>
    <sheet name="Cost_Recovery" sheetId="19" r:id="rId11"/>
    <sheet name="Forecast &gt;" sheetId="54" r:id="rId12"/>
    <sheet name="Contracts_input" sheetId="44" r:id="rId13"/>
    <sheet name="HV_rebate" sheetId="46" r:id="rId14"/>
    <sheet name="Capex_Fcast_Direct" sheetId="2" r:id="rId15"/>
    <sheet name="Other_codes" sheetId="6" r:id="rId16"/>
    <sheet name="Capex_Fcast_Total" sheetId="7" r:id="rId17"/>
    <sheet name="Outputs &gt;" sheetId="52" r:id="rId18"/>
    <sheet name="Contr_Fcast" sheetId="8" r:id="rId19"/>
    <sheet name="Capex_Model_Inputs" sheetId="51" r:id="rId20"/>
    <sheet name="RIN_Outputs" sheetId="12" r:id="rId21"/>
    <sheet name="2.5 Connections" sheetId="11" r:id="rId22"/>
    <sheet name="Direct_view" sheetId="28" r:id="rId23"/>
    <sheet name="CapCon_view" sheetId="30" r:id="rId24"/>
    <sheet name="Word code splits" sheetId="48" r:id="rId25"/>
    <sheet name="Type 2_contributions" sheetId="49" r:id="rId26"/>
    <sheet name="Historical_CY" sheetId="29" r:id="rId27"/>
    <sheet name="2.5.3_Volumes" sheetId="31" r:id="rId28"/>
  </sheets>
  <externalReferences>
    <externalReference r:id="rId29"/>
    <externalReference r:id="rId30"/>
  </externalReferences>
  <definedNames>
    <definedName name="_xlnm._FilterDatabase" localSheetId="6" hidden="1">Connections!$B$8:$Y$51</definedName>
    <definedName name="anscount" hidden="1">1</definedName>
    <definedName name="AS2DocOpenMode" hidden="1">"AS2DocumentBrowse"</definedName>
    <definedName name="AS2NamedRange" hidden="1">2</definedName>
    <definedName name="CPI_adj_Jun21">Escalation!$I$9</definedName>
    <definedName name="Thousands">Assumptions!$B$19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3" i="49" l="1"/>
  <c r="O33" i="49"/>
  <c r="N33" i="49"/>
  <c r="M33" i="49"/>
  <c r="L33" i="49"/>
  <c r="K33" i="49"/>
  <c r="J33" i="49"/>
  <c r="P29" i="49"/>
  <c r="O29" i="49"/>
  <c r="N29" i="49"/>
  <c r="M29" i="49"/>
  <c r="L29" i="49"/>
  <c r="K29" i="49"/>
  <c r="J29" i="49"/>
  <c r="P28" i="49"/>
  <c r="O28" i="49"/>
  <c r="N28" i="49"/>
  <c r="M28" i="49"/>
  <c r="L28" i="49"/>
  <c r="K28" i="49"/>
  <c r="J28" i="49"/>
  <c r="P27" i="49"/>
  <c r="O27" i="49"/>
  <c r="N27" i="49"/>
  <c r="M27" i="49"/>
  <c r="L27" i="49"/>
  <c r="K27" i="49"/>
  <c r="J27" i="49"/>
  <c r="P26" i="49"/>
  <c r="O26" i="49"/>
  <c r="N26" i="49"/>
  <c r="M26" i="49"/>
  <c r="L26" i="49"/>
  <c r="K26" i="49"/>
  <c r="J26" i="49"/>
  <c r="P25" i="49"/>
  <c r="O25" i="49"/>
  <c r="N25" i="49"/>
  <c r="M25" i="49"/>
  <c r="L25" i="49"/>
  <c r="K25" i="49"/>
  <c r="J25" i="49"/>
  <c r="P24" i="49"/>
  <c r="O24" i="49"/>
  <c r="N24" i="49"/>
  <c r="M24" i="49"/>
  <c r="L24" i="49"/>
  <c r="K24" i="49"/>
  <c r="J24" i="49"/>
  <c r="P23" i="49"/>
  <c r="O23" i="49"/>
  <c r="N23" i="49"/>
  <c r="M23" i="49"/>
  <c r="L23" i="49"/>
  <c r="K23" i="49"/>
  <c r="J23" i="49"/>
  <c r="P22" i="49"/>
  <c r="O22" i="49"/>
  <c r="N22" i="49"/>
  <c r="M22" i="49"/>
  <c r="L22" i="49"/>
  <c r="K22" i="49"/>
  <c r="J22" i="49"/>
  <c r="P21" i="49"/>
  <c r="O21" i="49"/>
  <c r="N21" i="49"/>
  <c r="M21" i="49"/>
  <c r="L21" i="49"/>
  <c r="K21" i="49"/>
  <c r="J21" i="49"/>
  <c r="P13" i="51"/>
  <c r="N29" i="8"/>
  <c r="M29" i="8"/>
  <c r="N28" i="8"/>
  <c r="M28" i="8"/>
  <c r="N27" i="8"/>
  <c r="M27" i="8"/>
  <c r="N26" i="8"/>
  <c r="M26" i="8"/>
  <c r="N25" i="8"/>
  <c r="M25" i="8"/>
  <c r="N24" i="8"/>
  <c r="M24" i="8"/>
  <c r="N23" i="8"/>
  <c r="M23" i="8"/>
  <c r="N17" i="8"/>
  <c r="M17" i="8"/>
  <c r="N16" i="8"/>
  <c r="M16" i="8"/>
  <c r="N15" i="8"/>
  <c r="M15" i="8"/>
  <c r="N14" i="8"/>
  <c r="M14" i="8"/>
  <c r="N13" i="8"/>
  <c r="M13" i="8"/>
  <c r="N12" i="8"/>
  <c r="M12" i="8"/>
  <c r="N11" i="8"/>
  <c r="M11" i="8"/>
  <c r="N10" i="8"/>
  <c r="M10" i="8"/>
  <c r="P67" i="19"/>
  <c r="O67" i="19"/>
  <c r="P66" i="19"/>
  <c r="O66" i="19"/>
  <c r="P65" i="19"/>
  <c r="O65" i="19"/>
  <c r="P64" i="19"/>
  <c r="O64" i="19"/>
  <c r="P63" i="19"/>
  <c r="O63" i="19"/>
  <c r="P62" i="19"/>
  <c r="O62" i="19"/>
  <c r="P21" i="4"/>
  <c r="Y19" i="4"/>
  <c r="X19" i="4"/>
  <c r="W19" i="4"/>
  <c r="V19" i="4"/>
  <c r="U19" i="4"/>
  <c r="T19" i="4"/>
  <c r="S19" i="4"/>
  <c r="R19" i="4"/>
  <c r="V53" i="4"/>
  <c r="U53" i="4"/>
  <c r="T53" i="4"/>
  <c r="S53" i="4"/>
  <c r="N13" i="30"/>
  <c r="M13" i="30"/>
  <c r="L13" i="30"/>
  <c r="K13" i="30"/>
  <c r="J13" i="30"/>
  <c r="N13" i="28"/>
  <c r="M13" i="28"/>
  <c r="L13" i="28"/>
  <c r="K13" i="28"/>
  <c r="J13" i="28"/>
  <c r="N22" i="55" l="1"/>
  <c r="M22" i="55"/>
  <c r="L22" i="55"/>
  <c r="K22" i="55"/>
  <c r="J22" i="55"/>
  <c r="N21" i="55"/>
  <c r="N46" i="1" s="1"/>
  <c r="M21" i="55"/>
  <c r="M46" i="1" s="1"/>
  <c r="L21" i="55"/>
  <c r="L46" i="1" s="1"/>
  <c r="K21" i="55"/>
  <c r="K46" i="1" s="1"/>
  <c r="J21" i="55"/>
  <c r="J46" i="1" s="1"/>
  <c r="N14" i="55"/>
  <c r="M14" i="55"/>
  <c r="L14" i="55"/>
  <c r="K14" i="55"/>
  <c r="J14" i="55"/>
  <c r="I14" i="55"/>
  <c r="H14" i="55"/>
  <c r="N13" i="55"/>
  <c r="M13" i="55"/>
  <c r="L13" i="55"/>
  <c r="K13" i="55"/>
  <c r="J13" i="55"/>
  <c r="I13" i="55"/>
  <c r="H13" i="55"/>
  <c r="J6" i="55"/>
  <c r="I6" i="55"/>
  <c r="Q6" i="23" s="1"/>
  <c r="H6" i="55"/>
  <c r="P6" i="23" s="1"/>
  <c r="G6" i="55"/>
  <c r="O6" i="23" s="1"/>
  <c r="F6" i="55"/>
  <c r="N6" i="23" s="1"/>
  <c r="E6" i="55"/>
  <c r="M6" i="23" s="1"/>
  <c r="D6" i="55"/>
  <c r="J26" i="28" l="1" a="1"/>
  <c r="J26" i="28" s="1"/>
  <c r="G23" i="30" l="1"/>
  <c r="G19" i="30"/>
  <c r="G16" i="30"/>
  <c r="G10" i="30"/>
  <c r="G24" i="30" l="1"/>
  <c r="J21" i="29" l="1"/>
  <c r="I21" i="29"/>
  <c r="H21" i="29"/>
  <c r="G21" i="29"/>
  <c r="F21" i="29"/>
  <c r="E21" i="29"/>
  <c r="H29" i="49"/>
  <c r="G29" i="49"/>
  <c r="F29" i="49"/>
  <c r="E29" i="49"/>
  <c r="H28" i="49"/>
  <c r="G28" i="49"/>
  <c r="F28" i="49"/>
  <c r="E28" i="49"/>
  <c r="H27" i="49"/>
  <c r="G27" i="49"/>
  <c r="F27" i="49"/>
  <c r="E27" i="49"/>
  <c r="H26" i="49"/>
  <c r="G26" i="49"/>
  <c r="F26" i="49"/>
  <c r="E26" i="49"/>
  <c r="H25" i="49"/>
  <c r="G25" i="49"/>
  <c r="F25" i="49"/>
  <c r="E25" i="49"/>
  <c r="H24" i="49"/>
  <c r="G24" i="49"/>
  <c r="F24" i="49"/>
  <c r="E24" i="49"/>
  <c r="H23" i="49"/>
  <c r="G23" i="49"/>
  <c r="F23" i="49"/>
  <c r="E23" i="49"/>
  <c r="H22" i="49"/>
  <c r="G22" i="49"/>
  <c r="F22" i="49"/>
  <c r="E22" i="49"/>
  <c r="H21" i="49"/>
  <c r="G21" i="49"/>
  <c r="F21" i="49"/>
  <c r="E21" i="49"/>
  <c r="T41" i="4"/>
  <c r="L27" i="31" l="1"/>
  <c r="L28" i="31" s="1"/>
  <c r="K27" i="31"/>
  <c r="K28" i="31" s="1"/>
  <c r="J27" i="31"/>
  <c r="J28" i="31" s="1"/>
  <c r="I27" i="31"/>
  <c r="I28" i="31" s="1"/>
  <c r="H27" i="31"/>
  <c r="H28" i="31" s="1"/>
  <c r="F27" i="31" l="1"/>
  <c r="F28" i="31" s="1"/>
  <c r="G27" i="31"/>
  <c r="G28" i="31" s="1"/>
  <c r="E68" i="7" l="1"/>
  <c r="AE68" i="7" s="1"/>
  <c r="D68" i="7"/>
  <c r="AD68" i="7" s="1"/>
  <c r="E66" i="7"/>
  <c r="AE66" i="7" s="1"/>
  <c r="D66" i="7"/>
  <c r="AD66" i="7" s="1"/>
  <c r="E65" i="7"/>
  <c r="AE65" i="7" s="1"/>
  <c r="D65" i="7"/>
  <c r="AD65" i="7" s="1"/>
  <c r="E63" i="7"/>
  <c r="AE63" i="7" s="1"/>
  <c r="D63" i="7"/>
  <c r="AD63" i="7" s="1"/>
  <c r="E62" i="7"/>
  <c r="AE62" i="7" s="1"/>
  <c r="D62" i="7"/>
  <c r="AD62" i="7" s="1"/>
  <c r="F15" i="7"/>
  <c r="AM73" i="7" l="1"/>
  <c r="AL73" i="7"/>
  <c r="AK73" i="7"/>
  <c r="AJ73" i="7"/>
  <c r="AI73" i="7"/>
  <c r="AH73" i="7"/>
  <c r="AG73" i="7"/>
  <c r="AF73" i="7"/>
  <c r="AE73" i="7"/>
  <c r="AD73" i="7"/>
  <c r="AC73" i="7"/>
  <c r="AM61" i="7"/>
  <c r="AL61" i="7"/>
  <c r="AK61" i="7"/>
  <c r="AJ61" i="7"/>
  <c r="AI61" i="7"/>
  <c r="AH61" i="7"/>
  <c r="AG61" i="7"/>
  <c r="AF61" i="7"/>
  <c r="AE61" i="7"/>
  <c r="AD61" i="7"/>
  <c r="AC61" i="7"/>
  <c r="AM48" i="7"/>
  <c r="AL48" i="7"/>
  <c r="AK48" i="7"/>
  <c r="AJ48" i="7"/>
  <c r="AI48" i="7"/>
  <c r="AH48" i="7"/>
  <c r="AG48" i="7"/>
  <c r="AF48" i="7"/>
  <c r="AE48" i="7"/>
  <c r="AD48" i="7"/>
  <c r="AC48" i="7"/>
  <c r="Z43" i="7" l="1"/>
  <c r="Y43" i="7"/>
  <c r="X43" i="7"/>
  <c r="W43" i="7"/>
  <c r="V43" i="7"/>
  <c r="U43" i="7"/>
  <c r="T43" i="7"/>
  <c r="S43" i="7"/>
  <c r="R43" i="7"/>
  <c r="Q43" i="7"/>
  <c r="P43" i="7"/>
  <c r="M34" i="7"/>
  <c r="AM34" i="7" s="1"/>
  <c r="L34" i="7"/>
  <c r="Y34" i="7" s="1"/>
  <c r="K34" i="7"/>
  <c r="X34" i="7" s="1"/>
  <c r="J34" i="7"/>
  <c r="W34" i="7" s="1"/>
  <c r="I34" i="7"/>
  <c r="AI34" i="7" s="1"/>
  <c r="H34" i="7"/>
  <c r="U34" i="7" s="1"/>
  <c r="G34" i="7"/>
  <c r="AG34" i="7" s="1"/>
  <c r="F34" i="7"/>
  <c r="S34" i="7" s="1"/>
  <c r="E34" i="7"/>
  <c r="AE34" i="7" s="1"/>
  <c r="D34" i="7"/>
  <c r="Q34" i="7" s="1"/>
  <c r="C34" i="7"/>
  <c r="P34" i="7" s="1"/>
  <c r="N29" i="51"/>
  <c r="M29" i="51"/>
  <c r="L29" i="51"/>
  <c r="K29" i="51"/>
  <c r="J29" i="51"/>
  <c r="I29" i="51"/>
  <c r="H29" i="51"/>
  <c r="N28" i="51"/>
  <c r="M28" i="51"/>
  <c r="L28" i="51"/>
  <c r="K28" i="51"/>
  <c r="J28" i="51"/>
  <c r="I28" i="51"/>
  <c r="H28" i="51"/>
  <c r="N25" i="51"/>
  <c r="M25" i="51"/>
  <c r="L25" i="51"/>
  <c r="K25" i="51"/>
  <c r="J25" i="51"/>
  <c r="I25" i="51"/>
  <c r="H25" i="51"/>
  <c r="N23" i="51"/>
  <c r="M23" i="51"/>
  <c r="L23" i="51"/>
  <c r="K23" i="51"/>
  <c r="J23" i="51"/>
  <c r="I23" i="51"/>
  <c r="H23" i="51"/>
  <c r="T34" i="7" l="1"/>
  <c r="AC34" i="7"/>
  <c r="V34" i="7"/>
  <c r="AF34" i="7"/>
  <c r="AH34" i="7"/>
  <c r="AJ34" i="7"/>
  <c r="R34" i="7"/>
  <c r="Z34" i="7"/>
  <c r="AD34" i="7"/>
  <c r="AK34" i="7"/>
  <c r="AL34" i="7"/>
  <c r="D98" i="11" l="1"/>
  <c r="J48" i="29"/>
  <c r="I48" i="29"/>
  <c r="H48" i="29"/>
  <c r="G48" i="29"/>
  <c r="F48" i="29"/>
  <c r="E48" i="29"/>
  <c r="N31" i="29"/>
  <c r="M31" i="29"/>
  <c r="L31" i="29"/>
  <c r="N4" i="29"/>
  <c r="M4" i="29"/>
  <c r="L4" i="29"/>
  <c r="M26" i="28" l="1" a="1"/>
  <c r="M26" i="28" s="1"/>
  <c r="M27" i="28" a="1"/>
  <c r="M27" i="28" s="1"/>
  <c r="N27" i="28" a="1"/>
  <c r="N27" i="28" s="1"/>
  <c r="N26" i="28" a="1"/>
  <c r="N26" i="28" s="1"/>
  <c r="L26" i="28" a="1"/>
  <c r="L26" i="28" s="1"/>
  <c r="L27" i="28" a="1"/>
  <c r="L27" i="28" s="1"/>
  <c r="K26" i="28" l="1" a="1"/>
  <c r="K26" i="28" s="1"/>
  <c r="K27" i="28" a="1"/>
  <c r="K27" i="28" s="1"/>
  <c r="J27" i="28" l="1" a="1"/>
  <c r="J27" i="28" s="1"/>
  <c r="H42" i="50" l="1"/>
  <c r="G42" i="50"/>
  <c r="F42" i="50"/>
  <c r="E42" i="50"/>
  <c r="D42" i="50"/>
  <c r="H29" i="50"/>
  <c r="G29" i="50"/>
  <c r="F29" i="50"/>
  <c r="E29" i="50"/>
  <c r="D29" i="50"/>
  <c r="H16" i="50"/>
  <c r="G16" i="50"/>
  <c r="F16" i="50"/>
  <c r="E16" i="50"/>
  <c r="D16" i="50"/>
  <c r="H3" i="50"/>
  <c r="G3" i="50"/>
  <c r="F3" i="50"/>
  <c r="E3" i="50"/>
  <c r="D3" i="50"/>
  <c r="J31" i="29"/>
  <c r="I31" i="29"/>
  <c r="H31" i="29"/>
  <c r="G31" i="29"/>
  <c r="F31" i="29"/>
  <c r="E31" i="29"/>
  <c r="J4" i="29"/>
  <c r="I4" i="29"/>
  <c r="G4" i="29"/>
  <c r="F4" i="29"/>
  <c r="E4" i="29"/>
  <c r="H4" i="29"/>
  <c r="M16" i="46" l="1"/>
  <c r="L16" i="46"/>
  <c r="K16" i="46"/>
  <c r="J16" i="46"/>
  <c r="I16" i="46"/>
  <c r="H16" i="46"/>
  <c r="G16" i="46"/>
  <c r="F69" i="7" l="1"/>
  <c r="AF69" i="7" s="1"/>
  <c r="C69" i="7"/>
  <c r="AC69" i="7" s="1"/>
  <c r="F68" i="7"/>
  <c r="AF68" i="7" s="1"/>
  <c r="C68" i="7"/>
  <c r="AC68" i="7" s="1"/>
  <c r="F67" i="7"/>
  <c r="AF67" i="7" s="1"/>
  <c r="C67" i="7"/>
  <c r="AC67" i="7" s="1"/>
  <c r="F66" i="7"/>
  <c r="AF66" i="7" s="1"/>
  <c r="C66" i="7"/>
  <c r="AC66" i="7" s="1"/>
  <c r="F65" i="7"/>
  <c r="AF65" i="7" s="1"/>
  <c r="C65" i="7"/>
  <c r="AC65" i="7" s="1"/>
  <c r="F64" i="7"/>
  <c r="AF64" i="7" s="1"/>
  <c r="C64" i="7"/>
  <c r="AC64" i="7" s="1"/>
  <c r="F63" i="7"/>
  <c r="AF63" i="7" s="1"/>
  <c r="C63" i="7"/>
  <c r="AC63" i="7" s="1"/>
  <c r="F62" i="7"/>
  <c r="AF62" i="7" s="1"/>
  <c r="C62" i="7"/>
  <c r="AC62" i="7" s="1"/>
  <c r="N69" i="19"/>
  <c r="M69" i="19"/>
  <c r="L69" i="19"/>
  <c r="K69" i="19"/>
  <c r="J69" i="19"/>
  <c r="N68" i="19"/>
  <c r="N67" i="19"/>
  <c r="N66" i="19"/>
  <c r="N65" i="19"/>
  <c r="N64" i="19"/>
  <c r="N63" i="19"/>
  <c r="N62" i="19"/>
  <c r="M58" i="19"/>
  <c r="L58" i="19"/>
  <c r="K58" i="19"/>
  <c r="J58" i="19"/>
  <c r="M57" i="19"/>
  <c r="L57" i="19"/>
  <c r="K57" i="19"/>
  <c r="J57" i="19"/>
  <c r="M56" i="19"/>
  <c r="L56" i="19"/>
  <c r="K56" i="19"/>
  <c r="J56" i="19"/>
  <c r="M55" i="19"/>
  <c r="L55" i="19"/>
  <c r="K55" i="19"/>
  <c r="J55" i="19"/>
  <c r="M54" i="19"/>
  <c r="L54" i="19"/>
  <c r="K54" i="19"/>
  <c r="J54" i="19"/>
  <c r="M53" i="19"/>
  <c r="L53" i="19"/>
  <c r="K53" i="19"/>
  <c r="J53" i="19"/>
  <c r="M52" i="19"/>
  <c r="L52" i="19"/>
  <c r="K52" i="19"/>
  <c r="J52" i="19"/>
  <c r="M51" i="19"/>
  <c r="L51" i="19"/>
  <c r="K51" i="19"/>
  <c r="J51" i="19"/>
  <c r="J25" i="19" l="1"/>
  <c r="L25" i="19"/>
  <c r="K25" i="19"/>
  <c r="M25" i="19"/>
  <c r="P58" i="19"/>
  <c r="O58" i="19"/>
  <c r="P57" i="19"/>
  <c r="O57" i="19"/>
  <c r="P54" i="19"/>
  <c r="O54" i="19"/>
  <c r="P52" i="19"/>
  <c r="O52" i="19"/>
  <c r="I28" i="49" l="1"/>
  <c r="D82" i="11" l="1"/>
  <c r="H50" i="50" l="1"/>
  <c r="E16" i="49"/>
  <c r="G51" i="50"/>
  <c r="F51" i="50"/>
  <c r="E51" i="50"/>
  <c r="D51" i="50"/>
  <c r="F50" i="50"/>
  <c r="E50" i="50"/>
  <c r="D50" i="50"/>
  <c r="G39" i="50"/>
  <c r="F39" i="50"/>
  <c r="E39" i="50"/>
  <c r="D39" i="50"/>
  <c r="I27" i="49"/>
  <c r="I26" i="49"/>
  <c r="I25" i="49"/>
  <c r="I24" i="49"/>
  <c r="I23" i="49"/>
  <c r="I22" i="49"/>
  <c r="I21" i="49"/>
  <c r="G50" i="50"/>
  <c r="M63" i="19"/>
  <c r="M19" i="19" s="1"/>
  <c r="L63" i="19"/>
  <c r="L19" i="19" s="1"/>
  <c r="M62" i="19"/>
  <c r="M18" i="19" s="1"/>
  <c r="D43" i="50"/>
  <c r="P7" i="49"/>
  <c r="O7" i="49"/>
  <c r="N7" i="49"/>
  <c r="M7" i="49"/>
  <c r="L7" i="49"/>
  <c r="K7" i="49"/>
  <c r="P5" i="49"/>
  <c r="O5" i="49"/>
  <c r="N5" i="49"/>
  <c r="M5" i="49"/>
  <c r="L5" i="49"/>
  <c r="K5" i="49"/>
  <c r="J7" i="49"/>
  <c r="J5" i="49"/>
  <c r="H7" i="49"/>
  <c r="G7" i="49"/>
  <c r="E7" i="49"/>
  <c r="H10" i="49"/>
  <c r="G10" i="49"/>
  <c r="E10" i="49"/>
  <c r="H5" i="49"/>
  <c r="F5" i="49"/>
  <c r="E5" i="49"/>
  <c r="H13" i="49"/>
  <c r="G13" i="49"/>
  <c r="F13" i="49"/>
  <c r="E13" i="49"/>
  <c r="Q37" i="48"/>
  <c r="Q12" i="48" s="1"/>
  <c r="P37" i="48"/>
  <c r="O37" i="48"/>
  <c r="N37" i="48"/>
  <c r="N12" i="48" s="1"/>
  <c r="M37" i="48"/>
  <c r="P36" i="48"/>
  <c r="P8" i="48" s="1"/>
  <c r="O36" i="48"/>
  <c r="M36" i="48"/>
  <c r="M8" i="48" s="1"/>
  <c r="S34" i="48"/>
  <c r="S36" i="48" s="1"/>
  <c r="S8" i="48" s="1"/>
  <c r="R34" i="48"/>
  <c r="R36" i="48" s="1"/>
  <c r="R8" i="48" s="1"/>
  <c r="Q34" i="48"/>
  <c r="Q36" i="48" s="1"/>
  <c r="Q8" i="48" s="1"/>
  <c r="P34" i="48"/>
  <c r="O34" i="48"/>
  <c r="N34" i="48"/>
  <c r="N36" i="48" s="1"/>
  <c r="N8" i="48" s="1"/>
  <c r="M34" i="48"/>
  <c r="L34" i="48"/>
  <c r="L36" i="48" s="1"/>
  <c r="L8" i="48" s="1"/>
  <c r="K34" i="48"/>
  <c r="J34" i="48"/>
  <c r="I34" i="48"/>
  <c r="H34" i="48"/>
  <c r="G34" i="48"/>
  <c r="F34" i="48"/>
  <c r="E34" i="48"/>
  <c r="D34" i="48"/>
  <c r="S27" i="48"/>
  <c r="R27" i="48"/>
  <c r="Q27" i="48"/>
  <c r="P27" i="48"/>
  <c r="P26" i="48" s="1"/>
  <c r="P10" i="48" s="1"/>
  <c r="O27" i="48"/>
  <c r="O14" i="48" s="1"/>
  <c r="N27" i="48"/>
  <c r="M27" i="48"/>
  <c r="M26" i="48" s="1"/>
  <c r="M10" i="48" s="1"/>
  <c r="L27" i="48"/>
  <c r="L26" i="48" s="1"/>
  <c r="L10" i="48" s="1"/>
  <c r="K27" i="48"/>
  <c r="K26" i="48" s="1"/>
  <c r="K10" i="48" s="1"/>
  <c r="J27" i="48"/>
  <c r="J26" i="48" s="1"/>
  <c r="J10" i="48" s="1"/>
  <c r="I27" i="48"/>
  <c r="I26" i="48" s="1"/>
  <c r="I10" i="48" s="1"/>
  <c r="H27" i="48"/>
  <c r="G27" i="48"/>
  <c r="F27" i="48"/>
  <c r="E27" i="48"/>
  <c r="D27" i="48"/>
  <c r="D26" i="48" s="1"/>
  <c r="D10" i="48" s="1"/>
  <c r="S26" i="48"/>
  <c r="R26" i="48"/>
  <c r="Q26" i="48"/>
  <c r="O26" i="48"/>
  <c r="N26" i="48"/>
  <c r="H26" i="48"/>
  <c r="G26" i="48"/>
  <c r="F26" i="48"/>
  <c r="E26" i="48"/>
  <c r="S14" i="48"/>
  <c r="R14" i="48"/>
  <c r="Q14" i="48"/>
  <c r="N14" i="48"/>
  <c r="L14" i="48"/>
  <c r="I14" i="48"/>
  <c r="H14" i="48"/>
  <c r="G14" i="48"/>
  <c r="F14" i="48"/>
  <c r="E14" i="48"/>
  <c r="P12" i="48"/>
  <c r="O12" i="48"/>
  <c r="M12" i="48"/>
  <c r="K12" i="48"/>
  <c r="J12" i="48"/>
  <c r="I12" i="48"/>
  <c r="H12" i="48"/>
  <c r="G12" i="48"/>
  <c r="F12" i="48"/>
  <c r="E12" i="48"/>
  <c r="D12" i="48"/>
  <c r="S10" i="48"/>
  <c r="R10" i="48"/>
  <c r="Q10" i="48"/>
  <c r="O10" i="48"/>
  <c r="N10" i="48"/>
  <c r="H10" i="48"/>
  <c r="G10" i="48"/>
  <c r="F10" i="48"/>
  <c r="E10" i="48"/>
  <c r="O8" i="48"/>
  <c r="E6" i="49" s="1"/>
  <c r="K8" i="48"/>
  <c r="J8" i="48"/>
  <c r="I8" i="48"/>
  <c r="H8" i="48"/>
  <c r="G8" i="48"/>
  <c r="F8" i="48"/>
  <c r="E8" i="48"/>
  <c r="D8" i="48"/>
  <c r="J6" i="49" l="1"/>
  <c r="J11" i="49"/>
  <c r="M11" i="49"/>
  <c r="M6" i="49"/>
  <c r="N11" i="49"/>
  <c r="N6" i="49"/>
  <c r="L11" i="49"/>
  <c r="L6" i="49"/>
  <c r="O11" i="49"/>
  <c r="O6" i="49"/>
  <c r="P11" i="49"/>
  <c r="P6" i="49"/>
  <c r="K6" i="49"/>
  <c r="K11" i="49"/>
  <c r="N58" i="19"/>
  <c r="N25" i="19" s="1"/>
  <c r="I29" i="49"/>
  <c r="E11" i="49"/>
  <c r="E26" i="50"/>
  <c r="E44" i="50"/>
  <c r="K63" i="19"/>
  <c r="K19" i="19" s="1"/>
  <c r="E47" i="50"/>
  <c r="K68" i="19"/>
  <c r="K24" i="19" s="1"/>
  <c r="I14" i="49"/>
  <c r="N55" i="19"/>
  <c r="F47" i="50"/>
  <c r="L68" i="19"/>
  <c r="L24" i="19" s="1"/>
  <c r="G47" i="50"/>
  <c r="M68" i="19"/>
  <c r="M24" i="19" s="1"/>
  <c r="D45" i="50"/>
  <c r="J64" i="19"/>
  <c r="J20" i="19" s="1"/>
  <c r="D48" i="50"/>
  <c r="J65" i="19"/>
  <c r="J21" i="19" s="1"/>
  <c r="K64" i="19"/>
  <c r="K20" i="19" s="1"/>
  <c r="E48" i="50"/>
  <c r="K65" i="19"/>
  <c r="K21" i="19" s="1"/>
  <c r="L64" i="19"/>
  <c r="L20" i="19" s="1"/>
  <c r="F48" i="50"/>
  <c r="L65" i="19"/>
  <c r="L21" i="19" s="1"/>
  <c r="G45" i="50"/>
  <c r="M64" i="19"/>
  <c r="M20" i="19" s="1"/>
  <c r="G48" i="50"/>
  <c r="M65" i="19"/>
  <c r="M21" i="19" s="1"/>
  <c r="I13" i="49"/>
  <c r="N51" i="19"/>
  <c r="J62" i="19"/>
  <c r="J18" i="19" s="1"/>
  <c r="D46" i="50"/>
  <c r="J67" i="19"/>
  <c r="J23" i="19" s="1"/>
  <c r="D49" i="50"/>
  <c r="J66" i="19"/>
  <c r="J22" i="19" s="1"/>
  <c r="I5" i="49"/>
  <c r="N52" i="19"/>
  <c r="F44" i="50"/>
  <c r="E43" i="50"/>
  <c r="K62" i="19"/>
  <c r="K18" i="19" s="1"/>
  <c r="E46" i="50"/>
  <c r="K67" i="19"/>
  <c r="K23" i="19" s="1"/>
  <c r="E49" i="50"/>
  <c r="K66" i="19"/>
  <c r="K22" i="19" s="1"/>
  <c r="N53" i="19"/>
  <c r="G44" i="50"/>
  <c r="F43" i="50"/>
  <c r="L62" i="19"/>
  <c r="L18" i="19" s="1"/>
  <c r="F46" i="50"/>
  <c r="L67" i="19"/>
  <c r="L23" i="19" s="1"/>
  <c r="F49" i="50"/>
  <c r="L66" i="19"/>
  <c r="L22" i="19" s="1"/>
  <c r="N56" i="19"/>
  <c r="G46" i="50"/>
  <c r="M67" i="19"/>
  <c r="M23" i="19" s="1"/>
  <c r="G49" i="50"/>
  <c r="M66" i="19"/>
  <c r="M22" i="19" s="1"/>
  <c r="I6" i="49"/>
  <c r="N57" i="19"/>
  <c r="D44" i="50"/>
  <c r="J63" i="19"/>
  <c r="J19" i="19" s="1"/>
  <c r="D47" i="50"/>
  <c r="J68" i="19"/>
  <c r="J24" i="19" s="1"/>
  <c r="I7" i="49"/>
  <c r="N54" i="19"/>
  <c r="D26" i="50"/>
  <c r="G26" i="50"/>
  <c r="E45" i="50"/>
  <c r="G13" i="50"/>
  <c r="F45" i="50"/>
  <c r="F26" i="50"/>
  <c r="H51" i="50"/>
  <c r="H26" i="50"/>
  <c r="H39" i="50"/>
  <c r="H49" i="50"/>
  <c r="H48" i="50"/>
  <c r="H43" i="50"/>
  <c r="H47" i="50"/>
  <c r="H45" i="50"/>
  <c r="H46" i="50"/>
  <c r="H44" i="50"/>
  <c r="H16" i="49"/>
  <c r="E8" i="49"/>
  <c r="E9" i="49" s="1"/>
  <c r="F16" i="49"/>
  <c r="H8" i="49"/>
  <c r="E14" i="49"/>
  <c r="E15" i="49" s="1"/>
  <c r="I10" i="49"/>
  <c r="F6" i="49"/>
  <c r="G8" i="49"/>
  <c r="G16" i="49"/>
  <c r="G6" i="49"/>
  <c r="G14" i="49"/>
  <c r="G15" i="49" s="1"/>
  <c r="F8" i="49"/>
  <c r="H13" i="50"/>
  <c r="G43" i="50"/>
  <c r="D13" i="50"/>
  <c r="E13" i="50"/>
  <c r="F13" i="50"/>
  <c r="E12" i="49"/>
  <c r="R37" i="48"/>
  <c r="R12" i="48" s="1"/>
  <c r="J14" i="48"/>
  <c r="K14" i="48"/>
  <c r="S37" i="48"/>
  <c r="S12" i="48" s="1"/>
  <c r="M14" i="48"/>
  <c r="G5" i="49"/>
  <c r="H6" i="49"/>
  <c r="F10" i="49"/>
  <c r="F7" i="49"/>
  <c r="D14" i="48"/>
  <c r="P14" i="48"/>
  <c r="F14" i="49" s="1"/>
  <c r="F15" i="49" s="1"/>
  <c r="L37" i="48"/>
  <c r="L12" i="48" s="1"/>
  <c r="E32" i="49"/>
  <c r="E52" i="50" l="1"/>
  <c r="S12" i="7"/>
  <c r="I8" i="49"/>
  <c r="I9" i="49" s="1"/>
  <c r="G52" i="50"/>
  <c r="D52" i="50"/>
  <c r="I15" i="49"/>
  <c r="I11" i="49"/>
  <c r="I12" i="49" s="1"/>
  <c r="I16" i="49"/>
  <c r="F52" i="50"/>
  <c r="S11" i="7"/>
  <c r="N24" i="19"/>
  <c r="S5" i="7"/>
  <c r="N18" i="19"/>
  <c r="S9" i="7"/>
  <c r="N22" i="19"/>
  <c r="S6" i="7"/>
  <c r="N19" i="19"/>
  <c r="N20" i="19"/>
  <c r="S7" i="7"/>
  <c r="N21" i="19"/>
  <c r="S8" i="7"/>
  <c r="N23" i="19"/>
  <c r="S10" i="7"/>
  <c r="I32" i="49"/>
  <c r="H52" i="50"/>
  <c r="E17" i="49"/>
  <c r="E18" i="49" s="1"/>
  <c r="G11" i="49"/>
  <c r="G12" i="49" s="1"/>
  <c r="H14" i="49"/>
  <c r="H15" i="49" s="1"/>
  <c r="F11" i="49"/>
  <c r="F12" i="49" s="1"/>
  <c r="G32" i="49"/>
  <c r="H9" i="49"/>
  <c r="H32" i="49"/>
  <c r="G9" i="49"/>
  <c r="F32" i="49"/>
  <c r="H11" i="49"/>
  <c r="H12" i="49" s="1"/>
  <c r="F9" i="49"/>
  <c r="I17" i="49" l="1"/>
  <c r="F17" i="49"/>
  <c r="F18" i="49" s="1"/>
  <c r="G17" i="49"/>
  <c r="G18" i="49" s="1"/>
  <c r="H17" i="49"/>
  <c r="H18" i="49" s="1"/>
  <c r="L32" i="31" l="1"/>
  <c r="K32" i="31"/>
  <c r="J32" i="31"/>
  <c r="I32" i="31"/>
  <c r="H32" i="31"/>
  <c r="G32" i="31"/>
  <c r="F32" i="31"/>
  <c r="E32" i="31"/>
  <c r="L48" i="31" l="1"/>
  <c r="K48" i="31"/>
  <c r="J48" i="31"/>
  <c r="I48" i="31"/>
  <c r="H48" i="31"/>
  <c r="G48" i="31"/>
  <c r="F48" i="31"/>
  <c r="G42" i="31"/>
  <c r="F42" i="31"/>
  <c r="E42" i="31"/>
  <c r="E41" i="31"/>
  <c r="L40" i="31"/>
  <c r="K40" i="31"/>
  <c r="J40" i="31"/>
  <c r="I40" i="31"/>
  <c r="H40" i="31"/>
  <c r="G40" i="31"/>
  <c r="F40" i="31"/>
  <c r="E40" i="31"/>
  <c r="E48" i="31"/>
  <c r="L14" i="31"/>
  <c r="L42" i="31" s="1"/>
  <c r="K14" i="31"/>
  <c r="K42" i="31" s="1"/>
  <c r="J14" i="31"/>
  <c r="J42" i="31" s="1"/>
  <c r="I14" i="31"/>
  <c r="I42" i="31" s="1"/>
  <c r="H14" i="31"/>
  <c r="H42" i="31" s="1"/>
  <c r="L41" i="31" l="1"/>
  <c r="K41" i="31"/>
  <c r="J41" i="31"/>
  <c r="I41" i="31"/>
  <c r="H41" i="31"/>
  <c r="G41" i="31"/>
  <c r="F41" i="31"/>
  <c r="L4" i="31"/>
  <c r="K4" i="31"/>
  <c r="J4" i="31"/>
  <c r="I4" i="31"/>
  <c r="H4" i="31"/>
  <c r="G4" i="31"/>
  <c r="F4" i="31"/>
  <c r="E4" i="31"/>
  <c r="N30" i="30"/>
  <c r="M30" i="30"/>
  <c r="L30" i="30"/>
  <c r="K30" i="30"/>
  <c r="J30" i="30"/>
  <c r="I30" i="30"/>
  <c r="H30" i="30"/>
  <c r="G30" i="30"/>
  <c r="F30" i="30"/>
  <c r="E30" i="30"/>
  <c r="L41" i="29" l="1"/>
  <c r="L37" i="29"/>
  <c r="L33" i="29"/>
  <c r="J52" i="29"/>
  <c r="N45" i="29" s="1"/>
  <c r="I52" i="29"/>
  <c r="M45" i="29" s="1"/>
  <c r="H52" i="29"/>
  <c r="O45" i="29" s="1"/>
  <c r="G52" i="29"/>
  <c r="F52" i="29"/>
  <c r="E52" i="29"/>
  <c r="J51" i="29"/>
  <c r="N41" i="29" s="1"/>
  <c r="I51" i="29"/>
  <c r="M42" i="29" s="1"/>
  <c r="H51" i="29"/>
  <c r="L42" i="29" s="1"/>
  <c r="G51" i="29"/>
  <c r="F51" i="29"/>
  <c r="E51" i="29"/>
  <c r="J50" i="29"/>
  <c r="N37" i="29" s="1"/>
  <c r="I50" i="29"/>
  <c r="M38" i="29" s="1"/>
  <c r="H50" i="29"/>
  <c r="L38" i="29" s="1"/>
  <c r="G50" i="29"/>
  <c r="F50" i="29"/>
  <c r="E50" i="29"/>
  <c r="J49" i="29"/>
  <c r="N33" i="29" s="1"/>
  <c r="I49" i="29"/>
  <c r="M34" i="29" s="1"/>
  <c r="H49" i="29"/>
  <c r="L32" i="29" s="1"/>
  <c r="G49" i="29"/>
  <c r="F49" i="29"/>
  <c r="E49" i="29"/>
  <c r="J46" i="29"/>
  <c r="I46" i="29"/>
  <c r="H46" i="29"/>
  <c r="G46" i="29"/>
  <c r="F46" i="29"/>
  <c r="E46" i="29"/>
  <c r="N34" i="29" l="1"/>
  <c r="N38" i="29"/>
  <c r="N42" i="29"/>
  <c r="O34" i="29"/>
  <c r="L35" i="29"/>
  <c r="L39" i="29"/>
  <c r="L43" i="29"/>
  <c r="O35" i="29"/>
  <c r="M35" i="29"/>
  <c r="M39" i="29"/>
  <c r="M43" i="29"/>
  <c r="O36" i="29"/>
  <c r="N35" i="29"/>
  <c r="N39" i="29"/>
  <c r="N43" i="29"/>
  <c r="O37" i="29"/>
  <c r="L36" i="29"/>
  <c r="L40" i="29"/>
  <c r="L44" i="29"/>
  <c r="O38" i="29"/>
  <c r="M32" i="29"/>
  <c r="M36" i="29"/>
  <c r="M40" i="29"/>
  <c r="M44" i="29"/>
  <c r="O39" i="29"/>
  <c r="N32" i="29"/>
  <c r="N36" i="29"/>
  <c r="N40" i="29"/>
  <c r="N44" i="29"/>
  <c r="O40" i="29"/>
  <c r="L45" i="29"/>
  <c r="O41" i="29"/>
  <c r="M33" i="29"/>
  <c r="M37" i="29"/>
  <c r="M41" i="29"/>
  <c r="O42" i="29"/>
  <c r="O43" i="29"/>
  <c r="L34" i="29"/>
  <c r="O32" i="29"/>
  <c r="O44" i="29"/>
  <c r="O33" i="29"/>
  <c r="I40" i="30"/>
  <c r="M18" i="29" l="1"/>
  <c r="M17" i="29"/>
  <c r="M12" i="29"/>
  <c r="M11" i="29"/>
  <c r="M10" i="29"/>
  <c r="M9" i="29"/>
  <c r="L17" i="29"/>
  <c r="L16" i="29"/>
  <c r="J25" i="29"/>
  <c r="N18" i="29" s="1"/>
  <c r="I25" i="29"/>
  <c r="M16" i="29" s="1"/>
  <c r="H25" i="29"/>
  <c r="O18" i="29" s="1"/>
  <c r="G25" i="29"/>
  <c r="F25" i="29"/>
  <c r="E25" i="29"/>
  <c r="J24" i="29"/>
  <c r="N15" i="29" s="1"/>
  <c r="I24" i="29"/>
  <c r="M15" i="29" s="1"/>
  <c r="H24" i="29"/>
  <c r="O15" i="29" s="1"/>
  <c r="G24" i="29"/>
  <c r="F24" i="29"/>
  <c r="E24" i="29"/>
  <c r="J23" i="29"/>
  <c r="N12" i="29" s="1"/>
  <c r="I23" i="29"/>
  <c r="M8" i="29" s="1"/>
  <c r="H23" i="29"/>
  <c r="G23" i="29"/>
  <c r="F23" i="29"/>
  <c r="E23" i="29"/>
  <c r="J22" i="29"/>
  <c r="N7" i="29" s="1"/>
  <c r="I22" i="29"/>
  <c r="M7" i="29" s="1"/>
  <c r="H22" i="29"/>
  <c r="L5" i="29" s="1"/>
  <c r="G22" i="29"/>
  <c r="F22" i="29"/>
  <c r="E22" i="29"/>
  <c r="N16" i="29" l="1"/>
  <c r="L6" i="29"/>
  <c r="L7" i="29"/>
  <c r="N10" i="29"/>
  <c r="N17" i="29"/>
  <c r="L13" i="29"/>
  <c r="L14" i="29"/>
  <c r="L15" i="29"/>
  <c r="M13" i="29"/>
  <c r="O7" i="29"/>
  <c r="N13" i="29"/>
  <c r="O13" i="29"/>
  <c r="M14" i="29"/>
  <c r="O14" i="29"/>
  <c r="L18" i="29"/>
  <c r="N14" i="29"/>
  <c r="M5" i="29"/>
  <c r="O16" i="29"/>
  <c r="O12" i="29"/>
  <c r="N5" i="29"/>
  <c r="O17" i="29"/>
  <c r="L8" i="29"/>
  <c r="O8" i="29"/>
  <c r="L9" i="29"/>
  <c r="O9" i="29"/>
  <c r="L10" i="29"/>
  <c r="N8" i="29"/>
  <c r="O10" i="29"/>
  <c r="L11" i="29"/>
  <c r="O11" i="29"/>
  <c r="L12" i="29"/>
  <c r="N9" i="29"/>
  <c r="N11" i="29"/>
  <c r="M6" i="29"/>
  <c r="N6" i="29"/>
  <c r="O5" i="29"/>
  <c r="O6" i="29"/>
  <c r="J19" i="29" l="1"/>
  <c r="I19" i="29"/>
  <c r="H19" i="29"/>
  <c r="G19" i="29"/>
  <c r="F19" i="29"/>
  <c r="E19" i="29"/>
  <c r="D48" i="28" l="1"/>
  <c r="D47" i="28"/>
  <c r="D41" i="28"/>
  <c r="D40" i="28"/>
  <c r="D39" i="28"/>
  <c r="I47" i="28"/>
  <c r="K104" i="11"/>
  <c r="J104" i="11"/>
  <c r="I104" i="11"/>
  <c r="H104" i="11"/>
  <c r="G104" i="11"/>
  <c r="F104" i="11"/>
  <c r="E104" i="11"/>
  <c r="D104" i="11"/>
  <c r="K86" i="11"/>
  <c r="J86" i="11"/>
  <c r="I86" i="11"/>
  <c r="H86" i="11"/>
  <c r="G86" i="11"/>
  <c r="F86" i="11"/>
  <c r="E86" i="11"/>
  <c r="D86" i="11"/>
  <c r="K48" i="11"/>
  <c r="J48" i="11"/>
  <c r="I48" i="11"/>
  <c r="H48" i="11"/>
  <c r="G48" i="11"/>
  <c r="F48" i="11"/>
  <c r="E48" i="11"/>
  <c r="D48" i="11"/>
  <c r="K24" i="11"/>
  <c r="J24" i="11"/>
  <c r="I24" i="11"/>
  <c r="H24" i="11"/>
  <c r="G24" i="11"/>
  <c r="F24" i="11"/>
  <c r="E24" i="11"/>
  <c r="D24" i="11"/>
  <c r="K5" i="11"/>
  <c r="J5" i="11"/>
  <c r="I5" i="11"/>
  <c r="H5" i="11"/>
  <c r="G5" i="11"/>
  <c r="F5" i="11"/>
  <c r="E5" i="11"/>
  <c r="D5" i="11"/>
  <c r="E16" i="30" l="1"/>
  <c r="E5" i="30"/>
  <c r="O22" i="30"/>
  <c r="O21" i="30"/>
  <c r="O20" i="30"/>
  <c r="O17" i="30"/>
  <c r="O15" i="30"/>
  <c r="O14" i="30"/>
  <c r="O13" i="30"/>
  <c r="O12" i="30"/>
  <c r="O11" i="30"/>
  <c r="O8" i="30"/>
  <c r="O7" i="30"/>
  <c r="O6" i="30"/>
  <c r="E19" i="30" l="1"/>
  <c r="E23" i="30"/>
  <c r="E10" i="30"/>
  <c r="E24" i="30" l="1"/>
  <c r="E5" i="28" l="1"/>
  <c r="H21" i="30" l="1"/>
  <c r="I21" i="30"/>
  <c r="I46" i="30" s="1"/>
  <c r="T18" i="30"/>
  <c r="T9" i="30" l="1"/>
  <c r="U18" i="30" s="1"/>
  <c r="N5" i="30" l="1"/>
  <c r="M5" i="30"/>
  <c r="L5" i="30"/>
  <c r="K5" i="30"/>
  <c r="J5" i="30"/>
  <c r="I5" i="30"/>
  <c r="H5" i="30"/>
  <c r="G5" i="30"/>
  <c r="F5" i="30"/>
  <c r="G31" i="28"/>
  <c r="N31" i="28"/>
  <c r="M31" i="28"/>
  <c r="L31" i="28"/>
  <c r="K31" i="28"/>
  <c r="J31" i="28"/>
  <c r="I31" i="28"/>
  <c r="H31" i="28"/>
  <c r="I41" i="28" l="1"/>
  <c r="F5" i="28" l="1"/>
  <c r="G5" i="28" l="1"/>
  <c r="N5" i="28"/>
  <c r="M5" i="28"/>
  <c r="L5" i="28"/>
  <c r="K5" i="28"/>
  <c r="J5" i="28"/>
  <c r="I5" i="28"/>
  <c r="H5" i="28"/>
  <c r="N20" i="8" l="1"/>
  <c r="M20" i="8"/>
  <c r="Y2" i="2" l="1"/>
  <c r="Y3" i="2" s="1"/>
  <c r="X2" i="2"/>
  <c r="X3" i="2" s="1"/>
  <c r="I39" i="28" l="1"/>
  <c r="D63" i="1"/>
  <c r="G17" i="46" l="1"/>
  <c r="L17" i="46"/>
  <c r="K17" i="46"/>
  <c r="J17" i="46"/>
  <c r="I17" i="46"/>
  <c r="H17" i="46"/>
  <c r="M17" i="46"/>
  <c r="X5" i="6"/>
  <c r="W5" i="6"/>
  <c r="V5" i="6"/>
  <c r="U5" i="6"/>
  <c r="T5" i="6"/>
  <c r="S5" i="6"/>
  <c r="R5" i="6"/>
  <c r="Q5" i="6"/>
  <c r="P5" i="6"/>
  <c r="O5" i="6"/>
  <c r="M5" i="6"/>
  <c r="L5" i="6"/>
  <c r="K5" i="6"/>
  <c r="N5" i="6"/>
  <c r="F19" i="31" l="1"/>
  <c r="F47" i="31" s="1"/>
  <c r="E117" i="11" s="1"/>
  <c r="C5" i="46" l="1"/>
  <c r="F5" i="46"/>
  <c r="E5" i="46"/>
  <c r="D5" i="46"/>
  <c r="M5" i="46"/>
  <c r="L5" i="46"/>
  <c r="K5" i="46"/>
  <c r="J5" i="46"/>
  <c r="I5" i="46"/>
  <c r="H5" i="46"/>
  <c r="G5" i="46"/>
  <c r="H12" i="44" l="1"/>
  <c r="H9" i="44"/>
  <c r="S28" i="8" l="1"/>
  <c r="R28" i="8"/>
  <c r="Q28" i="8"/>
  <c r="P28" i="8"/>
  <c r="O28" i="8"/>
  <c r="E19" i="31" l="1"/>
  <c r="J14" i="19"/>
  <c r="E47" i="31" l="1"/>
  <c r="D117" i="11" s="1"/>
  <c r="D99" i="11" s="1"/>
  <c r="AF15" i="7" l="1"/>
  <c r="V6" i="2"/>
  <c r="V27" i="2" s="1"/>
  <c r="V7" i="2"/>
  <c r="S26" i="7" l="1"/>
  <c r="S25" i="7"/>
  <c r="S22" i="7"/>
  <c r="S20" i="7"/>
  <c r="E16" i="31"/>
  <c r="E6" i="31"/>
  <c r="S24" i="7" l="1"/>
  <c r="S19" i="7"/>
  <c r="S21" i="7"/>
  <c r="S23" i="7"/>
  <c r="E10" i="31" l="1"/>
  <c r="G21" i="28" l="1"/>
  <c r="E5" i="31"/>
  <c r="H7" i="44" l="1"/>
  <c r="H20" i="44" l="1"/>
  <c r="H19" i="44" l="1"/>
  <c r="H21" i="44"/>
  <c r="H11" i="44" l="1"/>
  <c r="E51" i="1" l="1"/>
  <c r="E54" i="1" s="1"/>
  <c r="D51" i="1"/>
  <c r="D54" i="1" s="1"/>
  <c r="AR13" i="2" l="1"/>
  <c r="V27" i="23"/>
  <c r="U27" i="23"/>
  <c r="T27" i="23"/>
  <c r="S27" i="23"/>
  <c r="R27" i="23"/>
  <c r="Q27" i="23"/>
  <c r="P27" i="23"/>
  <c r="O27" i="23"/>
  <c r="N27" i="23"/>
  <c r="M27" i="23"/>
  <c r="V18" i="23"/>
  <c r="U18" i="23"/>
  <c r="T18" i="23"/>
  <c r="S18" i="23"/>
  <c r="R18" i="23"/>
  <c r="Q18" i="23"/>
  <c r="P18" i="23"/>
  <c r="O18" i="23"/>
  <c r="N18" i="23"/>
  <c r="M18" i="23"/>
  <c r="V3" i="23"/>
  <c r="U3" i="23"/>
  <c r="T3" i="23"/>
  <c r="S3" i="23"/>
  <c r="R3" i="23"/>
  <c r="Q3" i="23"/>
  <c r="P3" i="23"/>
  <c r="O3" i="23"/>
  <c r="N3" i="23"/>
  <c r="M3" i="23"/>
  <c r="I19" i="31" l="1"/>
  <c r="H19" i="31" l="1"/>
  <c r="G19" i="31"/>
  <c r="G47" i="31" s="1"/>
  <c r="F117" i="11" s="1"/>
  <c r="H30" i="1" l="1"/>
  <c r="H29" i="1"/>
  <c r="E64" i="7" l="1"/>
  <c r="AE64" i="7" s="1"/>
  <c r="D67" i="7"/>
  <c r="AD67" i="7" s="1"/>
  <c r="D64" i="7"/>
  <c r="AD64" i="7" s="1"/>
  <c r="E67" i="7" l="1"/>
  <c r="AE67" i="7" s="1"/>
  <c r="H18" i="44" l="1"/>
  <c r="H17" i="44"/>
  <c r="H16" i="44"/>
  <c r="H22" i="44"/>
  <c r="H15" i="44"/>
  <c r="H14" i="44"/>
  <c r="H13" i="44"/>
  <c r="H10" i="44"/>
  <c r="H8" i="44"/>
  <c r="M14" i="4" l="1"/>
  <c r="H59" i="7" l="1"/>
  <c r="L19" i="31" l="1"/>
  <c r="K19" i="31"/>
  <c r="J19" i="31"/>
  <c r="G39" i="17" l="1"/>
  <c r="F39" i="17"/>
  <c r="N52" i="17"/>
  <c r="I52" i="17"/>
  <c r="H52" i="17"/>
  <c r="G52" i="17"/>
  <c r="F52" i="17"/>
  <c r="I14" i="19"/>
  <c r="H14" i="19"/>
  <c r="G14" i="19"/>
  <c r="F14" i="19"/>
  <c r="E14" i="19"/>
  <c r="I13" i="19"/>
  <c r="H13" i="19"/>
  <c r="I12" i="19"/>
  <c r="H12" i="19"/>
  <c r="I11" i="19"/>
  <c r="H11" i="19"/>
  <c r="I10" i="19"/>
  <c r="H10" i="19"/>
  <c r="I9" i="19"/>
  <c r="H9" i="19"/>
  <c r="I8" i="19"/>
  <c r="H8" i="19"/>
  <c r="I7" i="19"/>
  <c r="H7" i="19"/>
  <c r="N64" i="17"/>
  <c r="I64" i="17"/>
  <c r="H64" i="17"/>
  <c r="M4" i="7"/>
  <c r="Z4" i="7" s="1"/>
  <c r="L4" i="7"/>
  <c r="Y4" i="7" s="1"/>
  <c r="K4" i="7"/>
  <c r="X4" i="7" s="1"/>
  <c r="J4" i="7"/>
  <c r="W4" i="7" s="1"/>
  <c r="I4" i="7"/>
  <c r="V4" i="7" s="1"/>
  <c r="H4" i="7"/>
  <c r="U4" i="7" s="1"/>
  <c r="G4" i="7"/>
  <c r="T4" i="7" s="1"/>
  <c r="F4" i="7"/>
  <c r="S4" i="7" s="1"/>
  <c r="E4" i="7"/>
  <c r="R4" i="7" s="1"/>
  <c r="D4" i="7"/>
  <c r="Q4" i="7" s="1"/>
  <c r="C4" i="7"/>
  <c r="P4" i="7" s="1"/>
  <c r="H38" i="1" l="1"/>
  <c r="P6" i="19" l="1"/>
  <c r="O6" i="19"/>
  <c r="N6" i="19"/>
  <c r="M6" i="19"/>
  <c r="L6" i="19"/>
  <c r="K6" i="19"/>
  <c r="M13" i="19" l="1"/>
  <c r="M8" i="19"/>
  <c r="M10" i="19"/>
  <c r="M7" i="19"/>
  <c r="M11" i="19"/>
  <c r="M9" i="19"/>
  <c r="M12" i="19"/>
  <c r="L9" i="19"/>
  <c r="L8" i="19"/>
  <c r="L7" i="19"/>
  <c r="L10" i="19"/>
  <c r="L11" i="19"/>
  <c r="L13" i="19"/>
  <c r="L12" i="19"/>
  <c r="N13" i="19"/>
  <c r="N14" i="19"/>
  <c r="N9" i="19"/>
  <c r="N12" i="19"/>
  <c r="N8" i="19"/>
  <c r="N7" i="19"/>
  <c r="N10" i="19"/>
  <c r="N11" i="19"/>
  <c r="S22" i="8"/>
  <c r="R22" i="8"/>
  <c r="Q22" i="8"/>
  <c r="P22" i="8"/>
  <c r="O22" i="8"/>
  <c r="N22" i="8"/>
  <c r="M22" i="8"/>
  <c r="L22" i="8"/>
  <c r="K22" i="8"/>
  <c r="J22" i="8"/>
  <c r="I22" i="8"/>
  <c r="S9" i="8"/>
  <c r="R9" i="8"/>
  <c r="Q9" i="8"/>
  <c r="P9" i="8"/>
  <c r="O9" i="8"/>
  <c r="N9" i="8"/>
  <c r="M9" i="8"/>
  <c r="L9" i="8"/>
  <c r="K9" i="8"/>
  <c r="J9" i="8"/>
  <c r="I9" i="8"/>
  <c r="H9" i="8"/>
  <c r="P27" i="2" l="1"/>
  <c r="O27" i="2"/>
  <c r="N27" i="2"/>
  <c r="M27" i="2"/>
  <c r="L27" i="2"/>
  <c r="K27" i="2"/>
  <c r="J27" i="2"/>
  <c r="I27" i="2"/>
  <c r="H27" i="2"/>
  <c r="Q21" i="4" l="1"/>
  <c r="F21" i="28" l="1"/>
  <c r="E21" i="28" l="1"/>
  <c r="D69" i="7"/>
  <c r="AD69" i="7" s="1"/>
  <c r="L14" i="19" l="1"/>
  <c r="E69" i="7" l="1"/>
  <c r="AE69" i="7" s="1"/>
  <c r="M14" i="19" l="1"/>
  <c r="K16" i="49" l="1"/>
  <c r="I27" i="51"/>
  <c r="O16" i="49"/>
  <c r="M27" i="51"/>
  <c r="L16" i="49"/>
  <c r="J27" i="51"/>
  <c r="M16" i="49"/>
  <c r="K27" i="51"/>
  <c r="N16" i="49"/>
  <c r="L27" i="51"/>
  <c r="P16" i="49"/>
  <c r="N27" i="51"/>
  <c r="AH6" i="2"/>
  <c r="AG6" i="2"/>
  <c r="AF6" i="2"/>
  <c r="AC44" i="7" l="1"/>
  <c r="AE44" i="7" l="1"/>
  <c r="AD44" i="7"/>
  <c r="AP6" i="2"/>
  <c r="AO6" i="2"/>
  <c r="AN6" i="2"/>
  <c r="AM6" i="2"/>
  <c r="AL6" i="2"/>
  <c r="AK6" i="2"/>
  <c r="AJ6" i="2"/>
  <c r="AI6" i="2"/>
  <c r="AM18" i="7" l="1"/>
  <c r="AL18" i="7"/>
  <c r="AK18" i="7"/>
  <c r="AJ18" i="7"/>
  <c r="AI18" i="7"/>
  <c r="AH18" i="7"/>
  <c r="AG18" i="7"/>
  <c r="AF18" i="7"/>
  <c r="AE18" i="7"/>
  <c r="AD18" i="7"/>
  <c r="AC18" i="7"/>
  <c r="AD6" i="2"/>
  <c r="AC6" i="2"/>
  <c r="AB6" i="2"/>
  <c r="AA6" i="2"/>
  <c r="Z6" i="2"/>
  <c r="Y6" i="2"/>
  <c r="X6" i="2"/>
  <c r="W6" i="2"/>
  <c r="U6" i="2"/>
  <c r="T6" i="2"/>
  <c r="T27" i="2" s="1"/>
  <c r="S6" i="2"/>
  <c r="S27" i="2" s="1"/>
  <c r="R6" i="2"/>
  <c r="R27" i="2" s="1"/>
  <c r="U27" i="2" l="1"/>
  <c r="W27" i="2"/>
  <c r="AC27" i="2"/>
  <c r="AD27" i="2"/>
  <c r="X27" i="2"/>
  <c r="Y27" i="2"/>
  <c r="Z27" i="2"/>
  <c r="AA27" i="2"/>
  <c r="AB27" i="2"/>
  <c r="P18" i="7"/>
  <c r="C18" i="7"/>
  <c r="Q18" i="7"/>
  <c r="D18" i="7"/>
  <c r="R18" i="7"/>
  <c r="E18" i="7"/>
  <c r="Z18" i="7"/>
  <c r="M18" i="7"/>
  <c r="F18" i="7"/>
  <c r="S18" i="7"/>
  <c r="G18" i="7"/>
  <c r="T18" i="7"/>
  <c r="H18" i="7"/>
  <c r="U18" i="7"/>
  <c r="I18" i="7"/>
  <c r="V18" i="7"/>
  <c r="J18" i="7"/>
  <c r="W18" i="7"/>
  <c r="K18" i="7"/>
  <c r="X18" i="7"/>
  <c r="Y18" i="7"/>
  <c r="L18" i="7"/>
  <c r="AY109" i="2" l="1"/>
  <c r="AX109" i="2"/>
  <c r="AW109" i="2"/>
  <c r="AV109" i="2"/>
  <c r="AU109" i="2"/>
  <c r="AT109" i="2"/>
  <c r="AR109" i="2"/>
  <c r="AY75" i="2"/>
  <c r="AX75" i="2"/>
  <c r="AW75" i="2"/>
  <c r="AV75" i="2"/>
  <c r="AU75" i="2"/>
  <c r="AT75" i="2"/>
  <c r="AR75" i="2"/>
  <c r="AR6" i="2"/>
  <c r="I69" i="19" l="1"/>
  <c r="P8" i="7" l="1"/>
  <c r="P22" i="7"/>
  <c r="P9" i="7"/>
  <c r="P23" i="7"/>
  <c r="P24" i="7"/>
  <c r="P10" i="7"/>
  <c r="P25" i="7"/>
  <c r="P11" i="7"/>
  <c r="P26" i="7"/>
  <c r="P12" i="7"/>
  <c r="Q12" i="7"/>
  <c r="Q26" i="7"/>
  <c r="R12" i="7"/>
  <c r="R26" i="7"/>
  <c r="P19" i="7"/>
  <c r="P5" i="7"/>
  <c r="P20" i="7"/>
  <c r="P6" i="7"/>
  <c r="P21" i="7"/>
  <c r="P7" i="7"/>
  <c r="P13" i="7" l="1"/>
  <c r="R25" i="7" l="1"/>
  <c r="R11" i="7"/>
  <c r="R20" i="7"/>
  <c r="R6" i="7"/>
  <c r="R23" i="7"/>
  <c r="R9" i="7"/>
  <c r="R8" i="7"/>
  <c r="R22" i="7"/>
  <c r="R21" i="7"/>
  <c r="R7" i="7"/>
  <c r="R24" i="7"/>
  <c r="R10" i="7"/>
  <c r="R19" i="7" l="1"/>
  <c r="R5" i="7"/>
  <c r="R13" i="7" s="1"/>
  <c r="K59" i="19" l="1"/>
  <c r="P14" i="7" s="1"/>
  <c r="K14" i="19"/>
  <c r="K12" i="19"/>
  <c r="K11" i="19"/>
  <c r="K10" i="19"/>
  <c r="K13" i="19"/>
  <c r="K9" i="19"/>
  <c r="K8" i="19"/>
  <c r="K7" i="19"/>
  <c r="K52" i="17" l="1"/>
  <c r="K41" i="19"/>
  <c r="K42" i="19"/>
  <c r="K46" i="19"/>
  <c r="K44" i="19"/>
  <c r="K40" i="19"/>
  <c r="K64" i="17"/>
  <c r="P27" i="7"/>
  <c r="P28" i="7" s="1"/>
  <c r="K15" i="19" l="1"/>
  <c r="K45" i="19"/>
  <c r="K43" i="19"/>
  <c r="K48" i="19" l="1"/>
  <c r="K16" i="19" l="1"/>
  <c r="K39" i="17" l="1"/>
  <c r="C14" i="7" l="1"/>
  <c r="G17" i="8"/>
  <c r="F17" i="8"/>
  <c r="E17" i="8"/>
  <c r="D17" i="8"/>
  <c r="C17" i="8"/>
  <c r="R27" i="7" l="1"/>
  <c r="R28" i="7" s="1"/>
  <c r="C29" i="7" l="1"/>
  <c r="N25" i="2"/>
  <c r="L47" i="19"/>
  <c r="C28" i="7" l="1"/>
  <c r="C57" i="7" l="1"/>
  <c r="C58" i="7" s="1"/>
  <c r="M47" i="19" l="1"/>
  <c r="M59" i="19" l="1"/>
  <c r="J59" i="19"/>
  <c r="I59" i="19"/>
  <c r="H59" i="19"/>
  <c r="G59" i="19"/>
  <c r="F59" i="19"/>
  <c r="E59" i="19"/>
  <c r="D59" i="19"/>
  <c r="C59" i="19"/>
  <c r="I26" i="19"/>
  <c r="H26" i="19"/>
  <c r="G26" i="19"/>
  <c r="F26" i="19"/>
  <c r="E26" i="19"/>
  <c r="D26" i="19"/>
  <c r="C26" i="19"/>
  <c r="D15" i="19"/>
  <c r="C15" i="19"/>
  <c r="R14" i="7" l="1"/>
  <c r="H22" i="4"/>
  <c r="G22" i="4"/>
  <c r="F22" i="4"/>
  <c r="E22" i="4"/>
  <c r="D22" i="4"/>
  <c r="H39" i="17" l="1"/>
  <c r="I39" i="17"/>
  <c r="N30" i="17"/>
  <c r="M30" i="17"/>
  <c r="L30" i="17"/>
  <c r="J30" i="17"/>
  <c r="I30" i="17"/>
  <c r="H30" i="17"/>
  <c r="G30" i="17"/>
  <c r="F30" i="17"/>
  <c r="E30" i="17"/>
  <c r="N18" i="17"/>
  <c r="M18" i="17"/>
  <c r="L18" i="17"/>
  <c r="J18" i="17"/>
  <c r="I18" i="17"/>
  <c r="H18" i="17"/>
  <c r="G18" i="17"/>
  <c r="F18" i="17"/>
  <c r="E18" i="17"/>
  <c r="J12" i="19"/>
  <c r="J11" i="19"/>
  <c r="J10" i="19"/>
  <c r="J13" i="19"/>
  <c r="J9" i="19"/>
  <c r="J8" i="19"/>
  <c r="L52" i="17" l="1"/>
  <c r="J52" i="17"/>
  <c r="M52" i="17"/>
  <c r="M15" i="19"/>
  <c r="M64" i="17"/>
  <c r="L15" i="19"/>
  <c r="L64" i="17"/>
  <c r="J7" i="19"/>
  <c r="J15" i="19" s="1"/>
  <c r="J64" i="17"/>
  <c r="R21" i="4" l="1"/>
  <c r="E21" i="31" s="1"/>
  <c r="H39" i="1"/>
  <c r="E49" i="31" l="1"/>
  <c r="E22" i="31"/>
  <c r="P10" i="4"/>
  <c r="O10" i="4"/>
  <c r="N10" i="4"/>
  <c r="E50" i="31" l="1"/>
  <c r="D118" i="11"/>
  <c r="D100" i="11" s="1"/>
  <c r="S49" i="4"/>
  <c r="T49" i="4" s="1"/>
  <c r="U49" i="4" s="1"/>
  <c r="V49" i="4" s="1"/>
  <c r="W49" i="4" s="1"/>
  <c r="X49" i="4" s="1"/>
  <c r="Y49" i="4" s="1"/>
  <c r="S45" i="4"/>
  <c r="T45" i="4" s="1"/>
  <c r="U45" i="4" s="1"/>
  <c r="V45" i="4" s="1"/>
  <c r="W45" i="4" s="1"/>
  <c r="X45" i="4" s="1"/>
  <c r="Y45" i="4" s="1"/>
  <c r="S50" i="4"/>
  <c r="X50" i="4" s="1"/>
  <c r="S38" i="4"/>
  <c r="T38" i="4" s="1"/>
  <c r="U38" i="4" s="1"/>
  <c r="V38" i="4" s="1"/>
  <c r="W38" i="4" s="1"/>
  <c r="X38" i="4" s="1"/>
  <c r="Y38" i="4" s="1"/>
  <c r="S46" i="4"/>
  <c r="Y46" i="4" s="1"/>
  <c r="U41" i="4"/>
  <c r="V41" i="4" s="1"/>
  <c r="W41" i="4" s="1"/>
  <c r="X41" i="4" s="1"/>
  <c r="Y41" i="4" s="1"/>
  <c r="S42" i="4"/>
  <c r="V42" i="4" s="1"/>
  <c r="N11" i="4"/>
  <c r="O11" i="4"/>
  <c r="C7" i="46" s="1"/>
  <c r="P11" i="4"/>
  <c r="N12" i="4"/>
  <c r="O12" i="4"/>
  <c r="P12" i="4"/>
  <c r="P14" i="4"/>
  <c r="N14" i="4"/>
  <c r="O14" i="4"/>
  <c r="O16" i="4"/>
  <c r="P17" i="4"/>
  <c r="P16" i="4"/>
  <c r="O17" i="4"/>
  <c r="N35" i="4"/>
  <c r="O35" i="4"/>
  <c r="N16" i="4"/>
  <c r="P35" i="4"/>
  <c r="N17" i="4"/>
  <c r="V46" i="4" l="1"/>
  <c r="T46" i="4"/>
  <c r="O37" i="4"/>
  <c r="C10" i="46"/>
  <c r="X46" i="4"/>
  <c r="U46" i="4"/>
  <c r="W46" i="4"/>
  <c r="Y50" i="4"/>
  <c r="Y18" i="4" s="1"/>
  <c r="T50" i="4"/>
  <c r="X42" i="4"/>
  <c r="W50" i="4"/>
  <c r="W18" i="4" s="1"/>
  <c r="U42" i="4"/>
  <c r="U50" i="4"/>
  <c r="U18" i="4" s="1"/>
  <c r="T42" i="4"/>
  <c r="V50" i="4"/>
  <c r="V18" i="4" s="1"/>
  <c r="T30" i="4"/>
  <c r="U30" i="4" s="1"/>
  <c r="V30" i="4" s="1"/>
  <c r="W30" i="4" s="1"/>
  <c r="X30" i="4" s="1"/>
  <c r="Y30" i="4" s="1"/>
  <c r="W42" i="4"/>
  <c r="Y42" i="4"/>
  <c r="S43" i="4"/>
  <c r="D10" i="46"/>
  <c r="D7" i="46"/>
  <c r="G52" i="1"/>
  <c r="G51" i="1" s="1"/>
  <c r="G54" i="1" s="1"/>
  <c r="F52" i="1"/>
  <c r="F51" i="1" s="1"/>
  <c r="F54" i="1" s="1"/>
  <c r="P37" i="4"/>
  <c r="H52" i="1"/>
  <c r="H51" i="1" s="1"/>
  <c r="H54" i="1" s="1"/>
  <c r="N37" i="4"/>
  <c r="X18" i="4"/>
  <c r="P9" i="4"/>
  <c r="O9" i="4"/>
  <c r="D24" i="46" l="1"/>
  <c r="C24" i="46"/>
  <c r="T43" i="4"/>
  <c r="U43" i="4" l="1"/>
  <c r="N46" i="19"/>
  <c r="N45" i="19"/>
  <c r="N41" i="19"/>
  <c r="V43" i="4" l="1"/>
  <c r="W43" i="4" l="1"/>
  <c r="X43" i="4" l="1"/>
  <c r="F16" i="30" l="1"/>
  <c r="Y43" i="4"/>
  <c r="A7" i="41" l="1"/>
  <c r="A10" i="41" s="1"/>
  <c r="Q17" i="4" l="1"/>
  <c r="M18" i="4"/>
  <c r="L18" i="4"/>
  <c r="K18" i="4"/>
  <c r="J18" i="4"/>
  <c r="M17" i="4"/>
  <c r="L17" i="4"/>
  <c r="K17" i="4"/>
  <c r="J17" i="4"/>
  <c r="I51" i="4"/>
  <c r="J51" i="4"/>
  <c r="K51" i="4"/>
  <c r="L51" i="4"/>
  <c r="M51" i="4"/>
  <c r="S18" i="4"/>
  <c r="H36" i="1"/>
  <c r="N18" i="4" l="1"/>
  <c r="N51" i="4"/>
  <c r="P18" i="4"/>
  <c r="T18" i="4" l="1"/>
  <c r="P51" i="4"/>
  <c r="O51" i="4"/>
  <c r="O18" i="4"/>
  <c r="Q51" i="4"/>
  <c r="Q18" i="4"/>
  <c r="R18" i="4"/>
  <c r="A14" i="41" l="1"/>
  <c r="A16" i="41" s="1"/>
  <c r="A18" i="41" s="1"/>
  <c r="A20" i="41" s="1"/>
  <c r="A22" i="41" s="1"/>
  <c r="A24" i="41" s="1"/>
  <c r="A27" i="41" s="1"/>
  <c r="O40" i="4" l="1"/>
  <c r="I43" i="4"/>
  <c r="K16" i="4"/>
  <c r="L16" i="4"/>
  <c r="M16" i="4"/>
  <c r="N40" i="4"/>
  <c r="Q14" i="4"/>
  <c r="Q13" i="4"/>
  <c r="Q16" i="4"/>
  <c r="P40" i="4"/>
  <c r="K9" i="23"/>
  <c r="N15" i="4"/>
  <c r="M15" i="4"/>
  <c r="L15" i="4"/>
  <c r="K15" i="4"/>
  <c r="D59" i="1"/>
  <c r="J43" i="4"/>
  <c r="K14" i="4"/>
  <c r="K7" i="2"/>
  <c r="L14" i="4"/>
  <c r="O19" i="4"/>
  <c r="N19" i="4"/>
  <c r="P19" i="4"/>
  <c r="Q19" i="4"/>
  <c r="K47" i="31"/>
  <c r="H8" i="23"/>
  <c r="J8" i="23"/>
  <c r="Q15" i="4"/>
  <c r="S15" i="4"/>
  <c r="P15" i="4"/>
  <c r="O15" i="4"/>
  <c r="H33" i="1"/>
  <c r="D62" i="19"/>
  <c r="D63" i="19"/>
  <c r="D64" i="19"/>
  <c r="D65" i="19"/>
  <c r="D66" i="19"/>
  <c r="D77" i="19" s="1"/>
  <c r="D67" i="19"/>
  <c r="D68" i="19"/>
  <c r="C62" i="19"/>
  <c r="C63" i="19"/>
  <c r="C64" i="19"/>
  <c r="C65" i="19"/>
  <c r="C66" i="19"/>
  <c r="C77" i="19" s="1"/>
  <c r="C67" i="19"/>
  <c r="C68" i="19"/>
  <c r="D44" i="19"/>
  <c r="C44" i="19"/>
  <c r="C33" i="19"/>
  <c r="D33" i="19"/>
  <c r="E66" i="19"/>
  <c r="M10" i="4"/>
  <c r="K17" i="11"/>
  <c r="J17" i="11"/>
  <c r="I17" i="11"/>
  <c r="H17" i="11"/>
  <c r="G17" i="11"/>
  <c r="F17" i="11"/>
  <c r="E17" i="11"/>
  <c r="F99" i="11"/>
  <c r="E99" i="11"/>
  <c r="K98" i="11"/>
  <c r="J98" i="11"/>
  <c r="I98" i="11"/>
  <c r="H98" i="11"/>
  <c r="G98" i="11"/>
  <c r="F98" i="11"/>
  <c r="E98" i="11"/>
  <c r="D20" i="30"/>
  <c r="D18" i="30"/>
  <c r="D17" i="30"/>
  <c r="D12" i="30"/>
  <c r="D11" i="30"/>
  <c r="D9" i="30"/>
  <c r="D8" i="30"/>
  <c r="D7" i="30"/>
  <c r="D6" i="30"/>
  <c r="D20" i="28"/>
  <c r="D46" i="28" s="1"/>
  <c r="D18" i="28"/>
  <c r="D17" i="28"/>
  <c r="D43" i="28" s="1"/>
  <c r="D12" i="28"/>
  <c r="D38" i="28" s="1"/>
  <c r="D11" i="28"/>
  <c r="D37" i="28" s="1"/>
  <c r="D9" i="28"/>
  <c r="D8" i="28"/>
  <c r="D34" i="28" s="1"/>
  <c r="D7" i="28"/>
  <c r="D33" i="28" s="1"/>
  <c r="D6" i="28"/>
  <c r="D32" i="28" s="1"/>
  <c r="K10" i="4"/>
  <c r="L10" i="4"/>
  <c r="K35" i="4"/>
  <c r="L35" i="4"/>
  <c r="L19" i="4"/>
  <c r="M19" i="4"/>
  <c r="K19" i="4"/>
  <c r="I17" i="4"/>
  <c r="G13" i="19"/>
  <c r="F13" i="19"/>
  <c r="J40" i="4"/>
  <c r="J11" i="4"/>
  <c r="J19" i="4"/>
  <c r="I19" i="4"/>
  <c r="I16" i="4"/>
  <c r="H47" i="4"/>
  <c r="H43" i="4"/>
  <c r="I14" i="4" s="1"/>
  <c r="I40" i="4"/>
  <c r="H40" i="4"/>
  <c r="I11" i="4"/>
  <c r="H35" i="4"/>
  <c r="K43" i="4"/>
  <c r="Q43" i="4"/>
  <c r="N43" i="4"/>
  <c r="M43" i="4"/>
  <c r="L43" i="4"/>
  <c r="H28" i="1"/>
  <c r="H27" i="1"/>
  <c r="H26" i="1"/>
  <c r="F7" i="23"/>
  <c r="G7" i="23" s="1"/>
  <c r="H7" i="23" s="1"/>
  <c r="I7" i="23" s="1"/>
  <c r="J7" i="23" s="1"/>
  <c r="K7" i="23" s="1"/>
  <c r="L7" i="23" s="1"/>
  <c r="H34" i="1"/>
  <c r="H35" i="1"/>
  <c r="J16" i="4"/>
  <c r="P43" i="4"/>
  <c r="H51" i="4"/>
  <c r="I31" i="4"/>
  <c r="J47" i="4"/>
  <c r="H40" i="1"/>
  <c r="H37" i="1"/>
  <c r="H32" i="1"/>
  <c r="H31" i="1"/>
  <c r="H25" i="1"/>
  <c r="K40" i="4"/>
  <c r="M35" i="4"/>
  <c r="Q40" i="4"/>
  <c r="L40" i="4"/>
  <c r="M40" i="4"/>
  <c r="G10" i="19"/>
  <c r="G8" i="19"/>
  <c r="F10" i="19"/>
  <c r="F9" i="19"/>
  <c r="F12" i="19"/>
  <c r="G11" i="19"/>
  <c r="G9" i="19"/>
  <c r="G12" i="19"/>
  <c r="F8" i="19"/>
  <c r="F11" i="19"/>
  <c r="C32" i="19"/>
  <c r="C43" i="19"/>
  <c r="C76" i="19" s="1"/>
  <c r="D32" i="19"/>
  <c r="D43" i="19"/>
  <c r="D76" i="19" s="1"/>
  <c r="C29" i="19"/>
  <c r="C40" i="19"/>
  <c r="C30" i="19"/>
  <c r="C41" i="19"/>
  <c r="C34" i="19"/>
  <c r="C45" i="19"/>
  <c r="C31" i="19"/>
  <c r="C42" i="19"/>
  <c r="C75" i="19" s="1"/>
  <c r="E64" i="19"/>
  <c r="C12" i="8" s="1"/>
  <c r="E67" i="19"/>
  <c r="C15" i="8" s="1"/>
  <c r="E68" i="19"/>
  <c r="C16" i="8" s="1"/>
  <c r="E63" i="19"/>
  <c r="C11" i="8" s="1"/>
  <c r="E65" i="19"/>
  <c r="C13" i="8" s="1"/>
  <c r="E50" i="17"/>
  <c r="E46" i="17"/>
  <c r="E45" i="17"/>
  <c r="E49" i="17"/>
  <c r="K47" i="4"/>
  <c r="L47" i="4"/>
  <c r="K11" i="4"/>
  <c r="E44" i="17"/>
  <c r="D39" i="17"/>
  <c r="I47" i="4"/>
  <c r="C52" i="17"/>
  <c r="E47" i="17"/>
  <c r="D52" i="17"/>
  <c r="E48" i="17"/>
  <c r="J35" i="4"/>
  <c r="I35" i="4"/>
  <c r="C35" i="19"/>
  <c r="C46" i="19"/>
  <c r="D30" i="19"/>
  <c r="D41" i="19"/>
  <c r="D35" i="19"/>
  <c r="D46" i="19"/>
  <c r="D29" i="19"/>
  <c r="D40" i="19"/>
  <c r="D34" i="19"/>
  <c r="D45" i="19"/>
  <c r="D78" i="19" s="1"/>
  <c r="D31" i="19"/>
  <c r="D42" i="19"/>
  <c r="E62" i="19"/>
  <c r="M47" i="4"/>
  <c r="E44" i="31"/>
  <c r="E52" i="17" l="1"/>
  <c r="J117" i="11"/>
  <c r="J99" i="11" s="1"/>
  <c r="D35" i="28"/>
  <c r="D44" i="28"/>
  <c r="F6" i="28"/>
  <c r="F7" i="28"/>
  <c r="F8" i="28"/>
  <c r="F11" i="28"/>
  <c r="F12" i="28"/>
  <c r="F20" i="28"/>
  <c r="AR67" i="2"/>
  <c r="AR101" i="2"/>
  <c r="I9" i="4"/>
  <c r="F64" i="17"/>
  <c r="F7" i="19"/>
  <c r="F15" i="19" s="1"/>
  <c r="G64" i="17"/>
  <c r="G7" i="19"/>
  <c r="G15" i="19" s="1"/>
  <c r="H47" i="31"/>
  <c r="D70" i="19"/>
  <c r="C48" i="19"/>
  <c r="D48" i="19"/>
  <c r="C70" i="19"/>
  <c r="C14" i="8"/>
  <c r="C10" i="8"/>
  <c r="E70" i="19"/>
  <c r="D74" i="19"/>
  <c r="C79" i="19"/>
  <c r="C37" i="19"/>
  <c r="D37" i="19"/>
  <c r="H41" i="19"/>
  <c r="P13" i="4"/>
  <c r="M9" i="4"/>
  <c r="N9" i="4"/>
  <c r="L9" i="4"/>
  <c r="J9" i="4"/>
  <c r="O13" i="4"/>
  <c r="N13" i="4"/>
  <c r="L13" i="4"/>
  <c r="O43" i="4"/>
  <c r="D75" i="19"/>
  <c r="G44" i="19"/>
  <c r="G43" i="19"/>
  <c r="F43" i="19"/>
  <c r="F45" i="19"/>
  <c r="C74" i="19"/>
  <c r="D79" i="19"/>
  <c r="I13" i="4"/>
  <c r="J14" i="4"/>
  <c r="K9" i="4"/>
  <c r="C78" i="19"/>
  <c r="E34" i="31"/>
  <c r="K13" i="4"/>
  <c r="C39" i="17"/>
  <c r="E39" i="17"/>
  <c r="J13" i="4"/>
  <c r="F46" i="19"/>
  <c r="G45" i="19"/>
  <c r="F42" i="19"/>
  <c r="M13" i="4"/>
  <c r="C73" i="19"/>
  <c r="D73" i="19"/>
  <c r="G46" i="19"/>
  <c r="R15" i="4"/>
  <c r="G8" i="23"/>
  <c r="K8" i="23"/>
  <c r="J9" i="23"/>
  <c r="I9" i="23" s="1"/>
  <c r="O47" i="4"/>
  <c r="N47" i="4"/>
  <c r="I47" i="31"/>
  <c r="J47" i="31"/>
  <c r="L47" i="31"/>
  <c r="G42" i="19"/>
  <c r="G41" i="19"/>
  <c r="F41" i="19"/>
  <c r="K117" i="11" l="1"/>
  <c r="K99" i="11" s="1"/>
  <c r="G117" i="11"/>
  <c r="G99" i="11" s="1"/>
  <c r="I117" i="11"/>
  <c r="I99" i="11" s="1"/>
  <c r="H117" i="11"/>
  <c r="H99" i="11" s="1"/>
  <c r="E38" i="31"/>
  <c r="E15" i="31"/>
  <c r="P7" i="29"/>
  <c r="F16" i="28"/>
  <c r="AY101" i="2"/>
  <c r="AU101" i="2"/>
  <c r="AT67" i="2"/>
  <c r="AS101" i="2"/>
  <c r="K22" i="4"/>
  <c r="G40" i="19"/>
  <c r="G48" i="19" s="1"/>
  <c r="AV67" i="2"/>
  <c r="AV101" i="2"/>
  <c r="AU67" i="2"/>
  <c r="M22" i="4"/>
  <c r="E13" i="19"/>
  <c r="E35" i="19" s="1"/>
  <c r="E11" i="19"/>
  <c r="E33" i="19" s="1"/>
  <c r="E12" i="19"/>
  <c r="E34" i="19" s="1"/>
  <c r="E8" i="19"/>
  <c r="E41" i="19" s="1"/>
  <c r="E74" i="19" s="1"/>
  <c r="C24" i="8" s="1"/>
  <c r="E9" i="19"/>
  <c r="E42" i="19" s="1"/>
  <c r="E75" i="19" s="1"/>
  <c r="C25" i="8" s="1"/>
  <c r="E10" i="19"/>
  <c r="E32" i="19" s="1"/>
  <c r="O22" i="4"/>
  <c r="J22" i="4"/>
  <c r="L22" i="4"/>
  <c r="P22" i="4"/>
  <c r="I22" i="4"/>
  <c r="F44" i="19"/>
  <c r="D81" i="19"/>
  <c r="C81" i="19"/>
  <c r="I44" i="19"/>
  <c r="I42" i="19"/>
  <c r="H43" i="19"/>
  <c r="H44" i="19"/>
  <c r="I46" i="19"/>
  <c r="H46" i="19"/>
  <c r="I45" i="19"/>
  <c r="I43" i="19"/>
  <c r="H42" i="19"/>
  <c r="I41" i="19"/>
  <c r="I40" i="19"/>
  <c r="G16" i="19"/>
  <c r="N22" i="4"/>
  <c r="F16" i="19"/>
  <c r="H45" i="19"/>
  <c r="P15" i="29"/>
  <c r="P12" i="29"/>
  <c r="Q12" i="29" s="1"/>
  <c r="L8" i="23"/>
  <c r="AS6" i="2"/>
  <c r="F8" i="23"/>
  <c r="F40" i="19"/>
  <c r="P47" i="4"/>
  <c r="H9" i="23"/>
  <c r="AW101" i="2" l="1"/>
  <c r="AY67" i="2"/>
  <c r="AX101" i="2"/>
  <c r="AX67" i="2"/>
  <c r="AW67" i="2"/>
  <c r="AS67" i="2"/>
  <c r="AT101" i="2"/>
  <c r="E43" i="31"/>
  <c r="E46" i="19"/>
  <c r="E79" i="19" s="1"/>
  <c r="C29" i="8" s="1"/>
  <c r="E30" i="19"/>
  <c r="E43" i="19"/>
  <c r="E76" i="19" s="1"/>
  <c r="C26" i="8" s="1"/>
  <c r="E31" i="19"/>
  <c r="E45" i="19"/>
  <c r="E78" i="19" s="1"/>
  <c r="C28" i="8" s="1"/>
  <c r="E64" i="17"/>
  <c r="E7" i="19"/>
  <c r="E15" i="19" s="1"/>
  <c r="E44" i="19"/>
  <c r="E77" i="19" s="1"/>
  <c r="C27" i="8" s="1"/>
  <c r="E44" i="7"/>
  <c r="F48" i="19"/>
  <c r="R40" i="4"/>
  <c r="R13" i="4"/>
  <c r="R16" i="4"/>
  <c r="R17" i="4"/>
  <c r="R51" i="4"/>
  <c r="I15" i="19"/>
  <c r="I48" i="19"/>
  <c r="H15" i="19"/>
  <c r="L15" i="23"/>
  <c r="E8" i="23"/>
  <c r="H40" i="19"/>
  <c r="H48" i="19" s="1"/>
  <c r="E33" i="31"/>
  <c r="Q47" i="4"/>
  <c r="G9" i="23"/>
  <c r="D112" i="11" l="1"/>
  <c r="D94" i="11" s="1"/>
  <c r="D111" i="11"/>
  <c r="D93" i="11" s="1"/>
  <c r="D110" i="11"/>
  <c r="D92" i="11" s="1"/>
  <c r="D109" i="11"/>
  <c r="D91" i="11" s="1"/>
  <c r="D108" i="11"/>
  <c r="D90" i="11" s="1"/>
  <c r="R14" i="4"/>
  <c r="R43" i="4"/>
  <c r="AT6" i="2"/>
  <c r="L25" i="2"/>
  <c r="K25" i="2"/>
  <c r="I16" i="19"/>
  <c r="H16" i="19"/>
  <c r="D8" i="23"/>
  <c r="E40" i="19"/>
  <c r="E48" i="19" s="1"/>
  <c r="E29" i="19"/>
  <c r="M15" i="23"/>
  <c r="R47" i="4"/>
  <c r="F9" i="23"/>
  <c r="AR84" i="2" l="1"/>
  <c r="U15" i="4"/>
  <c r="T15" i="4"/>
  <c r="S14" i="4"/>
  <c r="F10" i="31" s="1"/>
  <c r="F38" i="31" s="1"/>
  <c r="D44" i="7"/>
  <c r="AR92" i="2"/>
  <c r="AU6" i="2"/>
  <c r="J25" i="2"/>
  <c r="E16" i="19"/>
  <c r="E37" i="19"/>
  <c r="C44" i="7"/>
  <c r="E73" i="19"/>
  <c r="C23" i="8" s="1"/>
  <c r="E81" i="19"/>
  <c r="P22" i="23"/>
  <c r="AS84" i="2" s="1"/>
  <c r="E9" i="23"/>
  <c r="D9" i="23" s="1"/>
  <c r="F43" i="31" l="1"/>
  <c r="E112" i="11" s="1"/>
  <c r="U14" i="4"/>
  <c r="H10" i="31" s="1"/>
  <c r="T14" i="4"/>
  <c r="G10" i="31" s="1"/>
  <c r="V15" i="4"/>
  <c r="H25" i="2"/>
  <c r="AV6" i="2"/>
  <c r="I25" i="2"/>
  <c r="Q22" i="23"/>
  <c r="E111" i="11" l="1"/>
  <c r="E93" i="11" s="1"/>
  <c r="E110" i="11"/>
  <c r="E92" i="11" s="1"/>
  <c r="E108" i="11"/>
  <c r="E109" i="11"/>
  <c r="E91" i="11" s="1"/>
  <c r="H38" i="31"/>
  <c r="G38" i="31"/>
  <c r="E94" i="11"/>
  <c r="R22" i="23"/>
  <c r="AT84" i="2"/>
  <c r="V14" i="4"/>
  <c r="I10" i="31" s="1"/>
  <c r="W15" i="4"/>
  <c r="AT92" i="2"/>
  <c r="AW6" i="2"/>
  <c r="C18" i="8"/>
  <c r="C19" i="8" s="1"/>
  <c r="S22" i="23" l="1"/>
  <c r="G43" i="31"/>
  <c r="F111" i="11" s="1"/>
  <c r="H43" i="31"/>
  <c r="G112" i="11" s="1"/>
  <c r="I38" i="31"/>
  <c r="AV84" i="2"/>
  <c r="AU84" i="2"/>
  <c r="X15" i="4"/>
  <c r="W14" i="4"/>
  <c r="J10" i="31" s="1"/>
  <c r="AU92" i="2"/>
  <c r="T22" i="23"/>
  <c r="AY6" i="2"/>
  <c r="AX6" i="2"/>
  <c r="AC58" i="7"/>
  <c r="AC28" i="7"/>
  <c r="F109" i="11" l="1"/>
  <c r="F108" i="11"/>
  <c r="F112" i="11"/>
  <c r="F94" i="11" s="1"/>
  <c r="F110" i="11"/>
  <c r="F92" i="11" s="1"/>
  <c r="G110" i="11"/>
  <c r="G92" i="11" s="1"/>
  <c r="G111" i="11"/>
  <c r="G93" i="11" s="1"/>
  <c r="G108" i="11"/>
  <c r="I43" i="31"/>
  <c r="H110" i="11" s="1"/>
  <c r="G109" i="11"/>
  <c r="G91" i="11" s="1"/>
  <c r="G94" i="11"/>
  <c r="F91" i="11"/>
  <c r="J38" i="31"/>
  <c r="F93" i="11"/>
  <c r="AW84" i="2"/>
  <c r="X14" i="4"/>
  <c r="K10" i="31" s="1"/>
  <c r="Y15" i="4"/>
  <c r="AV92" i="2"/>
  <c r="U22" i="23"/>
  <c r="H108" i="11" l="1"/>
  <c r="H109" i="11"/>
  <c r="H91" i="11" s="1"/>
  <c r="H111" i="11"/>
  <c r="H93" i="11" s="1"/>
  <c r="H112" i="11"/>
  <c r="H94" i="11" s="1"/>
  <c r="J43" i="31"/>
  <c r="I111" i="11" s="1"/>
  <c r="H92" i="11"/>
  <c r="K38" i="31"/>
  <c r="AX84" i="2"/>
  <c r="Y14" i="4"/>
  <c r="L10" i="31" s="1"/>
  <c r="AW92" i="2"/>
  <c r="V22" i="23"/>
  <c r="I108" i="11" l="1"/>
  <c r="I109" i="11"/>
  <c r="I91" i="11" s="1"/>
  <c r="I112" i="11"/>
  <c r="I94" i="11" s="1"/>
  <c r="I110" i="11"/>
  <c r="I92" i="11" s="1"/>
  <c r="K43" i="31"/>
  <c r="J108" i="11" s="1"/>
  <c r="I93" i="11"/>
  <c r="L38" i="31"/>
  <c r="AY84" i="2"/>
  <c r="AX92" i="2"/>
  <c r="L43" i="31" l="1"/>
  <c r="K110" i="11" s="1"/>
  <c r="K92" i="11" s="1"/>
  <c r="J110" i="11"/>
  <c r="J92" i="11" s="1"/>
  <c r="J111" i="11"/>
  <c r="J93" i="11" s="1"/>
  <c r="J112" i="11"/>
  <c r="J94" i="11" s="1"/>
  <c r="J109" i="11"/>
  <c r="J91" i="11" s="1"/>
  <c r="AY92" i="2"/>
  <c r="K109" i="11" l="1"/>
  <c r="K91" i="11" s="1"/>
  <c r="K112" i="11"/>
  <c r="K94" i="11" s="1"/>
  <c r="K108" i="11"/>
  <c r="K111" i="11"/>
  <c r="K93" i="11" s="1"/>
  <c r="A31" i="41" l="1"/>
  <c r="J43" i="19" l="1"/>
  <c r="J44" i="19"/>
  <c r="J46" i="19"/>
  <c r="J41" i="19"/>
  <c r="J42" i="19"/>
  <c r="J45" i="19" l="1"/>
  <c r="J40" i="19" l="1"/>
  <c r="J48" i="19" s="1"/>
  <c r="J39" i="17" l="1"/>
  <c r="J16" i="19"/>
  <c r="L16" i="19" l="1"/>
  <c r="M16" i="19"/>
  <c r="M39" i="17" l="1"/>
  <c r="L39" i="17"/>
  <c r="M25" i="2"/>
  <c r="N39" i="17" l="1"/>
  <c r="I29" i="19"/>
  <c r="H30" i="19"/>
  <c r="H34" i="19"/>
  <c r="I33" i="19"/>
  <c r="H29" i="19"/>
  <c r="H33" i="19"/>
  <c r="I31" i="19"/>
  <c r="H32" i="19"/>
  <c r="I35" i="19"/>
  <c r="I30" i="19"/>
  <c r="H35" i="19"/>
  <c r="H31" i="19"/>
  <c r="I32" i="19"/>
  <c r="I34" i="19"/>
  <c r="G32" i="19"/>
  <c r="G34" i="19"/>
  <c r="F34" i="19"/>
  <c r="G35" i="19"/>
  <c r="G31" i="19"/>
  <c r="G30" i="19"/>
  <c r="F32" i="19"/>
  <c r="F29" i="19"/>
  <c r="F35" i="19"/>
  <c r="F30" i="19"/>
  <c r="F33" i="19"/>
  <c r="F31" i="19"/>
  <c r="G33" i="19"/>
  <c r="G29" i="19"/>
  <c r="F66" i="19"/>
  <c r="G63" i="19"/>
  <c r="G66" i="19"/>
  <c r="H63" i="19"/>
  <c r="F11" i="8" s="1"/>
  <c r="H66" i="19"/>
  <c r="I66" i="19"/>
  <c r="F67" i="19"/>
  <c r="D15" i="8" s="1"/>
  <c r="F63" i="19"/>
  <c r="G67" i="19"/>
  <c r="E15" i="8" s="1"/>
  <c r="I67" i="19"/>
  <c r="H37" i="19"/>
  <c r="G65" i="19"/>
  <c r="G68" i="19"/>
  <c r="F64" i="19"/>
  <c r="H67" i="19"/>
  <c r="I64" i="19"/>
  <c r="G12" i="8" s="1"/>
  <c r="H62" i="19"/>
  <c r="H65" i="19"/>
  <c r="H68" i="19"/>
  <c r="I63" i="19"/>
  <c r="G64" i="19"/>
  <c r="H64" i="19"/>
  <c r="F12" i="8" s="1"/>
  <c r="F37" i="19"/>
  <c r="G62" i="19"/>
  <c r="G37" i="19"/>
  <c r="F62" i="19"/>
  <c r="F73" i="19"/>
  <c r="D23" i="8" s="1"/>
  <c r="F65" i="19"/>
  <c r="D13" i="8" s="1"/>
  <c r="F68" i="19"/>
  <c r="I62" i="19"/>
  <c r="I65" i="19"/>
  <c r="I68" i="19"/>
  <c r="E12" i="8" l="1"/>
  <c r="G16" i="8"/>
  <c r="I74" i="19"/>
  <c r="G24" i="8" s="1"/>
  <c r="G11" i="8"/>
  <c r="D11" i="8"/>
  <c r="F16" i="8"/>
  <c r="G10" i="8"/>
  <c r="I70" i="19"/>
  <c r="H76" i="19"/>
  <c r="F26" i="8" s="1"/>
  <c r="F13" i="8"/>
  <c r="G14" i="8"/>
  <c r="H77" i="19"/>
  <c r="F27" i="8" s="1"/>
  <c r="F14" i="8"/>
  <c r="F79" i="19"/>
  <c r="D29" i="8" s="1"/>
  <c r="D16" i="8"/>
  <c r="H73" i="19"/>
  <c r="F23" i="8" s="1"/>
  <c r="F10" i="8"/>
  <c r="H70" i="19"/>
  <c r="G15" i="8"/>
  <c r="E14" i="8"/>
  <c r="G74" i="19"/>
  <c r="E24" i="8" s="1"/>
  <c r="E11" i="8"/>
  <c r="F15" i="8"/>
  <c r="D12" i="8"/>
  <c r="D14" i="8"/>
  <c r="G76" i="19"/>
  <c r="E26" i="8" s="1"/>
  <c r="E13" i="8"/>
  <c r="I76" i="19"/>
  <c r="G26" i="8" s="1"/>
  <c r="G13" i="8"/>
  <c r="D10" i="8"/>
  <c r="F70" i="19"/>
  <c r="E16" i="8"/>
  <c r="E10" i="8"/>
  <c r="G70" i="19"/>
  <c r="I78" i="19"/>
  <c r="G28" i="8" s="1"/>
  <c r="F23" i="30"/>
  <c r="H79" i="19"/>
  <c r="F29" i="8" s="1"/>
  <c r="F78" i="19"/>
  <c r="D28" i="8" s="1"/>
  <c r="I75" i="19"/>
  <c r="G25" i="8" s="1"/>
  <c r="F74" i="19"/>
  <c r="D24" i="8" s="1"/>
  <c r="I73" i="19"/>
  <c r="G23" i="8" s="1"/>
  <c r="I79" i="19"/>
  <c r="G29" i="8" s="1"/>
  <c r="G79" i="19"/>
  <c r="E29" i="8" s="1"/>
  <c r="G75" i="19"/>
  <c r="E25" i="8" s="1"/>
  <c r="I77" i="19"/>
  <c r="G27" i="8" s="1"/>
  <c r="G73" i="19"/>
  <c r="E23" i="8" s="1"/>
  <c r="F75" i="19"/>
  <c r="D25" i="8" s="1"/>
  <c r="H75" i="19"/>
  <c r="F25" i="8" s="1"/>
  <c r="F77" i="19"/>
  <c r="D27" i="8" s="1"/>
  <c r="F76" i="19"/>
  <c r="D26" i="8" s="1"/>
  <c r="G78" i="19"/>
  <c r="E28" i="8" s="1"/>
  <c r="H74" i="19"/>
  <c r="F24" i="8" s="1"/>
  <c r="H78" i="19"/>
  <c r="F28" i="8" s="1"/>
  <c r="G77" i="19"/>
  <c r="E27" i="8" s="1"/>
  <c r="I37" i="19"/>
  <c r="H81" i="19" l="1"/>
  <c r="F10" i="30"/>
  <c r="G18" i="8"/>
  <c r="G19" i="8" s="1"/>
  <c r="D18" i="8"/>
  <c r="D19" i="8" s="1"/>
  <c r="F18" i="8"/>
  <c r="F19" i="8" s="1"/>
  <c r="E18" i="8"/>
  <c r="E19" i="8" s="1"/>
  <c r="F27" i="19"/>
  <c r="H27" i="19"/>
  <c r="F81" i="19"/>
  <c r="I81" i="19"/>
  <c r="I27" i="19"/>
  <c r="G81" i="19"/>
  <c r="G27" i="19"/>
  <c r="F22" i="28" l="1"/>
  <c r="E22" i="28" l="1"/>
  <c r="M40" i="19" l="1"/>
  <c r="M41" i="19"/>
  <c r="M42" i="19"/>
  <c r="M45" i="19"/>
  <c r="M43" i="19"/>
  <c r="M44" i="19"/>
  <c r="M46" i="19"/>
  <c r="M48" i="19" l="1"/>
  <c r="E14" i="7" l="1"/>
  <c r="AR50" i="2" l="1"/>
  <c r="P20" i="23"/>
  <c r="AS50" i="2" l="1"/>
  <c r="AR33" i="2"/>
  <c r="Q20" i="23"/>
  <c r="AR58" i="2"/>
  <c r="AS33" i="2" l="1"/>
  <c r="AT50" i="2"/>
  <c r="AR41" i="2"/>
  <c r="R20" i="23"/>
  <c r="AT33" i="2" l="1"/>
  <c r="AU50" i="2"/>
  <c r="AR22" i="2"/>
  <c r="AT58" i="2"/>
  <c r="S20" i="23"/>
  <c r="AU33" i="2" l="1"/>
  <c r="AV50" i="2"/>
  <c r="AT41" i="2"/>
  <c r="AU58" i="2"/>
  <c r="T20" i="23"/>
  <c r="AW50" i="2" l="1"/>
  <c r="AV33" i="2"/>
  <c r="U20" i="23"/>
  <c r="AT22" i="2"/>
  <c r="AU41" i="2"/>
  <c r="AV58" i="2"/>
  <c r="F23" i="28"/>
  <c r="AX50" i="2" l="1"/>
  <c r="AW33" i="2"/>
  <c r="AU22" i="2"/>
  <c r="AV41" i="2"/>
  <c r="AW58" i="2"/>
  <c r="V20" i="23"/>
  <c r="AY50" i="2" l="1"/>
  <c r="AX33" i="2"/>
  <c r="AV22" i="2"/>
  <c r="AX58" i="2"/>
  <c r="AW41" i="2"/>
  <c r="AY33" i="2" l="1"/>
  <c r="AW22" i="2"/>
  <c r="AY58" i="2"/>
  <c r="AX41" i="2"/>
  <c r="AX22" i="2" l="1"/>
  <c r="AY41" i="2"/>
  <c r="AY22" i="2" l="1"/>
  <c r="N47" i="19" l="1"/>
  <c r="N15" i="19"/>
  <c r="N16" i="19" s="1"/>
  <c r="Q21" i="7" l="1"/>
  <c r="Q7" i="7"/>
  <c r="L42" i="19"/>
  <c r="Q22" i="7"/>
  <c r="Q8" i="7"/>
  <c r="L43" i="19"/>
  <c r="Q23" i="7"/>
  <c r="Q9" i="7"/>
  <c r="L44" i="19"/>
  <c r="Q25" i="7"/>
  <c r="Q11" i="7"/>
  <c r="L46" i="19"/>
  <c r="Q20" i="7"/>
  <c r="Q6" i="7"/>
  <c r="L41" i="19"/>
  <c r="Q24" i="7"/>
  <c r="Q10" i="7"/>
  <c r="L45" i="19"/>
  <c r="Q19" i="7"/>
  <c r="Q5" i="7"/>
  <c r="L59" i="19"/>
  <c r="L40" i="19"/>
  <c r="E8" i="28" l="1"/>
  <c r="E12" i="28"/>
  <c r="E7" i="28"/>
  <c r="E6" i="28"/>
  <c r="Q13" i="7"/>
  <c r="Q14" i="7" s="1"/>
  <c r="Q27" i="7"/>
  <c r="L48" i="19"/>
  <c r="Q28" i="7" l="1"/>
  <c r="D14" i="7"/>
  <c r="O25" i="2" l="1"/>
  <c r="AR108" i="2"/>
  <c r="AR74" i="2"/>
  <c r="D29" i="7"/>
  <c r="E11" i="28" l="1"/>
  <c r="E16" i="28" s="1"/>
  <c r="E17" i="28"/>
  <c r="AR91" i="2"/>
  <c r="AD28" i="7"/>
  <c r="AR57" i="2"/>
  <c r="AD58" i="7"/>
  <c r="D28" i="7"/>
  <c r="E20" i="28" l="1"/>
  <c r="E23" i="28" s="1"/>
  <c r="D57" i="7"/>
  <c r="D58" i="7" s="1"/>
  <c r="AR40" i="2"/>
  <c r="E19" i="28" l="1"/>
  <c r="AR21" i="2"/>
  <c r="AU68" i="2" l="1"/>
  <c r="AU102" i="2"/>
  <c r="AU85" i="2" l="1"/>
  <c r="AU51" i="2"/>
  <c r="AV102" i="2"/>
  <c r="AV68" i="2"/>
  <c r="AW102" i="2"/>
  <c r="AW68" i="2"/>
  <c r="AX102" i="2"/>
  <c r="AX68" i="2"/>
  <c r="AY68" i="2"/>
  <c r="AY102" i="2"/>
  <c r="AU34" i="2" l="1"/>
  <c r="AV85" i="2"/>
  <c r="AX85" i="2"/>
  <c r="AY85" i="2"/>
  <c r="AW85" i="2"/>
  <c r="AV51" i="2"/>
  <c r="AY51" i="2"/>
  <c r="AX51" i="2"/>
  <c r="AW51" i="2"/>
  <c r="AX34" i="2" l="1"/>
  <c r="AV34" i="2"/>
  <c r="AW34" i="2"/>
  <c r="AY34" i="2"/>
  <c r="AR49" i="2" l="1"/>
  <c r="AR66" i="2"/>
  <c r="AR100" i="2"/>
  <c r="AR83" i="2" l="1"/>
  <c r="AR59" i="2" l="1"/>
  <c r="AR76" i="2"/>
  <c r="F19" i="30"/>
  <c r="AR93" i="2" l="1"/>
  <c r="AR106" i="2" l="1"/>
  <c r="AR72" i="2"/>
  <c r="AR104" i="2"/>
  <c r="AR70" i="2"/>
  <c r="AR87" i="2"/>
  <c r="AR107" i="2"/>
  <c r="AR90" i="2"/>
  <c r="AR73" i="2"/>
  <c r="AR68" i="2"/>
  <c r="AR102" i="2"/>
  <c r="AR103" i="2"/>
  <c r="AR69" i="2"/>
  <c r="AR105" i="2"/>
  <c r="AR71" i="2"/>
  <c r="AR86" i="2" l="1"/>
  <c r="AR85" i="2"/>
  <c r="AR89" i="2"/>
  <c r="AR88" i="2"/>
  <c r="AR51" i="2"/>
  <c r="AR55" i="2"/>
  <c r="AR52" i="2"/>
  <c r="AR53" i="2"/>
  <c r="AR56" i="2"/>
  <c r="AR54" i="2"/>
  <c r="S27" i="7" l="1"/>
  <c r="G22" i="28" l="1"/>
  <c r="G20" i="28"/>
  <c r="F24" i="30"/>
  <c r="F44" i="7" l="1"/>
  <c r="U18" i="28"/>
  <c r="G8" i="28"/>
  <c r="G7" i="28"/>
  <c r="G12" i="28"/>
  <c r="G6" i="28"/>
  <c r="G11" i="28"/>
  <c r="G23" i="28"/>
  <c r="AF44" i="7"/>
  <c r="G16" i="28" l="1"/>
  <c r="N42" i="19" l="1"/>
  <c r="N40" i="19"/>
  <c r="N44" i="19"/>
  <c r="N43" i="19"/>
  <c r="N59" i="19"/>
  <c r="N48" i="19" l="1"/>
  <c r="AR34" i="2" l="1"/>
  <c r="AR15" i="2" l="1"/>
  <c r="Q10" i="4" l="1"/>
  <c r="Q35" i="4"/>
  <c r="Q37" i="4" s="1"/>
  <c r="Q11" i="4"/>
  <c r="Q12" i="4"/>
  <c r="E7" i="46" l="1"/>
  <c r="E10" i="46"/>
  <c r="I52" i="1"/>
  <c r="Q9" i="4"/>
  <c r="E24" i="46" l="1"/>
  <c r="Q22" i="4"/>
  <c r="R10" i="4" l="1"/>
  <c r="R35" i="4"/>
  <c r="R12" i="4"/>
  <c r="R9" i="4"/>
  <c r="R11" i="4"/>
  <c r="R37" i="4"/>
  <c r="F7" i="46" l="1"/>
  <c r="V16" i="4"/>
  <c r="I6" i="31" s="1"/>
  <c r="I34" i="31" s="1"/>
  <c r="Y40" i="4"/>
  <c r="Y51" i="4"/>
  <c r="X16" i="4"/>
  <c r="K6" i="31" s="1"/>
  <c r="F10" i="46"/>
  <c r="F24" i="46" s="1"/>
  <c r="V35" i="4"/>
  <c r="V36" i="4" s="1"/>
  <c r="I16" i="31" s="1"/>
  <c r="I44" i="31" s="1"/>
  <c r="Y35" i="4"/>
  <c r="W35" i="4"/>
  <c r="W36" i="4" s="1"/>
  <c r="J16" i="31" s="1"/>
  <c r="J44" i="31" s="1"/>
  <c r="X35" i="4"/>
  <c r="U35" i="4"/>
  <c r="U36" i="4" s="1"/>
  <c r="H16" i="31" s="1"/>
  <c r="H44" i="31" s="1"/>
  <c r="S35" i="4"/>
  <c r="S36" i="4" s="1"/>
  <c r="F16" i="31" s="1"/>
  <c r="F44" i="31" s="1"/>
  <c r="T35" i="4"/>
  <c r="R22" i="4"/>
  <c r="AR64" i="2"/>
  <c r="AR10" i="2"/>
  <c r="AR81" i="2"/>
  <c r="AR98" i="2"/>
  <c r="U17" i="4" l="1"/>
  <c r="T51" i="4"/>
  <c r="U40" i="4"/>
  <c r="V13" i="4"/>
  <c r="I5" i="31" s="1"/>
  <c r="I33" i="31" s="1"/>
  <c r="W13" i="4"/>
  <c r="J5" i="31" s="1"/>
  <c r="J33" i="31" s="1"/>
  <c r="V40" i="4"/>
  <c r="X13" i="4"/>
  <c r="K5" i="31" s="1"/>
  <c r="W40" i="4"/>
  <c r="S16" i="4"/>
  <c r="F6" i="31" s="1"/>
  <c r="F34" i="31" s="1"/>
  <c r="T16" i="4"/>
  <c r="G6" i="31" s="1"/>
  <c r="G34" i="31" s="1"/>
  <c r="I10" i="46"/>
  <c r="I7" i="46" s="1"/>
  <c r="V9" i="4"/>
  <c r="Y17" i="4"/>
  <c r="X51" i="4"/>
  <c r="L10" i="46"/>
  <c r="L7" i="46" s="1"/>
  <c r="Y9" i="4"/>
  <c r="W16" i="4"/>
  <c r="J6" i="31" s="1"/>
  <c r="J34" i="31" s="1"/>
  <c r="X36" i="4"/>
  <c r="K16" i="31" s="1"/>
  <c r="U13" i="4"/>
  <c r="H5" i="31" s="1"/>
  <c r="H33" i="31" s="1"/>
  <c r="T40" i="4"/>
  <c r="W17" i="4"/>
  <c r="V51" i="4"/>
  <c r="K10" i="46"/>
  <c r="K7" i="46" s="1"/>
  <c r="X9" i="4"/>
  <c r="S51" i="4"/>
  <c r="S47" i="4" s="1"/>
  <c r="S17" i="4"/>
  <c r="T17" i="4"/>
  <c r="X17" i="4"/>
  <c r="W51" i="4"/>
  <c r="M10" i="46"/>
  <c r="M7" i="46" s="1"/>
  <c r="X40" i="4"/>
  <c r="Y13" i="4"/>
  <c r="L5" i="31" s="1"/>
  <c r="V17" i="4"/>
  <c r="U51" i="4"/>
  <c r="H10" i="46"/>
  <c r="H7" i="46" s="1"/>
  <c r="U9" i="4"/>
  <c r="T36" i="4"/>
  <c r="G16" i="31" s="1"/>
  <c r="G44" i="31" s="1"/>
  <c r="U16" i="4"/>
  <c r="H6" i="31" s="1"/>
  <c r="H34" i="31" s="1"/>
  <c r="T47" i="4"/>
  <c r="Y36" i="4"/>
  <c r="L16" i="31" s="1"/>
  <c r="J10" i="46"/>
  <c r="J7" i="46" s="1"/>
  <c r="W9" i="4"/>
  <c r="Y16" i="4"/>
  <c r="L6" i="31" s="1"/>
  <c r="G10" i="46"/>
  <c r="G7" i="46" s="1"/>
  <c r="T9" i="4"/>
  <c r="S9" i="4"/>
  <c r="AR47" i="2"/>
  <c r="AR30" i="2"/>
  <c r="AR97" i="2"/>
  <c r="AR80" i="2"/>
  <c r="AR63" i="2"/>
  <c r="L12" i="46" l="1"/>
  <c r="L13" i="46"/>
  <c r="I13" i="46"/>
  <c r="I12" i="46"/>
  <c r="K12" i="46"/>
  <c r="K13" i="46"/>
  <c r="G13" i="46"/>
  <c r="G12" i="46"/>
  <c r="H13" i="46"/>
  <c r="H12" i="46"/>
  <c r="J12" i="46"/>
  <c r="J13" i="46"/>
  <c r="M12" i="46"/>
  <c r="M13" i="46"/>
  <c r="L34" i="31"/>
  <c r="K34" i="31"/>
  <c r="T10" i="4"/>
  <c r="V10" i="4"/>
  <c r="S10" i="4"/>
  <c r="W10" i="4"/>
  <c r="X10" i="4"/>
  <c r="K44" i="31"/>
  <c r="U10" i="4"/>
  <c r="Y10" i="4"/>
  <c r="AR46" i="2"/>
  <c r="AR29" i="2"/>
  <c r="AR9" i="2"/>
  <c r="AY15" i="2" l="1"/>
  <c r="L44" i="31"/>
  <c r="AW15" i="2"/>
  <c r="AU15" i="2"/>
  <c r="AV15" i="2"/>
  <c r="AX15" i="2"/>
  <c r="AS98" i="2" l="1"/>
  <c r="AS64" i="2"/>
  <c r="AS81" i="2"/>
  <c r="AS30" i="2" l="1"/>
  <c r="AS47" i="2"/>
  <c r="AT81" i="2" l="1"/>
  <c r="AT98" i="2"/>
  <c r="AT64" i="2"/>
  <c r="AS10" i="2"/>
  <c r="AU64" i="2" l="1"/>
  <c r="AU81" i="2"/>
  <c r="AU98" i="2"/>
  <c r="AT47" i="2"/>
  <c r="AT10" i="2" l="1"/>
  <c r="AT30" i="2"/>
  <c r="AV98" i="2"/>
  <c r="AV81" i="2"/>
  <c r="AV64" i="2"/>
  <c r="AU47" i="2"/>
  <c r="AU10" i="2" l="1"/>
  <c r="AU30" i="2"/>
  <c r="AV47" i="2"/>
  <c r="AW81" i="2"/>
  <c r="AW98" i="2"/>
  <c r="AW64" i="2"/>
  <c r="AW47" i="2" l="1"/>
  <c r="AV10" i="2"/>
  <c r="AV30" i="2"/>
  <c r="AX64" i="2"/>
  <c r="AX81" i="2"/>
  <c r="AX98" i="2"/>
  <c r="AY98" i="2"/>
  <c r="AY81" i="2"/>
  <c r="AY64" i="2"/>
  <c r="AY47" i="2" l="1"/>
  <c r="AX47" i="2"/>
  <c r="AW10" i="2"/>
  <c r="AW30" i="2"/>
  <c r="AX30" i="2" l="1"/>
  <c r="AX10" i="2"/>
  <c r="AY10" i="2"/>
  <c r="AY30" i="2"/>
  <c r="P25" i="2" l="1"/>
  <c r="E29" i="7"/>
  <c r="AE28" i="7" l="1"/>
  <c r="AE58" i="7"/>
  <c r="E28" i="7"/>
  <c r="F17" i="28" l="1"/>
  <c r="E57" i="7"/>
  <c r="E58" i="7" s="1"/>
  <c r="F19" i="28" l="1"/>
  <c r="AT102" i="2" l="1"/>
  <c r="AT85" i="2"/>
  <c r="AS91" i="2"/>
  <c r="AV91" i="2"/>
  <c r="AT91" i="2"/>
  <c r="AT108" i="2"/>
  <c r="AT74" i="2"/>
  <c r="AU108" i="2"/>
  <c r="AX74" i="2"/>
  <c r="AW91" i="2"/>
  <c r="AS108" i="2"/>
  <c r="AS74" i="2"/>
  <c r="AS102" i="2"/>
  <c r="AS68" i="2"/>
  <c r="AS85" i="2"/>
  <c r="AV74" i="2" l="1"/>
  <c r="AV57" i="2"/>
  <c r="AY108" i="2"/>
  <c r="AW57" i="2"/>
  <c r="AW74" i="2"/>
  <c r="AX57" i="2"/>
  <c r="AT68" i="2"/>
  <c r="AT57" i="2"/>
  <c r="AS57" i="2"/>
  <c r="AS51" i="2"/>
  <c r="AV108" i="2"/>
  <c r="AY91" i="2"/>
  <c r="AU74" i="2"/>
  <c r="AY74" i="2"/>
  <c r="AX108" i="2"/>
  <c r="AU91" i="2"/>
  <c r="AX91" i="2"/>
  <c r="AW108" i="2"/>
  <c r="AS40" i="2" l="1"/>
  <c r="AS34" i="2"/>
  <c r="AY57" i="2"/>
  <c r="AT40" i="2"/>
  <c r="AT51" i="2"/>
  <c r="AU57" i="2"/>
  <c r="AW40" i="2" l="1"/>
  <c r="AU40" i="2"/>
  <c r="AT21" i="2"/>
  <c r="AS21" i="2"/>
  <c r="AX40" i="2"/>
  <c r="AV40" i="2"/>
  <c r="AY40" i="2"/>
  <c r="AT34" i="2"/>
  <c r="AW21" i="2" l="1"/>
  <c r="AU21" i="2"/>
  <c r="AX21" i="2"/>
  <c r="AV21" i="2"/>
  <c r="AY21" i="2"/>
  <c r="AY66" i="2" l="1"/>
  <c r="AY100" i="2"/>
  <c r="AY83" i="2"/>
  <c r="AV83" i="2" l="1"/>
  <c r="AV100" i="2"/>
  <c r="AV66" i="2"/>
  <c r="AU83" i="2"/>
  <c r="AU66" i="2"/>
  <c r="AU100" i="2"/>
  <c r="AT100" i="2"/>
  <c r="AT66" i="2"/>
  <c r="AT83" i="2"/>
  <c r="AS100" i="2"/>
  <c r="AS66" i="2"/>
  <c r="AS83" i="2"/>
  <c r="AW83" i="2"/>
  <c r="AW66" i="2"/>
  <c r="AW100" i="2"/>
  <c r="AR32" i="2"/>
  <c r="AX100" i="2"/>
  <c r="AX66" i="2"/>
  <c r="AX83" i="2"/>
  <c r="AY49" i="2"/>
  <c r="AW49" i="2" l="1"/>
  <c r="AU49" i="2"/>
  <c r="AS49" i="2"/>
  <c r="AY32" i="2"/>
  <c r="AX49" i="2"/>
  <c r="AV49" i="2"/>
  <c r="AT49" i="2"/>
  <c r="AT32" i="2" l="1"/>
  <c r="AY12" i="2"/>
  <c r="AV32" i="2"/>
  <c r="AS32" i="2"/>
  <c r="AX32" i="2"/>
  <c r="AU32" i="2"/>
  <c r="AW32" i="2"/>
  <c r="AY13" i="2" l="1"/>
  <c r="AS12" i="2"/>
  <c r="AW12" i="2"/>
  <c r="AV12" i="2"/>
  <c r="AU12" i="2"/>
  <c r="AT12" i="2"/>
  <c r="AX12" i="2"/>
  <c r="AX13" i="2" l="1"/>
  <c r="AV13" i="2"/>
  <c r="AU13" i="2"/>
  <c r="AW13" i="2"/>
  <c r="AS13" i="2" l="1"/>
  <c r="AT13" i="2"/>
  <c r="G59" i="7" l="1"/>
  <c r="AR12" i="2" l="1"/>
  <c r="Q25" i="2" l="1"/>
  <c r="AR62" i="2" l="1"/>
  <c r="AR79" i="2"/>
  <c r="AR96" i="2"/>
  <c r="F29" i="7"/>
  <c r="AR28" i="2" l="1"/>
  <c r="AR45" i="2"/>
  <c r="AF28" i="7" l="1"/>
  <c r="AF58" i="7"/>
  <c r="F28" i="7"/>
  <c r="G17" i="28" l="1"/>
  <c r="F57" i="7"/>
  <c r="F58" i="7" s="1"/>
  <c r="G19" i="28" l="1"/>
  <c r="Q53" i="1" l="1"/>
  <c r="Q54" i="1" s="1"/>
  <c r="N53" i="1"/>
  <c r="N54" i="1" s="1"/>
  <c r="K53" i="1"/>
  <c r="K54" i="1" s="1"/>
  <c r="I54" i="1"/>
  <c r="L53" i="1"/>
  <c r="L54" i="1" s="1"/>
  <c r="J53" i="1"/>
  <c r="J54" i="1" s="1"/>
  <c r="P53" i="1"/>
  <c r="P54" i="1" s="1"/>
  <c r="O53" i="1"/>
  <c r="O54" i="1" s="1"/>
  <c r="M53" i="1"/>
  <c r="M54" i="1" s="1"/>
  <c r="U47" i="4" l="1"/>
  <c r="V47" i="4"/>
  <c r="W47" i="4"/>
  <c r="X47" i="4"/>
  <c r="Y47" i="4"/>
  <c r="S13" i="4"/>
  <c r="F5" i="31" s="1"/>
  <c r="F33" i="31" s="1"/>
  <c r="S40" i="4"/>
  <c r="T13" i="4"/>
  <c r="G5" i="31" s="1"/>
  <c r="G33" i="31" s="1"/>
  <c r="F11" i="31" l="1"/>
  <c r="F8" i="31"/>
  <c r="AS15" i="2"/>
  <c r="AT15" i="2"/>
  <c r="K33" i="31"/>
  <c r="L33" i="31"/>
  <c r="F15" i="31" l="1"/>
  <c r="E90" i="11"/>
  <c r="G11" i="31"/>
  <c r="G8" i="31"/>
  <c r="H11" i="31" l="1"/>
  <c r="H8" i="31"/>
  <c r="G15" i="31"/>
  <c r="F90" i="11"/>
  <c r="H15" i="31" l="1"/>
  <c r="G90" i="11"/>
  <c r="I8" i="31"/>
  <c r="I11" i="31"/>
  <c r="J8" i="31" l="1"/>
  <c r="J11" i="31"/>
  <c r="I15" i="31"/>
  <c r="H90" i="11"/>
  <c r="J15" i="31" l="1"/>
  <c r="I90" i="11"/>
  <c r="K8" i="31"/>
  <c r="K11" i="31"/>
  <c r="K15" i="31" l="1"/>
  <c r="J90" i="11"/>
  <c r="L11" i="31"/>
  <c r="L8" i="31"/>
  <c r="L15" i="31" l="1"/>
  <c r="K90" i="11"/>
  <c r="I40" i="28" l="1"/>
  <c r="E10" i="28" l="1"/>
  <c r="E24" i="28" s="1"/>
  <c r="G10" i="28"/>
  <c r="G24" i="28" s="1"/>
  <c r="F10" i="28"/>
  <c r="F24" i="28" s="1"/>
  <c r="U9" i="28"/>
  <c r="P9" i="28" s="1"/>
  <c r="N7" i="31" l="1"/>
  <c r="I7" i="31" s="1"/>
  <c r="H7" i="31"/>
  <c r="O9" i="30"/>
  <c r="P18" i="28"/>
  <c r="N17" i="31" l="1"/>
  <c r="E7" i="31"/>
  <c r="E35" i="31" s="1"/>
  <c r="J7" i="31"/>
  <c r="J35" i="31" s="1"/>
  <c r="L7" i="31"/>
  <c r="L35" i="31" s="1"/>
  <c r="K7" i="31"/>
  <c r="K35" i="31" s="1"/>
  <c r="F7" i="31"/>
  <c r="F35" i="31" s="1"/>
  <c r="G7" i="31"/>
  <c r="G35" i="31" s="1"/>
  <c r="O18" i="30"/>
  <c r="J17" i="31"/>
  <c r="I17" i="31"/>
  <c r="E17" i="31"/>
  <c r="L17" i="31"/>
  <c r="K17" i="31"/>
  <c r="H17" i="31"/>
  <c r="G17" i="31"/>
  <c r="F17" i="31"/>
  <c r="H35" i="31"/>
  <c r="H9" i="31"/>
  <c r="I35" i="31"/>
  <c r="I9" i="31"/>
  <c r="G9" i="31"/>
  <c r="L9" i="31" l="1"/>
  <c r="J9" i="31"/>
  <c r="E9" i="31"/>
  <c r="K9" i="31"/>
  <c r="F9" i="31"/>
  <c r="J45" i="31"/>
  <c r="J46" i="31" s="1"/>
  <c r="J18" i="31"/>
  <c r="K37" i="31"/>
  <c r="K45" i="31"/>
  <c r="K46" i="31" s="1"/>
  <c r="K18" i="31"/>
  <c r="I45" i="31"/>
  <c r="I46" i="31" s="1"/>
  <c r="I18" i="31"/>
  <c r="E37" i="31"/>
  <c r="G45" i="31"/>
  <c r="G46" i="31" s="1"/>
  <c r="G18" i="31"/>
  <c r="E18" i="31"/>
  <c r="E23" i="31" s="1"/>
  <c r="E45" i="31"/>
  <c r="E46" i="31" s="1"/>
  <c r="H45" i="31"/>
  <c r="H46" i="31" s="1"/>
  <c r="H18" i="31"/>
  <c r="I37" i="31"/>
  <c r="F45" i="31"/>
  <c r="F46" i="31" s="1"/>
  <c r="F18" i="31"/>
  <c r="L45" i="31"/>
  <c r="L46" i="31" s="1"/>
  <c r="L18" i="31"/>
  <c r="H37" i="31"/>
  <c r="L37" i="31"/>
  <c r="J37" i="31"/>
  <c r="G37" i="31"/>
  <c r="F37" i="31"/>
  <c r="D106" i="11" l="1"/>
  <c r="D88" i="11" s="1"/>
  <c r="D105" i="11"/>
  <c r="D87" i="11" s="1"/>
  <c r="D107" i="11"/>
  <c r="D89" i="11" s="1"/>
  <c r="D114" i="11"/>
  <c r="D96" i="11" s="1"/>
  <c r="D115" i="11"/>
  <c r="D97" i="11" s="1"/>
  <c r="D113" i="11"/>
  <c r="D95" i="11" s="1"/>
  <c r="E113" i="11"/>
  <c r="E115" i="11"/>
  <c r="E114" i="11"/>
  <c r="H113" i="11"/>
  <c r="H114" i="11"/>
  <c r="H115" i="11"/>
  <c r="I106" i="11"/>
  <c r="I107" i="11"/>
  <c r="I105" i="11"/>
  <c r="H105" i="11"/>
  <c r="H107" i="11"/>
  <c r="H106" i="11"/>
  <c r="J114" i="11"/>
  <c r="J115" i="11"/>
  <c r="J113" i="11"/>
  <c r="K105" i="11"/>
  <c r="K106" i="11"/>
  <c r="K88" i="11" s="1"/>
  <c r="K107" i="11"/>
  <c r="K89" i="11" s="1"/>
  <c r="G115" i="11"/>
  <c r="G113" i="11"/>
  <c r="G114" i="11"/>
  <c r="J106" i="11"/>
  <c r="J107" i="11"/>
  <c r="J105" i="11"/>
  <c r="G105" i="11"/>
  <c r="G107" i="11"/>
  <c r="G106" i="11"/>
  <c r="E105" i="11"/>
  <c r="E106" i="11"/>
  <c r="E107" i="11"/>
  <c r="I114" i="11"/>
  <c r="I115" i="11"/>
  <c r="I113" i="11"/>
  <c r="F114" i="11"/>
  <c r="F115" i="11"/>
  <c r="F113" i="11"/>
  <c r="K113" i="11"/>
  <c r="K95" i="11" s="1"/>
  <c r="K114" i="11"/>
  <c r="K96" i="11" s="1"/>
  <c r="K115" i="11"/>
  <c r="K97" i="11" s="1"/>
  <c r="F107" i="11"/>
  <c r="F106" i="11"/>
  <c r="F105" i="11"/>
  <c r="E51" i="31"/>
  <c r="E52" i="31" l="1"/>
  <c r="G88" i="11"/>
  <c r="G97" i="11"/>
  <c r="I89" i="11"/>
  <c r="G89" i="11"/>
  <c r="I88" i="11"/>
  <c r="H97" i="11"/>
  <c r="F95" i="11"/>
  <c r="H96" i="11"/>
  <c r="F97" i="11"/>
  <c r="H95" i="11"/>
  <c r="F96" i="11"/>
  <c r="J95" i="11"/>
  <c r="E96" i="11"/>
  <c r="I95" i="11"/>
  <c r="J97" i="11"/>
  <c r="E97" i="11"/>
  <c r="F88" i="11"/>
  <c r="I97" i="11"/>
  <c r="J96" i="11"/>
  <c r="E95" i="11"/>
  <c r="F89" i="11"/>
  <c r="I96" i="11"/>
  <c r="J89" i="11"/>
  <c r="H88" i="11"/>
  <c r="E89" i="11"/>
  <c r="J88" i="11"/>
  <c r="H89" i="11"/>
  <c r="E88" i="11"/>
  <c r="G96" i="11"/>
  <c r="G95" i="11"/>
  <c r="D119" i="11"/>
  <c r="D120" i="11" s="1"/>
  <c r="H87" i="11"/>
  <c r="E87" i="11"/>
  <c r="I87" i="11"/>
  <c r="G87" i="11"/>
  <c r="K87" i="11"/>
  <c r="F87" i="11"/>
  <c r="J87" i="11"/>
  <c r="D101" i="11" l="1"/>
  <c r="D102" i="11" s="1"/>
  <c r="I39" i="30" l="1"/>
  <c r="P11" i="23" l="1"/>
  <c r="P4" i="51" l="1"/>
  <c r="H4" i="51"/>
  <c r="G15" i="7"/>
  <c r="M8" i="23"/>
  <c r="N8" i="23" s="1"/>
  <c r="O8" i="23" s="1"/>
  <c r="P8" i="23" s="1"/>
  <c r="M9" i="23"/>
  <c r="N9" i="23" s="1"/>
  <c r="O9" i="23" s="1"/>
  <c r="P9" i="23" s="1"/>
  <c r="M7" i="23"/>
  <c r="N7" i="23" s="1"/>
  <c r="O7" i="23" s="1"/>
  <c r="P7" i="23" s="1"/>
  <c r="M10" i="23"/>
  <c r="L10" i="23" s="1"/>
  <c r="K10" i="23" s="1"/>
  <c r="J10" i="23" s="1"/>
  <c r="I10" i="23" s="1"/>
  <c r="O10" i="23"/>
  <c r="P10" i="23" s="1"/>
  <c r="N11" i="23"/>
  <c r="AG15" i="7"/>
  <c r="M11" i="23" l="1"/>
  <c r="U7" i="2"/>
  <c r="AS92" i="2"/>
  <c r="AS75" i="2"/>
  <c r="AS109" i="2"/>
  <c r="J16" i="49" l="1"/>
  <c r="H27" i="51"/>
  <c r="AS58" i="2"/>
  <c r="L11" i="23"/>
  <c r="T7" i="2"/>
  <c r="AS41" i="2" l="1"/>
  <c r="S7" i="2"/>
  <c r="K11" i="23"/>
  <c r="AS82" i="2" l="1"/>
  <c r="AS65" i="2"/>
  <c r="AS99" i="2"/>
  <c r="AR65" i="2"/>
  <c r="AR82" i="2"/>
  <c r="AR99" i="2"/>
  <c r="AR11" i="2"/>
  <c r="AR14" i="2" s="1"/>
  <c r="R7" i="2"/>
  <c r="J11" i="23"/>
  <c r="I11" i="23" s="1"/>
  <c r="AS22" i="2"/>
  <c r="O56" i="19"/>
  <c r="AT82" i="2" l="1"/>
  <c r="AT99" i="2"/>
  <c r="AT65" i="2"/>
  <c r="AR38" i="2"/>
  <c r="AR8" i="2"/>
  <c r="AW82" i="2"/>
  <c r="AW99" i="2"/>
  <c r="AW65" i="2"/>
  <c r="AR37" i="2"/>
  <c r="AV65" i="2"/>
  <c r="AV99" i="2"/>
  <c r="AV82" i="2"/>
  <c r="AR39" i="2"/>
  <c r="AY82" i="2"/>
  <c r="AY65" i="2"/>
  <c r="AY99" i="2"/>
  <c r="AR31" i="2"/>
  <c r="AR48" i="2"/>
  <c r="AX99" i="2"/>
  <c r="AX65" i="2"/>
  <c r="AX82" i="2"/>
  <c r="AS48" i="2"/>
  <c r="AR35" i="2"/>
  <c r="AR36" i="2"/>
  <c r="AU82" i="2"/>
  <c r="AU99" i="2"/>
  <c r="AU65" i="2"/>
  <c r="AW71" i="2" l="1"/>
  <c r="AW105" i="2"/>
  <c r="AW88" i="2"/>
  <c r="AR19" i="2"/>
  <c r="AV89" i="2"/>
  <c r="AV106" i="2"/>
  <c r="AV72" i="2"/>
  <c r="AV90" i="2"/>
  <c r="AV107" i="2"/>
  <c r="AV73" i="2"/>
  <c r="AX106" i="2"/>
  <c r="AX89" i="2"/>
  <c r="AX72" i="2"/>
  <c r="AR17" i="2"/>
  <c r="AS86" i="2"/>
  <c r="AS69" i="2"/>
  <c r="AS103" i="2"/>
  <c r="AR20" i="2"/>
  <c r="AY89" i="2"/>
  <c r="AY72" i="2"/>
  <c r="AY106" i="2"/>
  <c r="AU88" i="2"/>
  <c r="AU105" i="2"/>
  <c r="AU71" i="2"/>
  <c r="AW48" i="2"/>
  <c r="AU72" i="2"/>
  <c r="AU89" i="2"/>
  <c r="AU106" i="2"/>
  <c r="AW87" i="2"/>
  <c r="L24" i="51"/>
  <c r="AW104" i="2"/>
  <c r="AW70" i="2"/>
  <c r="AX90" i="2"/>
  <c r="AX107" i="2"/>
  <c r="AX73" i="2"/>
  <c r="AT48" i="2"/>
  <c r="AR18" i="2"/>
  <c r="AY69" i="2"/>
  <c r="AY103" i="2"/>
  <c r="AY86" i="2"/>
  <c r="AR16" i="2"/>
  <c r="AX71" i="2"/>
  <c r="AX105" i="2"/>
  <c r="AX88" i="2"/>
  <c r="H24" i="51"/>
  <c r="AS104" i="2"/>
  <c r="AS70" i="2"/>
  <c r="AS87" i="2"/>
  <c r="AX86" i="2"/>
  <c r="AX69" i="2"/>
  <c r="AX103" i="2"/>
  <c r="AW73" i="2"/>
  <c r="AW107" i="2"/>
  <c r="AW90" i="2"/>
  <c r="AU73" i="2"/>
  <c r="AU90" i="2"/>
  <c r="AU107" i="2"/>
  <c r="AV88" i="2"/>
  <c r="AV105" i="2"/>
  <c r="AV71" i="2"/>
  <c r="AV48" i="2"/>
  <c r="AT72" i="2"/>
  <c r="AT89" i="2"/>
  <c r="AT106" i="2"/>
  <c r="AT104" i="2"/>
  <c r="AT87" i="2"/>
  <c r="I24" i="51"/>
  <c r="AT70" i="2"/>
  <c r="AX48" i="2"/>
  <c r="AV87" i="2"/>
  <c r="AV70" i="2"/>
  <c r="K24" i="51"/>
  <c r="AV104" i="2"/>
  <c r="AU70" i="2"/>
  <c r="AU87" i="2"/>
  <c r="AU104" i="2"/>
  <c r="J24" i="51"/>
  <c r="AT90" i="2"/>
  <c r="AT73" i="2"/>
  <c r="AT107" i="2"/>
  <c r="AS88" i="2"/>
  <c r="AS105" i="2"/>
  <c r="AS71" i="2"/>
  <c r="AU86" i="2"/>
  <c r="AU69" i="2"/>
  <c r="AU103" i="2"/>
  <c r="AU48" i="2"/>
  <c r="N24" i="51"/>
  <c r="AY87" i="2"/>
  <c r="AY104" i="2"/>
  <c r="AY70" i="2"/>
  <c r="AV86" i="2"/>
  <c r="AV69" i="2"/>
  <c r="AV103" i="2"/>
  <c r="AY48" i="2"/>
  <c r="AY90" i="2"/>
  <c r="AY73" i="2"/>
  <c r="AY107" i="2"/>
  <c r="AY88" i="2"/>
  <c r="AY71" i="2"/>
  <c r="AY105" i="2"/>
  <c r="AS106" i="2"/>
  <c r="AS72" i="2"/>
  <c r="AS89" i="2"/>
  <c r="AS107" i="2"/>
  <c r="AS73" i="2"/>
  <c r="AS90" i="2"/>
  <c r="AT88" i="2"/>
  <c r="AT105" i="2"/>
  <c r="AT71" i="2"/>
  <c r="AW86" i="2"/>
  <c r="AW69" i="2"/>
  <c r="AW103" i="2"/>
  <c r="AT86" i="2"/>
  <c r="AT103" i="2"/>
  <c r="AT69" i="2"/>
  <c r="AX104" i="2"/>
  <c r="AX87" i="2"/>
  <c r="AX70" i="2"/>
  <c r="M24" i="51"/>
  <c r="AS31" i="2"/>
  <c r="AW106" i="2"/>
  <c r="AW89" i="2"/>
  <c r="AW72" i="2"/>
  <c r="L26" i="51" l="1"/>
  <c r="N26" i="51"/>
  <c r="M26" i="51"/>
  <c r="H26" i="51"/>
  <c r="J26" i="51"/>
  <c r="I26" i="51"/>
  <c r="K26" i="51"/>
  <c r="S13" i="7"/>
  <c r="AW55" i="2"/>
  <c r="AT54" i="2"/>
  <c r="P10" i="49"/>
  <c r="P12" i="49" s="1"/>
  <c r="AU53" i="2"/>
  <c r="N10" i="49"/>
  <c r="N12" i="49" s="1"/>
  <c r="AU54" i="2"/>
  <c r="AV55" i="2"/>
  <c r="AV54" i="2"/>
  <c r="AT52" i="2"/>
  <c r="AY31" i="2"/>
  <c r="AX54" i="2"/>
  <c r="AU31" i="2"/>
  <c r="AW53" i="2"/>
  <c r="AS56" i="2"/>
  <c r="M10" i="49"/>
  <c r="M12" i="49" s="1"/>
  <c r="AX52" i="2"/>
  <c r="AT31" i="2"/>
  <c r="AS52" i="2"/>
  <c r="AT53" i="2"/>
  <c r="AV52" i="2"/>
  <c r="AY53" i="2"/>
  <c r="AU52" i="2"/>
  <c r="AT55" i="2"/>
  <c r="AU56" i="2"/>
  <c r="AX56" i="2"/>
  <c r="AU55" i="2"/>
  <c r="AV56" i="2"/>
  <c r="AW54" i="2"/>
  <c r="AY54" i="2"/>
  <c r="AV53" i="2"/>
  <c r="AS53" i="2"/>
  <c r="AY52" i="2"/>
  <c r="AS11" i="2"/>
  <c r="AS14" i="2" s="1"/>
  <c r="O10" i="49"/>
  <c r="O12" i="49" s="1"/>
  <c r="AT56" i="2"/>
  <c r="AV31" i="2"/>
  <c r="AS54" i="2"/>
  <c r="AW52" i="2"/>
  <c r="AX31" i="2"/>
  <c r="AW56" i="2"/>
  <c r="AY55" i="2"/>
  <c r="L10" i="49"/>
  <c r="L12" i="49" s="1"/>
  <c r="J10" i="49"/>
  <c r="AW31" i="2"/>
  <c r="AX53" i="2"/>
  <c r="AS55" i="2"/>
  <c r="AY56" i="2"/>
  <c r="K10" i="49"/>
  <c r="K12" i="49" s="1"/>
  <c r="AX55" i="2"/>
  <c r="K8" i="49" l="1"/>
  <c r="K9" i="49" s="1"/>
  <c r="K14" i="49"/>
  <c r="L8" i="49"/>
  <c r="L9" i="49" s="1"/>
  <c r="L14" i="49"/>
  <c r="O14" i="49"/>
  <c r="O8" i="49"/>
  <c r="O9" i="49" s="1"/>
  <c r="P14" i="49"/>
  <c r="P8" i="49"/>
  <c r="P9" i="49" s="1"/>
  <c r="J8" i="49"/>
  <c r="J9" i="49" s="1"/>
  <c r="J14" i="49"/>
  <c r="M14" i="49"/>
  <c r="M8" i="49"/>
  <c r="M9" i="49" s="1"/>
  <c r="N14" i="49"/>
  <c r="N8" i="49"/>
  <c r="N9" i="49" s="1"/>
  <c r="S14" i="7"/>
  <c r="S28" i="7"/>
  <c r="AW11" i="2"/>
  <c r="AW14" i="2" s="1"/>
  <c r="AW39" i="2"/>
  <c r="AS39" i="2"/>
  <c r="AT35" i="2"/>
  <c r="AX38" i="2"/>
  <c r="AV11" i="2"/>
  <c r="AV14" i="2" s="1"/>
  <c r="AY35" i="2"/>
  <c r="AU38" i="2"/>
  <c r="AT36" i="2"/>
  <c r="AV37" i="2"/>
  <c r="AU36" i="2"/>
  <c r="AY11" i="2"/>
  <c r="AY14" i="2" s="1"/>
  <c r="AY38" i="2"/>
  <c r="AV39" i="2"/>
  <c r="J12" i="49"/>
  <c r="AT39" i="2"/>
  <c r="AS36" i="2"/>
  <c r="AY36" i="2"/>
  <c r="AS35" i="2"/>
  <c r="AV38" i="2"/>
  <c r="AU35" i="2"/>
  <c r="AX39" i="2"/>
  <c r="AW36" i="2"/>
  <c r="AT37" i="2"/>
  <c r="AY39" i="2"/>
  <c r="AW35" i="2"/>
  <c r="AT11" i="2"/>
  <c r="AT14" i="2" s="1"/>
  <c r="AU37" i="2"/>
  <c r="AV36" i="2"/>
  <c r="AU39" i="2"/>
  <c r="AU11" i="2"/>
  <c r="AU14" i="2" s="1"/>
  <c r="AW38" i="2"/>
  <c r="AX11" i="2"/>
  <c r="AX14" i="2" s="1"/>
  <c r="AT38" i="2"/>
  <c r="AW37" i="2"/>
  <c r="AV35" i="2"/>
  <c r="AS38" i="2"/>
  <c r="AX36" i="2"/>
  <c r="AS37" i="2"/>
  <c r="AY37" i="2"/>
  <c r="AX35" i="2"/>
  <c r="AX37" i="2"/>
  <c r="AX17" i="2" l="1"/>
  <c r="AS19" i="2"/>
  <c r="AY18" i="2"/>
  <c r="AY17" i="2"/>
  <c r="AY19" i="2"/>
  <c r="AV17" i="2"/>
  <c r="AV16" i="2"/>
  <c r="AU19" i="2"/>
  <c r="AW16" i="2"/>
  <c r="AS18" i="2"/>
  <c r="AU20" i="2"/>
  <c r="AY20" i="2"/>
  <c r="AU16" i="2"/>
  <c r="AW20" i="2"/>
  <c r="AX18" i="2"/>
  <c r="AT19" i="2"/>
  <c r="O53" i="19"/>
  <c r="AS17" i="2"/>
  <c r="AY16" i="2"/>
  <c r="AT20" i="2"/>
  <c r="AU18" i="2"/>
  <c r="AU17" i="2"/>
  <c r="AX19" i="2"/>
  <c r="AW17" i="2"/>
  <c r="AV18" i="2"/>
  <c r="AX16" i="2"/>
  <c r="AT18" i="2"/>
  <c r="AV19" i="2"/>
  <c r="AT16" i="2"/>
  <c r="AW19" i="2"/>
  <c r="AX20" i="2"/>
  <c r="AV20" i="2"/>
  <c r="AW18" i="2"/>
  <c r="AS16" i="2"/>
  <c r="AT17" i="2"/>
  <c r="AS20" i="2"/>
  <c r="O55" i="19"/>
  <c r="P12" i="23" l="1"/>
  <c r="Q11" i="23"/>
  <c r="Q9" i="23"/>
  <c r="Q10" i="23"/>
  <c r="R10" i="23" s="1"/>
  <c r="S10" i="23" s="1"/>
  <c r="T10" i="23" s="1"/>
  <c r="U10" i="23" s="1"/>
  <c r="V10" i="23" s="1"/>
  <c r="Q8" i="23"/>
  <c r="Q7" i="23"/>
  <c r="Q4" i="51" l="1"/>
  <c r="I4" i="51"/>
  <c r="H15" i="7"/>
  <c r="AH15" i="7"/>
  <c r="R11" i="23"/>
  <c r="H47" i="28"/>
  <c r="O12" i="23"/>
  <c r="I38" i="30" s="1"/>
  <c r="H41" i="28"/>
  <c r="H39" i="28"/>
  <c r="H39" i="30"/>
  <c r="H40" i="28"/>
  <c r="H40" i="30"/>
  <c r="H46" i="30"/>
  <c r="I15" i="7" l="1"/>
  <c r="P56" i="19"/>
  <c r="P55" i="19"/>
  <c r="P53" i="19"/>
  <c r="G34" i="30"/>
  <c r="G42" i="30"/>
  <c r="G31" i="30"/>
  <c r="G47" i="28"/>
  <c r="G47" i="30"/>
  <c r="G32" i="28"/>
  <c r="G33" i="30"/>
  <c r="G39" i="30"/>
  <c r="G40" i="30"/>
  <c r="G46" i="30"/>
  <c r="G40" i="28"/>
  <c r="G39" i="28"/>
  <c r="G37" i="30"/>
  <c r="G35" i="28"/>
  <c r="G46" i="28"/>
  <c r="G33" i="28"/>
  <c r="G37" i="28"/>
  <c r="G43" i="30"/>
  <c r="G38" i="28"/>
  <c r="G48" i="28"/>
  <c r="N12" i="23"/>
  <c r="H38" i="30" s="1"/>
  <c r="G44" i="28"/>
  <c r="G45" i="30"/>
  <c r="G43" i="28"/>
  <c r="G32" i="30"/>
  <c r="G36" i="30"/>
  <c r="G41" i="28"/>
  <c r="G38" i="30"/>
  <c r="G34" i="28"/>
  <c r="S11" i="23"/>
  <c r="J15" i="7" l="1"/>
  <c r="D63" i="11"/>
  <c r="G41" i="30"/>
  <c r="D42" i="11"/>
  <c r="G45" i="28"/>
  <c r="G48" i="30"/>
  <c r="G44" i="30"/>
  <c r="F46" i="30"/>
  <c r="F36" i="30"/>
  <c r="F47" i="30"/>
  <c r="F32" i="30"/>
  <c r="F34" i="30"/>
  <c r="F39" i="30"/>
  <c r="F40" i="30"/>
  <c r="F31" i="30"/>
  <c r="F42" i="30"/>
  <c r="F45" i="30"/>
  <c r="F43" i="30"/>
  <c r="M12" i="23"/>
  <c r="F37" i="30"/>
  <c r="F38" i="30"/>
  <c r="F33" i="30"/>
  <c r="G42" i="28"/>
  <c r="D39" i="11"/>
  <c r="D41" i="11"/>
  <c r="G35" i="30"/>
  <c r="D20" i="11"/>
  <c r="G49" i="28"/>
  <c r="D43" i="11"/>
  <c r="T11" i="23"/>
  <c r="D44" i="11"/>
  <c r="G36" i="28"/>
  <c r="K15" i="7" l="1"/>
  <c r="G49" i="30"/>
  <c r="D64" i="11" s="1"/>
  <c r="G50" i="28"/>
  <c r="G51" i="28" s="1"/>
  <c r="F48" i="30"/>
  <c r="F44" i="30"/>
  <c r="F35" i="30"/>
  <c r="D45" i="11"/>
  <c r="U11" i="23"/>
  <c r="E47" i="30"/>
  <c r="E33" i="30"/>
  <c r="E42" i="30"/>
  <c r="E37" i="30"/>
  <c r="E36" i="30"/>
  <c r="E43" i="30"/>
  <c r="L12" i="23"/>
  <c r="K12" i="23" s="1"/>
  <c r="J12" i="23" s="1"/>
  <c r="I12" i="23" s="1"/>
  <c r="E38" i="30"/>
  <c r="E34" i="30"/>
  <c r="E32" i="30"/>
  <c r="E31" i="30"/>
  <c r="E46" i="30"/>
  <c r="E40" i="30"/>
  <c r="E39" i="30"/>
  <c r="E45" i="30"/>
  <c r="F41" i="30"/>
  <c r="L15" i="7" l="1"/>
  <c r="F49" i="30"/>
  <c r="D40" i="11"/>
  <c r="E48" i="30"/>
  <c r="E41" i="30"/>
  <c r="E35" i="30"/>
  <c r="V11" i="23"/>
  <c r="E44" i="30"/>
  <c r="M15" i="7" l="1"/>
  <c r="E49" i="30"/>
  <c r="W21" i="4" l="1"/>
  <c r="V21" i="4"/>
  <c r="U21" i="4"/>
  <c r="T21" i="4"/>
  <c r="S21" i="4"/>
  <c r="F21" i="31" l="1"/>
  <c r="S22" i="4"/>
  <c r="G21" i="31"/>
  <c r="T22" i="4"/>
  <c r="H21" i="31"/>
  <c r="U22" i="4"/>
  <c r="I21" i="31"/>
  <c r="V22" i="4"/>
  <c r="J21" i="31"/>
  <c r="W22" i="4"/>
  <c r="G49" i="31" l="1"/>
  <c r="G22" i="31"/>
  <c r="G23" i="31" s="1"/>
  <c r="J49" i="31"/>
  <c r="J22" i="31"/>
  <c r="J23" i="31" s="1"/>
  <c r="H49" i="31"/>
  <c r="H22" i="31"/>
  <c r="H23" i="31" s="1"/>
  <c r="I49" i="31"/>
  <c r="I22" i="31"/>
  <c r="I23" i="31" s="1"/>
  <c r="F49" i="31"/>
  <c r="F22" i="31"/>
  <c r="F23" i="31" s="1"/>
  <c r="H118" i="11" l="1"/>
  <c r="I50" i="31"/>
  <c r="I51" i="31" s="1"/>
  <c r="I52" i="31" s="1"/>
  <c r="G50" i="31"/>
  <c r="G51" i="31" s="1"/>
  <c r="G52" i="31" s="1"/>
  <c r="F118" i="11"/>
  <c r="G118" i="11"/>
  <c r="H50" i="31"/>
  <c r="H51" i="31" s="1"/>
  <c r="H52" i="31" s="1"/>
  <c r="E118" i="11"/>
  <c r="F50" i="31"/>
  <c r="F51" i="31" s="1"/>
  <c r="F52" i="31" s="1"/>
  <c r="I118" i="11"/>
  <c r="J50" i="31"/>
  <c r="J51" i="31" s="1"/>
  <c r="J52" i="31" s="1"/>
  <c r="E100" i="11" l="1"/>
  <c r="E101" i="11" s="1"/>
  <c r="E102" i="11" s="1"/>
  <c r="E119" i="11"/>
  <c r="E120" i="11" s="1"/>
  <c r="F100" i="11"/>
  <c r="F101" i="11" s="1"/>
  <c r="F102" i="11" s="1"/>
  <c r="F119" i="11"/>
  <c r="F120" i="11" s="1"/>
  <c r="G100" i="11"/>
  <c r="G101" i="11" s="1"/>
  <c r="G102" i="11" s="1"/>
  <c r="G119" i="11"/>
  <c r="G120" i="11" s="1"/>
  <c r="I100" i="11"/>
  <c r="I101" i="11" s="1"/>
  <c r="I102" i="11" s="1"/>
  <c r="I119" i="11"/>
  <c r="I120" i="11" s="1"/>
  <c r="H100" i="11"/>
  <c r="H101" i="11" s="1"/>
  <c r="H102" i="11" s="1"/>
  <c r="H119" i="11"/>
  <c r="H120" i="11" s="1"/>
  <c r="Y21" i="4" l="1"/>
  <c r="X21" i="4" l="1"/>
  <c r="Y22" i="4"/>
  <c r="L21" i="31"/>
  <c r="L49" i="31" l="1"/>
  <c r="L22" i="31"/>
  <c r="L23" i="31" s="1"/>
  <c r="AY110" i="2"/>
  <c r="AY76" i="2"/>
  <c r="AY93" i="2"/>
  <c r="K21" i="31"/>
  <c r="X22" i="4"/>
  <c r="K49" i="31" l="1"/>
  <c r="K22" i="31"/>
  <c r="K23" i="31" s="1"/>
  <c r="AX110" i="2"/>
  <c r="AX76" i="2"/>
  <c r="AX93" i="2"/>
  <c r="AU93" i="2"/>
  <c r="AU110" i="2"/>
  <c r="AU76" i="2"/>
  <c r="AY59" i="2"/>
  <c r="AS76" i="2"/>
  <c r="AS110" i="2"/>
  <c r="AS93" i="2"/>
  <c r="K118" i="11"/>
  <c r="L50" i="31"/>
  <c r="L51" i="31" s="1"/>
  <c r="L52" i="31" s="1"/>
  <c r="AT93" i="2" l="1"/>
  <c r="AT76" i="2"/>
  <c r="AT110" i="2"/>
  <c r="AV110" i="2"/>
  <c r="AV93" i="2"/>
  <c r="AV76" i="2"/>
  <c r="K100" i="11"/>
  <c r="K101" i="11" s="1"/>
  <c r="K102" i="11" s="1"/>
  <c r="K119" i="11"/>
  <c r="K120" i="11" s="1"/>
  <c r="AW76" i="2"/>
  <c r="AW110" i="2"/>
  <c r="AW93" i="2"/>
  <c r="AX59" i="2"/>
  <c r="AS59" i="2"/>
  <c r="AU59" i="2"/>
  <c r="AY42" i="2"/>
  <c r="J118" i="11"/>
  <c r="K50" i="31"/>
  <c r="K51" i="31" s="1"/>
  <c r="K52" i="31" s="1"/>
  <c r="J100" i="11" l="1"/>
  <c r="J101" i="11" s="1"/>
  <c r="J102" i="11" s="1"/>
  <c r="J119" i="11"/>
  <c r="J120" i="11" s="1"/>
  <c r="AY23" i="2"/>
  <c r="AU42" i="2"/>
  <c r="AS42" i="2"/>
  <c r="AX42" i="2"/>
  <c r="AV59" i="2"/>
  <c r="AW59" i="2"/>
  <c r="AT59" i="2"/>
  <c r="AX23" i="2" l="1"/>
  <c r="AS23" i="2"/>
  <c r="AU23" i="2"/>
  <c r="AT42" i="2"/>
  <c r="AW42" i="2"/>
  <c r="AV42" i="2"/>
  <c r="F14" i="7" l="1"/>
  <c r="AV23" i="2"/>
  <c r="AW23" i="2"/>
  <c r="AT23" i="2"/>
  <c r="N15" i="51"/>
  <c r="V15" i="51" l="1"/>
  <c r="M15" i="51"/>
  <c r="H15" i="51" l="1"/>
  <c r="P15" i="51" s="1"/>
  <c r="O14" i="19"/>
  <c r="J15" i="51"/>
  <c r="U15" i="51"/>
  <c r="L15" i="51"/>
  <c r="H22" i="28"/>
  <c r="H48" i="28" s="1"/>
  <c r="E38" i="11" s="1"/>
  <c r="E19" i="11" s="1"/>
  <c r="G69" i="7"/>
  <c r="I15" i="51" l="1"/>
  <c r="P14" i="19"/>
  <c r="R15" i="51"/>
  <c r="G81" i="7"/>
  <c r="AG69" i="7"/>
  <c r="N56" i="7"/>
  <c r="K15" i="51"/>
  <c r="T15" i="51"/>
  <c r="H69" i="7"/>
  <c r="I22" i="28"/>
  <c r="I48" i="28" s="1"/>
  <c r="F38" i="11" s="1"/>
  <c r="F19" i="11" s="1"/>
  <c r="S15" i="51" l="1"/>
  <c r="H81" i="7"/>
  <c r="AH69" i="7"/>
  <c r="Q15" i="51"/>
  <c r="L76" i="19" l="1"/>
  <c r="J26" i="8" s="1"/>
  <c r="J26" i="19"/>
  <c r="J30" i="19"/>
  <c r="J33" i="19"/>
  <c r="J31" i="19"/>
  <c r="J32" i="19"/>
  <c r="J35" i="19"/>
  <c r="J34" i="19"/>
  <c r="J29" i="19"/>
  <c r="N26" i="19"/>
  <c r="N37" i="19" s="1"/>
  <c r="L14" i="8"/>
  <c r="J10" i="8"/>
  <c r="L26" i="19"/>
  <c r="L37" i="19" s="1"/>
  <c r="L30" i="19"/>
  <c r="L73" i="19"/>
  <c r="J23" i="8" s="1"/>
  <c r="L29" i="19"/>
  <c r="L35" i="19"/>
  <c r="L77" i="19"/>
  <c r="J27" i="8" s="1"/>
  <c r="L33" i="19"/>
  <c r="L34" i="19"/>
  <c r="L75" i="19"/>
  <c r="J25" i="8" s="1"/>
  <c r="L31" i="19"/>
  <c r="L32" i="19"/>
  <c r="M26" i="19"/>
  <c r="J17" i="8"/>
  <c r="K17" i="8"/>
  <c r="K11" i="8"/>
  <c r="K14" i="8"/>
  <c r="K15" i="8"/>
  <c r="I12" i="8"/>
  <c r="I14" i="8"/>
  <c r="I17" i="8"/>
  <c r="I10" i="8"/>
  <c r="K26" i="19"/>
  <c r="K37" i="19" s="1"/>
  <c r="M30" i="19"/>
  <c r="M29" i="19"/>
  <c r="M31" i="19"/>
  <c r="M35" i="19"/>
  <c r="M33" i="19"/>
  <c r="M32" i="19"/>
  <c r="M34" i="19"/>
  <c r="L36" i="19"/>
  <c r="I16" i="8"/>
  <c r="K35" i="19"/>
  <c r="M36" i="19"/>
  <c r="K34" i="19"/>
  <c r="K33" i="19"/>
  <c r="K32" i="19"/>
  <c r="K31" i="19"/>
  <c r="K30" i="19"/>
  <c r="K29" i="19"/>
  <c r="N36" i="19"/>
  <c r="N31" i="19"/>
  <c r="N33" i="19"/>
  <c r="N35" i="19"/>
  <c r="N34" i="19"/>
  <c r="N30" i="19"/>
  <c r="N32" i="19"/>
  <c r="N29" i="19"/>
  <c r="J75" i="19"/>
  <c r="H25" i="8" s="1"/>
  <c r="H17" i="8"/>
  <c r="J78" i="19"/>
  <c r="H28" i="8" s="1"/>
  <c r="N73" i="19"/>
  <c r="L23" i="8" s="1"/>
  <c r="J74" i="19"/>
  <c r="H24" i="8" s="1"/>
  <c r="H16" i="8"/>
  <c r="J79" i="19"/>
  <c r="H29" i="8" s="1"/>
  <c r="L74" i="19"/>
  <c r="J24" i="8" s="1"/>
  <c r="N76" i="19"/>
  <c r="L26" i="8" s="1"/>
  <c r="K75" i="19"/>
  <c r="I25" i="8" s="1"/>
  <c r="H10" i="8"/>
  <c r="J73" i="19"/>
  <c r="H23" i="8" s="1"/>
  <c r="L80" i="19"/>
  <c r="J30" i="8" s="1"/>
  <c r="M78" i="19"/>
  <c r="K28" i="8" s="1"/>
  <c r="J13" i="8"/>
  <c r="K13" i="8"/>
  <c r="M76" i="19"/>
  <c r="K26" i="8" s="1"/>
  <c r="M74" i="19"/>
  <c r="K24" i="8" s="1"/>
  <c r="J77" i="19"/>
  <c r="H27" i="8" s="1"/>
  <c r="H14" i="8"/>
  <c r="J16" i="8"/>
  <c r="L79" i="19"/>
  <c r="J29" i="8" s="1"/>
  <c r="M77" i="19"/>
  <c r="K27" i="8" s="1"/>
  <c r="M75" i="19"/>
  <c r="K25" i="8" s="1"/>
  <c r="I13" i="8"/>
  <c r="K76" i="19"/>
  <c r="I26" i="8" s="1"/>
  <c r="L15" i="8"/>
  <c r="N78" i="19"/>
  <c r="L28" i="8" s="1"/>
  <c r="K70" i="19"/>
  <c r="K71" i="19" s="1"/>
  <c r="L11" i="8"/>
  <c r="N74" i="19"/>
  <c r="L24" i="8" s="1"/>
  <c r="K77" i="19"/>
  <c r="I27" i="8" s="1"/>
  <c r="K16" i="8"/>
  <c r="M79" i="19"/>
  <c r="K29" i="8" s="1"/>
  <c r="L16" i="8"/>
  <c r="N79" i="19"/>
  <c r="L29" i="8" s="1"/>
  <c r="N77" i="19"/>
  <c r="L27" i="8" s="1"/>
  <c r="K73" i="19"/>
  <c r="I23" i="8" s="1"/>
  <c r="L12" i="8"/>
  <c r="N75" i="19"/>
  <c r="L25" i="8" s="1"/>
  <c r="I15" i="8"/>
  <c r="K78" i="19"/>
  <c r="I28" i="8" s="1"/>
  <c r="M80" i="19"/>
  <c r="K30" i="8" s="1"/>
  <c r="K10" i="8"/>
  <c r="H13" i="8"/>
  <c r="J15" i="8"/>
  <c r="L78" i="19"/>
  <c r="J28" i="8" s="1"/>
  <c r="L17" i="8"/>
  <c r="N80" i="19"/>
  <c r="L30" i="8" s="1"/>
  <c r="K81" i="19" l="1"/>
  <c r="K27" i="19"/>
  <c r="K79" i="19"/>
  <c r="I29" i="8" s="1"/>
  <c r="O29" i="8" s="1"/>
  <c r="L10" i="8"/>
  <c r="L13" i="8"/>
  <c r="K74" i="19"/>
  <c r="I24" i="8" s="1"/>
  <c r="J11" i="8"/>
  <c r="H15" i="8"/>
  <c r="I11" i="8"/>
  <c r="J14" i="8"/>
  <c r="L70" i="19"/>
  <c r="L71" i="19" s="1"/>
  <c r="J70" i="19"/>
  <c r="J71" i="19" s="1"/>
  <c r="K12" i="8"/>
  <c r="M70" i="19"/>
  <c r="M71" i="19" s="1"/>
  <c r="J76" i="19"/>
  <c r="H26" i="8" s="1"/>
  <c r="H11" i="8"/>
  <c r="H12" i="8"/>
  <c r="M37" i="19"/>
  <c r="J12" i="8"/>
  <c r="J37" i="19"/>
  <c r="M73" i="19"/>
  <c r="K23" i="8" s="1"/>
  <c r="N70" i="19"/>
  <c r="N71" i="19" s="1"/>
  <c r="M27" i="19" l="1"/>
  <c r="H18" i="8"/>
  <c r="H19" i="8" s="1"/>
  <c r="N81" i="19"/>
  <c r="N27" i="19"/>
  <c r="I18" i="8"/>
  <c r="I19" i="8" s="1"/>
  <c r="L18" i="8"/>
  <c r="L19" i="8" s="1"/>
  <c r="L27" i="19"/>
  <c r="L81" i="19"/>
  <c r="K18" i="8"/>
  <c r="K19" i="8" s="1"/>
  <c r="P29" i="8"/>
  <c r="R29" i="8"/>
  <c r="Q29" i="8"/>
  <c r="S29" i="8"/>
  <c r="M81" i="19"/>
  <c r="J81" i="19"/>
  <c r="J27" i="19"/>
  <c r="J18" i="8"/>
  <c r="J19" i="8" s="1"/>
  <c r="O23" i="8" l="1"/>
  <c r="Q23" i="8"/>
  <c r="P23" i="8"/>
  <c r="R23" i="8"/>
  <c r="S23" i="8"/>
  <c r="AT45" i="2" l="1"/>
  <c r="AW62" i="2"/>
  <c r="AW79" i="2"/>
  <c r="AT96" i="2"/>
  <c r="AT79" i="2"/>
  <c r="AV62" i="2"/>
  <c r="AV79" i="2"/>
  <c r="AY79" i="2"/>
  <c r="AX79" i="2"/>
  <c r="AX96" i="2"/>
  <c r="AX62" i="2"/>
  <c r="AU96" i="2"/>
  <c r="AU79" i="2"/>
  <c r="AU62" i="2"/>
  <c r="AU63" i="2"/>
  <c r="AU97" i="2"/>
  <c r="AU80" i="2"/>
  <c r="AT97" i="2"/>
  <c r="AT63" i="2"/>
  <c r="AT80" i="2"/>
  <c r="AW80" i="2"/>
  <c r="AV80" i="2"/>
  <c r="AV63" i="2"/>
  <c r="AS46" i="2"/>
  <c r="AY97" i="2"/>
  <c r="AY80" i="2"/>
  <c r="AX63" i="2"/>
  <c r="AX80" i="2"/>
  <c r="AS80" i="2"/>
  <c r="AS97" i="2"/>
  <c r="AS63" i="2"/>
  <c r="AS62" i="2"/>
  <c r="AS79" i="2"/>
  <c r="AS96" i="2"/>
  <c r="AS29" i="2" l="1"/>
  <c r="AX45" i="2"/>
  <c r="AX28" i="2"/>
  <c r="AU45" i="2"/>
  <c r="AU28" i="2"/>
  <c r="AU46" i="2"/>
  <c r="AS45" i="2"/>
  <c r="AS28" i="2"/>
  <c r="K22" i="51"/>
  <c r="K31" i="51" s="1"/>
  <c r="AT28" i="2"/>
  <c r="AT62" i="2"/>
  <c r="M22" i="51"/>
  <c r="M31" i="51" s="1"/>
  <c r="AY62" i="2"/>
  <c r="AW97" i="2"/>
  <c r="I22" i="51"/>
  <c r="I31" i="51" s="1"/>
  <c r="H22" i="51"/>
  <c r="H31" i="51" s="1"/>
  <c r="AV97" i="2"/>
  <c r="AV96" i="2"/>
  <c r="AW63" i="2"/>
  <c r="AY96" i="2"/>
  <c r="AY63" i="2"/>
  <c r="AT46" i="2"/>
  <c r="AW96" i="2"/>
  <c r="AX97" i="2"/>
  <c r="J22" i="51" l="1"/>
  <c r="J31" i="51" s="1"/>
  <c r="L22" i="51"/>
  <c r="L31" i="51" s="1"/>
  <c r="AV28" i="2"/>
  <c r="AV45" i="2"/>
  <c r="AX46" i="2"/>
  <c r="Y13" i="7"/>
  <c r="O13" i="49"/>
  <c r="O15" i="49" s="1"/>
  <c r="AT29" i="2"/>
  <c r="AV46" i="2"/>
  <c r="AW45" i="2"/>
  <c r="AW28" i="2"/>
  <c r="AU29" i="2"/>
  <c r="AY46" i="2"/>
  <c r="N22" i="51"/>
  <c r="N31" i="51" s="1"/>
  <c r="J13" i="49"/>
  <c r="T13" i="7"/>
  <c r="G14" i="7" s="1"/>
  <c r="K13" i="49"/>
  <c r="K15" i="49" s="1"/>
  <c r="U13" i="7"/>
  <c r="H14" i="7" s="1"/>
  <c r="AW46" i="2"/>
  <c r="AY28" i="2"/>
  <c r="AY45" i="2"/>
  <c r="W13" i="7"/>
  <c r="M13" i="49"/>
  <c r="M15" i="49" s="1"/>
  <c r="AS9" i="2" l="1"/>
  <c r="M32" i="51"/>
  <c r="K32" i="51"/>
  <c r="W14" i="7"/>
  <c r="I32" i="51"/>
  <c r="H32" i="51"/>
  <c r="L14" i="7"/>
  <c r="O32" i="49"/>
  <c r="AY29" i="2"/>
  <c r="K32" i="49"/>
  <c r="AX29" i="2"/>
  <c r="AU9" i="2"/>
  <c r="J32" i="49"/>
  <c r="AW29" i="2"/>
  <c r="X13" i="7"/>
  <c r="N13" i="49"/>
  <c r="N15" i="49" s="1"/>
  <c r="M32" i="49"/>
  <c r="O51" i="19"/>
  <c r="T27" i="7"/>
  <c r="T28" i="7" s="1"/>
  <c r="P13" i="49"/>
  <c r="P15" i="49" s="1"/>
  <c r="Z13" i="7"/>
  <c r="AV29" i="2"/>
  <c r="V13" i="7"/>
  <c r="L13" i="49"/>
  <c r="L15" i="49" s="1"/>
  <c r="AS8" i="2"/>
  <c r="G29" i="7"/>
  <c r="J14" i="7"/>
  <c r="AT9" i="2"/>
  <c r="Y14" i="7" l="1"/>
  <c r="N32" i="51"/>
  <c r="Z14" i="7"/>
  <c r="J32" i="51"/>
  <c r="V14" i="7"/>
  <c r="L32" i="51"/>
  <c r="X14" i="7"/>
  <c r="J15" i="49"/>
  <c r="J17" i="49" s="1"/>
  <c r="J18" i="49" s="1"/>
  <c r="V27" i="7"/>
  <c r="V28" i="7" s="1"/>
  <c r="L32" i="49"/>
  <c r="I29" i="7"/>
  <c r="AU8" i="2"/>
  <c r="AG28" i="7"/>
  <c r="O59" i="19"/>
  <c r="T14" i="7" s="1"/>
  <c r="AX9" i="2"/>
  <c r="M17" i="49"/>
  <c r="M18" i="49" s="1"/>
  <c r="AV9" i="2"/>
  <c r="N32" i="49"/>
  <c r="H29" i="7"/>
  <c r="AT8" i="2"/>
  <c r="K17" i="49"/>
  <c r="K18" i="49" s="1"/>
  <c r="P51" i="19"/>
  <c r="U27" i="7"/>
  <c r="U28" i="7" s="1"/>
  <c r="I14" i="7"/>
  <c r="AW9" i="2"/>
  <c r="AY9" i="2"/>
  <c r="P32" i="49"/>
  <c r="K14" i="7"/>
  <c r="M14" i="7"/>
  <c r="O17" i="49"/>
  <c r="O18" i="49" s="1"/>
  <c r="O60" i="19" l="1"/>
  <c r="N17" i="49"/>
  <c r="N18" i="49" s="1"/>
  <c r="W27" i="7"/>
  <c r="W28" i="7" s="1"/>
  <c r="G28" i="7"/>
  <c r="K29" i="7"/>
  <c r="AW8" i="2"/>
  <c r="AH28" i="7"/>
  <c r="P17" i="49"/>
  <c r="P18" i="49" s="1"/>
  <c r="AV8" i="2"/>
  <c r="J29" i="7"/>
  <c r="Z27" i="7"/>
  <c r="Z28" i="7" s="1"/>
  <c r="P59" i="19"/>
  <c r="U14" i="7" s="1"/>
  <c r="G44" i="7"/>
  <c r="M29" i="7"/>
  <c r="AY8" i="2"/>
  <c r="AI28" i="7"/>
  <c r="L29" i="7"/>
  <c r="AX8" i="2"/>
  <c r="L17" i="49"/>
  <c r="L18" i="49" s="1"/>
  <c r="Y27" i="7"/>
  <c r="Y28" i="7" s="1"/>
  <c r="X27" i="7"/>
  <c r="X28" i="7" s="1"/>
  <c r="H10" i="51" l="1"/>
  <c r="P10" i="51" s="1"/>
  <c r="O9" i="19"/>
  <c r="H9" i="51"/>
  <c r="P9" i="51" s="1"/>
  <c r="O8" i="19"/>
  <c r="H14" i="51"/>
  <c r="P14" i="51" s="1"/>
  <c r="O13" i="19"/>
  <c r="H13" i="51"/>
  <c r="O12" i="19"/>
  <c r="H8" i="51"/>
  <c r="P8" i="51" s="1"/>
  <c r="O7" i="19"/>
  <c r="H12" i="51"/>
  <c r="P12" i="51" s="1"/>
  <c r="O11" i="19"/>
  <c r="H11" i="51"/>
  <c r="P11" i="51" s="1"/>
  <c r="O10" i="19"/>
  <c r="P60" i="19"/>
  <c r="AN28" i="7"/>
  <c r="H17" i="28"/>
  <c r="G62" i="7"/>
  <c r="G57" i="7"/>
  <c r="G58" i="7" s="1"/>
  <c r="AM28" i="7"/>
  <c r="H18" i="28"/>
  <c r="H44" i="28" s="1"/>
  <c r="H9" i="28"/>
  <c r="H35" i="28" s="1"/>
  <c r="G66" i="7"/>
  <c r="H20" i="28"/>
  <c r="G67" i="7"/>
  <c r="H28" i="7"/>
  <c r="G64" i="7"/>
  <c r="H11" i="28"/>
  <c r="I28" i="7"/>
  <c r="G65" i="7"/>
  <c r="H8" i="28"/>
  <c r="H34" i="28" s="1"/>
  <c r="H44" i="7"/>
  <c r="AL28" i="7"/>
  <c r="AG44" i="7"/>
  <c r="AK28" i="7"/>
  <c r="G63" i="7"/>
  <c r="H6" i="28"/>
  <c r="G68" i="7"/>
  <c r="H12" i="28"/>
  <c r="H38" i="28" s="1"/>
  <c r="H7" i="28"/>
  <c r="H33" i="28" s="1"/>
  <c r="AJ28" i="7"/>
  <c r="I10" i="51" l="1"/>
  <c r="Q10" i="51" s="1"/>
  <c r="P9" i="19"/>
  <c r="I14" i="51"/>
  <c r="P13" i="19"/>
  <c r="I9" i="51"/>
  <c r="Q9" i="51" s="1"/>
  <c r="P8" i="19"/>
  <c r="I12" i="51"/>
  <c r="Q12" i="51" s="1"/>
  <c r="P11" i="19"/>
  <c r="I13" i="51"/>
  <c r="P12" i="19"/>
  <c r="I11" i="51"/>
  <c r="Q11" i="51" s="1"/>
  <c r="P10" i="19"/>
  <c r="N13" i="51"/>
  <c r="V13" i="51" s="1"/>
  <c r="M12" i="51"/>
  <c r="U12" i="51" s="1"/>
  <c r="N9" i="51"/>
  <c r="V9" i="51" s="1"/>
  <c r="M11" i="51"/>
  <c r="U11" i="51" s="1"/>
  <c r="N14" i="51"/>
  <c r="V14" i="51" s="1"/>
  <c r="M10" i="51"/>
  <c r="U10" i="51" s="1"/>
  <c r="K12" i="51"/>
  <c r="S12" i="51" s="1"/>
  <c r="M13" i="51"/>
  <c r="U13" i="51" s="1"/>
  <c r="K10" i="51"/>
  <c r="S10" i="51" s="1"/>
  <c r="M9" i="51"/>
  <c r="U9" i="51" s="1"/>
  <c r="K11" i="51"/>
  <c r="S11" i="51" s="1"/>
  <c r="M14" i="51"/>
  <c r="U14" i="51" s="1"/>
  <c r="K13" i="51"/>
  <c r="S13" i="51" s="1"/>
  <c r="L10" i="51"/>
  <c r="T10" i="51" s="1"/>
  <c r="K9" i="51"/>
  <c r="S9" i="51" s="1"/>
  <c r="L11" i="51"/>
  <c r="T11" i="51" s="1"/>
  <c r="K14" i="51"/>
  <c r="S14" i="51" s="1"/>
  <c r="L12" i="51"/>
  <c r="T12" i="51" s="1"/>
  <c r="N12" i="51"/>
  <c r="V12" i="51" s="1"/>
  <c r="L13" i="51"/>
  <c r="T13" i="51" s="1"/>
  <c r="N11" i="51"/>
  <c r="V11" i="51" s="1"/>
  <c r="L9" i="51"/>
  <c r="T9" i="51" s="1"/>
  <c r="N10" i="51"/>
  <c r="V10" i="51" s="1"/>
  <c r="L14" i="51"/>
  <c r="T14" i="51" s="1"/>
  <c r="G79" i="7"/>
  <c r="AG67" i="7"/>
  <c r="G78" i="7"/>
  <c r="AG66" i="7"/>
  <c r="G75" i="7"/>
  <c r="AG63" i="7"/>
  <c r="G76" i="7"/>
  <c r="AG64" i="7"/>
  <c r="G77" i="7"/>
  <c r="AG65" i="7"/>
  <c r="G80" i="7"/>
  <c r="AG68" i="7"/>
  <c r="G74" i="7"/>
  <c r="AG62" i="7"/>
  <c r="H17" i="51"/>
  <c r="H18" i="51" s="1"/>
  <c r="Q14" i="51"/>
  <c r="H32" i="28"/>
  <c r="H10" i="28"/>
  <c r="L28" i="7"/>
  <c r="I11" i="28"/>
  <c r="H64" i="7"/>
  <c r="J28" i="7"/>
  <c r="H65" i="7"/>
  <c r="I8" i="28"/>
  <c r="I34" i="28" s="1"/>
  <c r="M28" i="7"/>
  <c r="H37" i="28"/>
  <c r="H42" i="28" s="1"/>
  <c r="H16" i="28"/>
  <c r="H46" i="28"/>
  <c r="H23" i="28"/>
  <c r="I20" i="28"/>
  <c r="H67" i="7"/>
  <c r="AH44" i="7"/>
  <c r="G70" i="7"/>
  <c r="G71" i="7" s="1"/>
  <c r="K28" i="7"/>
  <c r="I18" i="28"/>
  <c r="I44" i="28" s="1"/>
  <c r="I9" i="28"/>
  <c r="I35" i="28" s="1"/>
  <c r="H66" i="7"/>
  <c r="H43" i="28"/>
  <c r="H45" i="28" s="1"/>
  <c r="H19" i="28"/>
  <c r="I7" i="28"/>
  <c r="I33" i="28" s="1"/>
  <c r="I12" i="28"/>
  <c r="I38" i="28" s="1"/>
  <c r="H68" i="7"/>
  <c r="I6" i="28"/>
  <c r="H63" i="7"/>
  <c r="I8" i="51" l="1"/>
  <c r="I17" i="51" s="1"/>
  <c r="P7" i="19"/>
  <c r="J12" i="51"/>
  <c r="R12" i="51" s="1"/>
  <c r="N53" i="7"/>
  <c r="J9" i="51"/>
  <c r="R9" i="51" s="1"/>
  <c r="N50" i="7"/>
  <c r="J13" i="51"/>
  <c r="R13" i="51" s="1"/>
  <c r="N54" i="7"/>
  <c r="J10" i="51"/>
  <c r="R10" i="51" s="1"/>
  <c r="N51" i="7"/>
  <c r="J14" i="51"/>
  <c r="R14" i="51" s="1"/>
  <c r="N55" i="7"/>
  <c r="J11" i="51"/>
  <c r="R11" i="51" s="1"/>
  <c r="N52" i="7"/>
  <c r="G82" i="7"/>
  <c r="G83" i="7" s="1"/>
  <c r="H75" i="7"/>
  <c r="AH63" i="7"/>
  <c r="H77" i="7"/>
  <c r="AH65" i="7"/>
  <c r="H79" i="7"/>
  <c r="AH67" i="7"/>
  <c r="H78" i="7"/>
  <c r="AH66" i="7"/>
  <c r="H76" i="7"/>
  <c r="AH64" i="7"/>
  <c r="H80" i="7"/>
  <c r="AH68" i="7"/>
  <c r="AG70" i="7"/>
  <c r="AG71" i="7" s="1"/>
  <c r="H24" i="28"/>
  <c r="E28" i="11"/>
  <c r="E9" i="11" s="1"/>
  <c r="E30" i="11"/>
  <c r="E32" i="11"/>
  <c r="E31" i="11"/>
  <c r="E29" i="11"/>
  <c r="H17" i="30"/>
  <c r="H11" i="30"/>
  <c r="H36" i="28"/>
  <c r="I32" i="28"/>
  <c r="I10" i="28"/>
  <c r="H18" i="30"/>
  <c r="H43" i="30" s="1"/>
  <c r="H9" i="30"/>
  <c r="H34" i="30" s="1"/>
  <c r="I46" i="28"/>
  <c r="I23" i="28"/>
  <c r="E34" i="11"/>
  <c r="E33" i="11"/>
  <c r="E35" i="11"/>
  <c r="H6" i="30"/>
  <c r="E37" i="11"/>
  <c r="H49" i="28"/>
  <c r="H12" i="30"/>
  <c r="H37" i="30" s="1"/>
  <c r="H7" i="30"/>
  <c r="H32" i="30" s="1"/>
  <c r="H62" i="7"/>
  <c r="I17" i="28"/>
  <c r="H57" i="7"/>
  <c r="H58" i="7" s="1"/>
  <c r="I16" i="28"/>
  <c r="I37" i="28"/>
  <c r="I42" i="28" s="1"/>
  <c r="H8" i="30"/>
  <c r="H33" i="30" s="1"/>
  <c r="I18" i="51" l="1"/>
  <c r="H70" i="7"/>
  <c r="H71" i="7" s="1"/>
  <c r="AH62" i="7"/>
  <c r="Q8" i="51"/>
  <c r="H50" i="28"/>
  <c r="H51" i="28" s="1"/>
  <c r="H74" i="7"/>
  <c r="L44" i="7"/>
  <c r="H19" i="30"/>
  <c r="H42" i="30"/>
  <c r="H44" i="30" s="1"/>
  <c r="E13" i="11"/>
  <c r="I11" i="30"/>
  <c r="O19" i="19"/>
  <c r="I49" i="28"/>
  <c r="F37" i="11"/>
  <c r="E11" i="11"/>
  <c r="O22" i="19"/>
  <c r="E42" i="11"/>
  <c r="I8" i="30"/>
  <c r="I33" i="30" s="1"/>
  <c r="J44" i="7"/>
  <c r="O20" i="19"/>
  <c r="I43" i="28"/>
  <c r="I45" i="28" s="1"/>
  <c r="I19" i="28"/>
  <c r="I24" i="28" s="1"/>
  <c r="I36" i="28"/>
  <c r="AJ44" i="7"/>
  <c r="H16" i="30"/>
  <c r="H36" i="30"/>
  <c r="H41" i="30" s="1"/>
  <c r="E16" i="11"/>
  <c r="E14" i="11"/>
  <c r="E43" i="11"/>
  <c r="K44" i="7"/>
  <c r="I7" i="30"/>
  <c r="I32" i="30" s="1"/>
  <c r="I12" i="30"/>
  <c r="I37" i="30" s="1"/>
  <c r="O79" i="19"/>
  <c r="O24" i="19"/>
  <c r="O35" i="19" s="1"/>
  <c r="I18" i="30"/>
  <c r="I43" i="30" s="1"/>
  <c r="I9" i="30"/>
  <c r="I34" i="30" s="1"/>
  <c r="E15" i="11"/>
  <c r="E26" i="11"/>
  <c r="E27" i="11"/>
  <c r="E25" i="11"/>
  <c r="E6" i="11" s="1"/>
  <c r="AK44" i="7"/>
  <c r="L8" i="51"/>
  <c r="O21" i="19"/>
  <c r="AM44" i="7"/>
  <c r="N8" i="51"/>
  <c r="E18" i="11"/>
  <c r="E44" i="11"/>
  <c r="M44" i="7"/>
  <c r="E10" i="11"/>
  <c r="I6" i="30"/>
  <c r="F28" i="11"/>
  <c r="F9" i="11" s="1"/>
  <c r="F30" i="11"/>
  <c r="F31" i="11"/>
  <c r="F32" i="11"/>
  <c r="F29" i="11"/>
  <c r="H10" i="30"/>
  <c r="H31" i="30"/>
  <c r="AL44" i="7"/>
  <c r="M8" i="51"/>
  <c r="O18" i="19"/>
  <c r="E12" i="11"/>
  <c r="AH70" i="7" l="1"/>
  <c r="AH71" i="7" s="1"/>
  <c r="H82" i="7"/>
  <c r="H83" i="7" s="1"/>
  <c r="K8" i="51"/>
  <c r="S8" i="51" s="1"/>
  <c r="S17" i="51" s="1"/>
  <c r="U8" i="51"/>
  <c r="U17" i="51" s="1"/>
  <c r="M17" i="51"/>
  <c r="L17" i="51"/>
  <c r="T8" i="51"/>
  <c r="T17" i="51" s="1"/>
  <c r="N17" i="51"/>
  <c r="V8" i="51"/>
  <c r="V17" i="51" s="1"/>
  <c r="I50" i="28"/>
  <c r="I51" i="28" s="1"/>
  <c r="P20" i="19"/>
  <c r="J57" i="7"/>
  <c r="J58" i="7" s="1"/>
  <c r="P21" i="19"/>
  <c r="I16" i="30"/>
  <c r="I36" i="30"/>
  <c r="I41" i="30" s="1"/>
  <c r="F10" i="11"/>
  <c r="E41" i="11"/>
  <c r="E45" i="11" s="1"/>
  <c r="E39" i="11"/>
  <c r="E40" i="11" s="1"/>
  <c r="E8" i="11"/>
  <c r="I17" i="30"/>
  <c r="F26" i="11"/>
  <c r="F25" i="11"/>
  <c r="F6" i="11" s="1"/>
  <c r="F27" i="11"/>
  <c r="E58" i="11"/>
  <c r="E57" i="11"/>
  <c r="E59" i="11"/>
  <c r="F12" i="11"/>
  <c r="E7" i="11"/>
  <c r="P79" i="19"/>
  <c r="P24" i="19"/>
  <c r="P35" i="19" s="1"/>
  <c r="F34" i="11"/>
  <c r="F33" i="11"/>
  <c r="F35" i="11"/>
  <c r="F13" i="11"/>
  <c r="F11" i="11"/>
  <c r="F42" i="11"/>
  <c r="P22" i="19"/>
  <c r="F18" i="11"/>
  <c r="F44" i="11"/>
  <c r="I31" i="30"/>
  <c r="I10" i="30"/>
  <c r="M57" i="7"/>
  <c r="M58" i="7" s="1"/>
  <c r="K57" i="7"/>
  <c r="K58" i="7" s="1"/>
  <c r="H35" i="30"/>
  <c r="L57" i="7"/>
  <c r="L58" i="7" s="1"/>
  <c r="P19" i="19"/>
  <c r="E53" i="11"/>
  <c r="E55" i="11"/>
  <c r="E56" i="11"/>
  <c r="E54" i="11"/>
  <c r="E52" i="11"/>
  <c r="K17" i="51" l="1"/>
  <c r="K18" i="51" s="1"/>
  <c r="S18" i="51"/>
  <c r="V18" i="51"/>
  <c r="T18" i="51"/>
  <c r="U18" i="51"/>
  <c r="N18" i="51"/>
  <c r="L18" i="51"/>
  <c r="M18" i="51"/>
  <c r="E20" i="11"/>
  <c r="P18" i="19"/>
  <c r="F54" i="11"/>
  <c r="F55" i="11"/>
  <c r="F52" i="11"/>
  <c r="F53" i="11"/>
  <c r="F56" i="11"/>
  <c r="F16" i="11"/>
  <c r="F8" i="11"/>
  <c r="F14" i="11"/>
  <c r="F43" i="11"/>
  <c r="F39" i="11"/>
  <c r="F40" i="11" s="1"/>
  <c r="F41" i="11"/>
  <c r="F15" i="11"/>
  <c r="F7" i="11"/>
  <c r="I35" i="30"/>
  <c r="E49" i="11"/>
  <c r="E51" i="11"/>
  <c r="E50" i="11"/>
  <c r="I42" i="30"/>
  <c r="I44" i="30" s="1"/>
  <c r="I19" i="30"/>
  <c r="F20" i="11" l="1"/>
  <c r="F57" i="11"/>
  <c r="F59" i="11"/>
  <c r="F58" i="11"/>
  <c r="F49" i="11"/>
  <c r="F51" i="11"/>
  <c r="F50" i="11"/>
  <c r="F45" i="11"/>
  <c r="E63" i="11"/>
  <c r="L39" i="28" l="1"/>
  <c r="N39" i="28"/>
  <c r="J39" i="28" l="1"/>
  <c r="M39" i="28"/>
  <c r="M38" i="30"/>
  <c r="L38" i="30"/>
  <c r="N38" i="30"/>
  <c r="K38" i="30"/>
  <c r="J38" i="30"/>
  <c r="K39" i="28"/>
  <c r="O13" i="28" l="1"/>
  <c r="O39" i="28"/>
  <c r="O20" i="8" l="1"/>
  <c r="O46" i="19"/>
  <c r="P20" i="8"/>
  <c r="P46" i="19"/>
  <c r="P15" i="19" l="1"/>
  <c r="P16" i="19" s="1"/>
  <c r="P40" i="19"/>
  <c r="P29" i="19"/>
  <c r="P43" i="19"/>
  <c r="P76" i="19" s="1"/>
  <c r="P32" i="19"/>
  <c r="O45" i="19"/>
  <c r="P41" i="19"/>
  <c r="P74" i="19" s="1"/>
  <c r="P30" i="19"/>
  <c r="I59" i="7"/>
  <c r="Z2" i="2"/>
  <c r="P45" i="19"/>
  <c r="O47" i="19"/>
  <c r="P42" i="19"/>
  <c r="P75" i="19" s="1"/>
  <c r="P31" i="19"/>
  <c r="P44" i="19"/>
  <c r="P77" i="19" s="1"/>
  <c r="P33" i="19"/>
  <c r="J59" i="7"/>
  <c r="AA2" i="2"/>
  <c r="O40" i="19"/>
  <c r="O15" i="19"/>
  <c r="O16" i="19" s="1"/>
  <c r="O29" i="19"/>
  <c r="P47" i="19"/>
  <c r="O42" i="19"/>
  <c r="O75" i="19" s="1"/>
  <c r="O31" i="19"/>
  <c r="O41" i="19"/>
  <c r="O74" i="19" s="1"/>
  <c r="O30" i="19"/>
  <c r="O44" i="19"/>
  <c r="O77" i="19" s="1"/>
  <c r="O33" i="19"/>
  <c r="O43" i="19"/>
  <c r="O76" i="19" s="1"/>
  <c r="O32" i="19"/>
  <c r="R20" i="8"/>
  <c r="Q20" i="8"/>
  <c r="I69" i="7" l="1"/>
  <c r="AI69" i="7" s="1"/>
  <c r="I63" i="7"/>
  <c r="AI63" i="7" s="1"/>
  <c r="I65" i="7"/>
  <c r="AI65" i="7" s="1"/>
  <c r="I66" i="7"/>
  <c r="AI66" i="7" s="1"/>
  <c r="I64" i="7"/>
  <c r="AI64" i="7" s="1"/>
  <c r="I67" i="7"/>
  <c r="AI67" i="7" s="1"/>
  <c r="I68" i="7"/>
  <c r="AI68" i="7" s="1"/>
  <c r="O48" i="19"/>
  <c r="O73" i="19"/>
  <c r="L59" i="7"/>
  <c r="AC2" i="2"/>
  <c r="J66" i="7"/>
  <c r="J63" i="7"/>
  <c r="J68" i="7"/>
  <c r="J69" i="7"/>
  <c r="J65" i="7"/>
  <c r="J64" i="7"/>
  <c r="J67" i="7"/>
  <c r="J62" i="7"/>
  <c r="AJ62" i="7" s="1"/>
  <c r="P48" i="19"/>
  <c r="P73" i="19"/>
  <c r="K59" i="7"/>
  <c r="AB2" i="2"/>
  <c r="J76" i="7" l="1"/>
  <c r="AJ64" i="7"/>
  <c r="J81" i="7"/>
  <c r="P17" i="8" s="1"/>
  <c r="AJ69" i="7"/>
  <c r="J80" i="7"/>
  <c r="P16" i="8" s="1"/>
  <c r="AJ68" i="7"/>
  <c r="J75" i="7"/>
  <c r="P11" i="8" s="1"/>
  <c r="AJ63" i="7"/>
  <c r="J77" i="7"/>
  <c r="P13" i="8" s="1"/>
  <c r="AJ65" i="7"/>
  <c r="J78" i="7"/>
  <c r="P14" i="8" s="1"/>
  <c r="AJ66" i="7"/>
  <c r="J79" i="7"/>
  <c r="AJ67" i="7"/>
  <c r="I81" i="7"/>
  <c r="O17" i="8" s="1"/>
  <c r="I75" i="7"/>
  <c r="O11" i="8" s="1"/>
  <c r="I80" i="7"/>
  <c r="O16" i="8" s="1"/>
  <c r="I79" i="7"/>
  <c r="O15" i="8" s="1"/>
  <c r="I76" i="7"/>
  <c r="O12" i="8" s="1"/>
  <c r="I78" i="7"/>
  <c r="I77" i="7"/>
  <c r="O13" i="8" s="1"/>
  <c r="P15" i="8"/>
  <c r="P12" i="8"/>
  <c r="L66" i="7"/>
  <c r="L68" i="7"/>
  <c r="L63" i="7"/>
  <c r="L65" i="7"/>
  <c r="L69" i="7"/>
  <c r="L64" i="7"/>
  <c r="L67" i="7"/>
  <c r="L62" i="7"/>
  <c r="AL62" i="7" s="1"/>
  <c r="K63" i="7"/>
  <c r="K64" i="7"/>
  <c r="K66" i="7"/>
  <c r="K67" i="7"/>
  <c r="K68" i="7"/>
  <c r="K65" i="7"/>
  <c r="K69" i="7"/>
  <c r="K62" i="7"/>
  <c r="AK62" i="7" s="1"/>
  <c r="J70" i="7"/>
  <c r="J71" i="7" s="1"/>
  <c r="J74" i="7"/>
  <c r="S20" i="8"/>
  <c r="AJ70" i="7" l="1"/>
  <c r="AJ71" i="7" s="1"/>
  <c r="K78" i="7"/>
  <c r="Q14" i="8" s="1"/>
  <c r="AK66" i="7"/>
  <c r="K76" i="7"/>
  <c r="Q12" i="8" s="1"/>
  <c r="AK64" i="7"/>
  <c r="K75" i="7"/>
  <c r="Q11" i="8" s="1"/>
  <c r="AK63" i="7"/>
  <c r="L79" i="7"/>
  <c r="R15" i="8" s="1"/>
  <c r="AL67" i="7"/>
  <c r="L76" i="7"/>
  <c r="R12" i="8" s="1"/>
  <c r="AL64" i="7"/>
  <c r="K81" i="7"/>
  <c r="Q17" i="8" s="1"/>
  <c r="AK69" i="7"/>
  <c r="L77" i="7"/>
  <c r="R13" i="8" s="1"/>
  <c r="AL65" i="7"/>
  <c r="L81" i="7"/>
  <c r="R17" i="8" s="1"/>
  <c r="AL69" i="7"/>
  <c r="K77" i="7"/>
  <c r="Q13" i="8" s="1"/>
  <c r="AK65" i="7"/>
  <c r="L75" i="7"/>
  <c r="R11" i="8" s="1"/>
  <c r="AL63" i="7"/>
  <c r="K80" i="7"/>
  <c r="Q16" i="8" s="1"/>
  <c r="AK68" i="7"/>
  <c r="L80" i="7"/>
  <c r="R16" i="8" s="1"/>
  <c r="AL68" i="7"/>
  <c r="K79" i="7"/>
  <c r="Q15" i="8" s="1"/>
  <c r="AK67" i="7"/>
  <c r="L78" i="7"/>
  <c r="R14" i="8" s="1"/>
  <c r="AL66" i="7"/>
  <c r="O14" i="8"/>
  <c r="P10" i="8"/>
  <c r="J82" i="7"/>
  <c r="J83" i="7" s="1"/>
  <c r="M59" i="7"/>
  <c r="AD2" i="2"/>
  <c r="K70" i="7"/>
  <c r="K71" i="7" s="1"/>
  <c r="K74" i="7"/>
  <c r="L70" i="7"/>
  <c r="L71" i="7" s="1"/>
  <c r="L74" i="7"/>
  <c r="AK70" i="7" l="1"/>
  <c r="AK71" i="7" s="1"/>
  <c r="AL70" i="7"/>
  <c r="AL71" i="7" s="1"/>
  <c r="M67" i="7"/>
  <c r="AM67" i="7" s="1"/>
  <c r="M66" i="7"/>
  <c r="AM66" i="7" s="1"/>
  <c r="M64" i="7"/>
  <c r="AM64" i="7" s="1"/>
  <c r="M69" i="7"/>
  <c r="AM69" i="7" s="1"/>
  <c r="M65" i="7"/>
  <c r="AM65" i="7" s="1"/>
  <c r="M68" i="7"/>
  <c r="AM68" i="7" s="1"/>
  <c r="M63" i="7"/>
  <c r="AM63" i="7" s="1"/>
  <c r="M62" i="7"/>
  <c r="P18" i="8"/>
  <c r="P32" i="8" s="1"/>
  <c r="R10" i="8"/>
  <c r="L82" i="7"/>
  <c r="L83" i="7" s="1"/>
  <c r="K82" i="7"/>
  <c r="K83" i="7" s="1"/>
  <c r="Q10" i="8"/>
  <c r="P19" i="8" l="1"/>
  <c r="AM62" i="7"/>
  <c r="AM70" i="7" s="1"/>
  <c r="M75" i="7"/>
  <c r="N63" i="7"/>
  <c r="M80" i="7"/>
  <c r="N68" i="7"/>
  <c r="M81" i="7"/>
  <c r="N69" i="7"/>
  <c r="M76" i="7"/>
  <c r="N64" i="7"/>
  <c r="M78" i="7"/>
  <c r="N66" i="7"/>
  <c r="M77" i="7"/>
  <c r="N65" i="7"/>
  <c r="M79" i="7"/>
  <c r="N67" i="7"/>
  <c r="AN66" i="7"/>
  <c r="M70" i="7"/>
  <c r="M71" i="7" s="1"/>
  <c r="M74" i="7"/>
  <c r="AN68" i="7"/>
  <c r="AN64" i="7"/>
  <c r="R18" i="8"/>
  <c r="R32" i="8" s="1"/>
  <c r="AN63" i="7"/>
  <c r="AN69" i="7"/>
  <c r="AN65" i="7"/>
  <c r="Q18" i="8"/>
  <c r="Q32" i="8" s="1"/>
  <c r="AN67" i="7"/>
  <c r="R19" i="8" l="1"/>
  <c r="Q19" i="8"/>
  <c r="AM71" i="7"/>
  <c r="S13" i="8"/>
  <c r="N77" i="7"/>
  <c r="S14" i="8"/>
  <c r="N78" i="7"/>
  <c r="S12" i="8"/>
  <c r="N76" i="7"/>
  <c r="S17" i="8"/>
  <c r="N81" i="7"/>
  <c r="S16" i="8"/>
  <c r="N80" i="7"/>
  <c r="S15" i="8"/>
  <c r="N79" i="7"/>
  <c r="S11" i="8"/>
  <c r="N75" i="7"/>
  <c r="S10" i="8"/>
  <c r="M82" i="7"/>
  <c r="M83" i="7" s="1"/>
  <c r="S18" i="8" l="1"/>
  <c r="S32" i="8" s="1"/>
  <c r="S19" i="8" l="1"/>
  <c r="C80" i="7" l="1"/>
  <c r="C75" i="7"/>
  <c r="C77" i="7"/>
  <c r="C81" i="7"/>
  <c r="C70" i="7"/>
  <c r="C76" i="7"/>
  <c r="C79" i="7"/>
  <c r="C78" i="7"/>
  <c r="E75" i="7"/>
  <c r="E77" i="7"/>
  <c r="E80" i="7"/>
  <c r="E78" i="7"/>
  <c r="E76" i="7"/>
  <c r="E79" i="7"/>
  <c r="AE70" i="7"/>
  <c r="AD70" i="7"/>
  <c r="AC70" i="7"/>
  <c r="C74" i="7"/>
  <c r="E81" i="7"/>
  <c r="D81" i="7"/>
  <c r="D80" i="7"/>
  <c r="D77" i="7"/>
  <c r="D75" i="7"/>
  <c r="D76" i="7"/>
  <c r="D79" i="7"/>
  <c r="D78" i="7"/>
  <c r="D74" i="7"/>
  <c r="D70" i="7"/>
  <c r="E46" i="1" s="1"/>
  <c r="F81" i="7"/>
  <c r="F78" i="7"/>
  <c r="F79" i="7"/>
  <c r="F76" i="7"/>
  <c r="F80" i="7"/>
  <c r="F77" i="7"/>
  <c r="AF70" i="7"/>
  <c r="F70" i="7"/>
  <c r="E74" i="7"/>
  <c r="E70" i="7"/>
  <c r="F74" i="7"/>
  <c r="AC71" i="7" l="1"/>
  <c r="AD71" i="7"/>
  <c r="AE71" i="7"/>
  <c r="AF71" i="7"/>
  <c r="D82" i="7"/>
  <c r="AE83" i="7"/>
  <c r="AD83" i="7"/>
  <c r="AF83" i="7"/>
  <c r="AC83" i="7"/>
  <c r="AR110" i="2"/>
  <c r="C82" i="7"/>
  <c r="E82" i="7"/>
  <c r="F46" i="1"/>
  <c r="E71" i="7"/>
  <c r="D46" i="1"/>
  <c r="I20" i="8" s="1"/>
  <c r="C71" i="7"/>
  <c r="J20" i="8"/>
  <c r="D59" i="7"/>
  <c r="G46" i="1"/>
  <c r="F71" i="7"/>
  <c r="D71" i="7"/>
  <c r="F75" i="7"/>
  <c r="F82" i="7" s="1"/>
  <c r="F83" i="7" l="1"/>
  <c r="L32" i="8"/>
  <c r="D83" i="7"/>
  <c r="J32" i="8"/>
  <c r="C83" i="7"/>
  <c r="I32" i="8"/>
  <c r="E83" i="7"/>
  <c r="K32" i="8"/>
  <c r="W2" i="2"/>
  <c r="W3" i="2" s="1"/>
  <c r="L20" i="8"/>
  <c r="F59" i="7"/>
  <c r="C59" i="7"/>
  <c r="K20" i="8"/>
  <c r="E59" i="7"/>
  <c r="AR42" i="2" l="1"/>
  <c r="AR23" i="2"/>
  <c r="I44" i="7"/>
  <c r="AI44" i="7" l="1"/>
  <c r="AN44" i="7"/>
  <c r="I62" i="7" l="1"/>
  <c r="I74" i="7" s="1"/>
  <c r="I57" i="7"/>
  <c r="I58" i="7" s="1"/>
  <c r="N49" i="7"/>
  <c r="J8" i="51"/>
  <c r="O10" i="8" l="1"/>
  <c r="O18" i="8" s="1"/>
  <c r="N74" i="7"/>
  <c r="N82" i="7" s="1"/>
  <c r="I82" i="7"/>
  <c r="J17" i="51"/>
  <c r="J18" i="51" s="1"/>
  <c r="R8" i="51"/>
  <c r="R17" i="51" s="1"/>
  <c r="N57" i="7"/>
  <c r="N62" i="7"/>
  <c r="N70" i="7" s="1"/>
  <c r="I70" i="7"/>
  <c r="I71" i="7" s="1"/>
  <c r="AI62" i="7"/>
  <c r="O32" i="8" l="1"/>
  <c r="R18" i="51"/>
  <c r="I83" i="7"/>
  <c r="AI70" i="7"/>
  <c r="AI71" i="7" s="1"/>
  <c r="AN62" i="7"/>
  <c r="AN70" i="7" s="1"/>
  <c r="AN71" i="7" s="1"/>
  <c r="N83" i="7"/>
  <c r="O19" i="8"/>
  <c r="P17" i="51" l="1"/>
  <c r="P18" i="51" s="1"/>
  <c r="H20" i="30" l="1"/>
  <c r="H45" i="30" s="1"/>
  <c r="O23" i="19"/>
  <c r="O34" i="19" s="1"/>
  <c r="O78" i="19" l="1"/>
  <c r="Q13" i="51"/>
  <c r="Q17" i="51" s="1"/>
  <c r="I20" i="30" l="1"/>
  <c r="Q18" i="51"/>
  <c r="P23" i="19"/>
  <c r="P78" i="19"/>
  <c r="I45" i="30" l="1"/>
  <c r="F61" i="11" s="1"/>
  <c r="P34" i="19"/>
  <c r="K11" i="28" l="1"/>
  <c r="M8" i="28"/>
  <c r="M34" i="28" s="1"/>
  <c r="M14" i="28"/>
  <c r="M40" i="28" s="1"/>
  <c r="N12" i="28"/>
  <c r="N38" i="28" s="1"/>
  <c r="J18" i="28"/>
  <c r="N22" i="28"/>
  <c r="N48" i="28" s="1"/>
  <c r="N9" i="28"/>
  <c r="N35" i="28" s="1"/>
  <c r="J8" i="28"/>
  <c r="N14" i="28"/>
  <c r="N40" i="28" s="1"/>
  <c r="M22" i="30"/>
  <c r="M47" i="30" s="1"/>
  <c r="J12" i="28"/>
  <c r="M6" i="28"/>
  <c r="M7" i="28"/>
  <c r="M33" i="28" s="1"/>
  <c r="L17" i="28"/>
  <c r="M28" i="28"/>
  <c r="M15" i="28"/>
  <c r="M41" i="28" s="1"/>
  <c r="K15" i="28"/>
  <c r="K41" i="28" s="1"/>
  <c r="L14" i="30"/>
  <c r="L39" i="30" s="1"/>
  <c r="J14" i="28"/>
  <c r="N22" i="30"/>
  <c r="N47" i="30" s="1"/>
  <c r="M9" i="28"/>
  <c r="M35" i="28" s="1"/>
  <c r="N8" i="28"/>
  <c r="N34" i="28" s="1"/>
  <c r="K6" i="28"/>
  <c r="J15" i="28"/>
  <c r="K22" i="28"/>
  <c r="K48" i="28" s="1"/>
  <c r="K12" i="28"/>
  <c r="K38" i="28" s="1"/>
  <c r="J11" i="28"/>
  <c r="L9" i="28"/>
  <c r="L35" i="28" s="1"/>
  <c r="M12" i="28"/>
  <c r="M38" i="28" s="1"/>
  <c r="L18" i="28"/>
  <c r="L44" i="28" s="1"/>
  <c r="M14" i="30"/>
  <c r="M39" i="30" s="1"/>
  <c r="K22" i="30"/>
  <c r="K47" i="30" s="1"/>
  <c r="K20" i="28"/>
  <c r="M11" i="28"/>
  <c r="J22" i="30"/>
  <c r="J47" i="30" s="1"/>
  <c r="N15" i="28"/>
  <c r="N41" i="28" s="1"/>
  <c r="L15" i="28"/>
  <c r="L41" i="28" s="1"/>
  <c r="L12" i="28"/>
  <c r="L38" i="28" s="1"/>
  <c r="N18" i="28"/>
  <c r="N44" i="28" s="1"/>
  <c r="N20" i="28"/>
  <c r="L8" i="28"/>
  <c r="L34" i="28" s="1"/>
  <c r="L22" i="28"/>
  <c r="L48" i="28" s="1"/>
  <c r="J7" i="28"/>
  <c r="N21" i="30"/>
  <c r="N46" i="30" s="1"/>
  <c r="K62" i="11" s="1"/>
  <c r="K28" i="28"/>
  <c r="K17" i="28"/>
  <c r="M21" i="28"/>
  <c r="M47" i="28" s="1"/>
  <c r="J38" i="11" s="1"/>
  <c r="J19" i="11" s="1"/>
  <c r="L28" i="28"/>
  <c r="L22" i="30"/>
  <c r="L47" i="30" s="1"/>
  <c r="K18" i="28"/>
  <c r="K44" i="28" s="1"/>
  <c r="M20" i="28"/>
  <c r="J21" i="28"/>
  <c r="N6" i="28"/>
  <c r="J20" i="28"/>
  <c r="K14" i="28"/>
  <c r="K40" i="28" s="1"/>
  <c r="J22" i="28"/>
  <c r="L21" i="28"/>
  <c r="L47" i="28" s="1"/>
  <c r="I38" i="11" s="1"/>
  <c r="I19" i="11" s="1"/>
  <c r="M17" i="28"/>
  <c r="L21" i="30"/>
  <c r="L46" i="30" s="1"/>
  <c r="I62" i="11" s="1"/>
  <c r="K21" i="28"/>
  <c r="K47" i="28" s="1"/>
  <c r="H38" i="11" s="1"/>
  <c r="H19" i="11" s="1"/>
  <c r="J6" i="28"/>
  <c r="M22" i="28"/>
  <c r="M48" i="28" s="1"/>
  <c r="J9" i="28"/>
  <c r="J14" i="30"/>
  <c r="J39" i="30" s="1"/>
  <c r="K21" i="30"/>
  <c r="K46" i="30" s="1"/>
  <c r="H62" i="11" s="1"/>
  <c r="M18" i="28"/>
  <c r="M44" i="28" s="1"/>
  <c r="N14" i="30"/>
  <c r="N39" i="30" s="1"/>
  <c r="J28" i="28"/>
  <c r="L11" i="28"/>
  <c r="N11" i="28"/>
  <c r="K8" i="28"/>
  <c r="K34" i="28" s="1"/>
  <c r="N7" i="28"/>
  <c r="N33" i="28" s="1"/>
  <c r="K7" i="28"/>
  <c r="K33" i="28" s="1"/>
  <c r="N21" i="28"/>
  <c r="N47" i="28" s="1"/>
  <c r="K38" i="11" s="1"/>
  <c r="K19" i="11" s="1"/>
  <c r="J21" i="30"/>
  <c r="J46" i="30" s="1"/>
  <c r="G62" i="11" s="1"/>
  <c r="L14" i="28"/>
  <c r="L40" i="28" s="1"/>
  <c r="N28" i="28"/>
  <c r="L6" i="28"/>
  <c r="L7" i="28"/>
  <c r="L33" i="28" s="1"/>
  <c r="M21" i="30"/>
  <c r="M46" i="30" s="1"/>
  <c r="J62" i="11" s="1"/>
  <c r="L20" i="28"/>
  <c r="N17" i="28"/>
  <c r="K9" i="28"/>
  <c r="K35" i="28" s="1"/>
  <c r="J17" i="28"/>
  <c r="K14" i="30"/>
  <c r="K39" i="30" s="1"/>
  <c r="K10" i="28" l="1"/>
  <c r="K32" i="28"/>
  <c r="J38" i="28"/>
  <c r="O38" i="28" s="1"/>
  <c r="O12" i="28"/>
  <c r="J43" i="28"/>
  <c r="O17" i="28"/>
  <c r="J19" i="28"/>
  <c r="K46" i="28"/>
  <c r="K23" i="28"/>
  <c r="J34" i="28"/>
  <c r="O34" i="28" s="1"/>
  <c r="O8" i="28"/>
  <c r="N19" i="28"/>
  <c r="N43" i="28"/>
  <c r="N45" i="28" s="1"/>
  <c r="N16" i="28"/>
  <c r="N37" i="28"/>
  <c r="N42" i="28" s="1"/>
  <c r="M43" i="28"/>
  <c r="M45" i="28" s="1"/>
  <c r="M19" i="28"/>
  <c r="K43" i="28"/>
  <c r="K45" i="28" s="1"/>
  <c r="K19" i="28"/>
  <c r="M16" i="28"/>
  <c r="M37" i="28"/>
  <c r="M42" i="28" s="1"/>
  <c r="L23" i="28"/>
  <c r="L46" i="28"/>
  <c r="L37" i="28"/>
  <c r="L42" i="28" s="1"/>
  <c r="L16" i="28"/>
  <c r="J33" i="28"/>
  <c r="O33" i="28" s="1"/>
  <c r="O7" i="28"/>
  <c r="J40" i="28"/>
  <c r="O40" i="28" s="1"/>
  <c r="O14" i="28"/>
  <c r="O22" i="28"/>
  <c r="J48" i="28"/>
  <c r="O48" i="28" s="1"/>
  <c r="L10" i="28"/>
  <c r="L32" i="28"/>
  <c r="L36" i="28" s="1"/>
  <c r="O20" i="28"/>
  <c r="J46" i="28"/>
  <c r="J23" i="28"/>
  <c r="N10" i="28"/>
  <c r="N32" i="28"/>
  <c r="N36" i="28" s="1"/>
  <c r="J44" i="28"/>
  <c r="O44" i="28" s="1"/>
  <c r="O18" i="28"/>
  <c r="O21" i="28"/>
  <c r="J47" i="28"/>
  <c r="N23" i="28"/>
  <c r="N24" i="28" s="1"/>
  <c r="N25" i="28" s="1"/>
  <c r="N46" i="28"/>
  <c r="O9" i="28"/>
  <c r="J35" i="28"/>
  <c r="O35" i="28" s="1"/>
  <c r="M46" i="28"/>
  <c r="M23" i="28"/>
  <c r="J16" i="28"/>
  <c r="J37" i="28"/>
  <c r="O11" i="28"/>
  <c r="L43" i="28"/>
  <c r="L45" i="28" s="1"/>
  <c r="L19" i="28"/>
  <c r="J41" i="28"/>
  <c r="O41" i="28" s="1"/>
  <c r="O15" i="28"/>
  <c r="M10" i="28"/>
  <c r="M32" i="28"/>
  <c r="J32" i="28"/>
  <c r="J10" i="28"/>
  <c r="O6" i="28"/>
  <c r="K16" i="28"/>
  <c r="K37" i="28"/>
  <c r="K42" i="28" s="1"/>
  <c r="O16" i="28" l="1"/>
  <c r="O23" i="28"/>
  <c r="L24" i="28"/>
  <c r="L25" i="28" s="1"/>
  <c r="M24" i="28"/>
  <c r="M25" i="28" s="1"/>
  <c r="K24" i="28"/>
  <c r="K25" i="28" s="1"/>
  <c r="K37" i="11"/>
  <c r="N49" i="28"/>
  <c r="N50" i="28" s="1"/>
  <c r="N51" i="28" s="1"/>
  <c r="I26" i="11"/>
  <c r="I27" i="11"/>
  <c r="I25" i="11"/>
  <c r="J31" i="11"/>
  <c r="J28" i="11"/>
  <c r="J32" i="11"/>
  <c r="J29" i="11"/>
  <c r="J30" i="11"/>
  <c r="H28" i="11"/>
  <c r="H29" i="11"/>
  <c r="H31" i="11"/>
  <c r="H32" i="11"/>
  <c r="H30" i="11"/>
  <c r="J42" i="28"/>
  <c r="O37" i="28"/>
  <c r="O42" i="28" s="1"/>
  <c r="J24" i="28"/>
  <c r="J25" i="28" s="1"/>
  <c r="O47" i="28"/>
  <c r="G38" i="11"/>
  <c r="G19" i="11" s="1"/>
  <c r="H37" i="11"/>
  <c r="K49" i="28"/>
  <c r="M36" i="28"/>
  <c r="J34" i="11"/>
  <c r="J35" i="11"/>
  <c r="J33" i="11"/>
  <c r="K27" i="11"/>
  <c r="K25" i="11"/>
  <c r="K26" i="11"/>
  <c r="L49" i="28"/>
  <c r="L50" i="28" s="1"/>
  <c r="I37" i="11"/>
  <c r="I35" i="11"/>
  <c r="I33" i="11"/>
  <c r="I34" i="11"/>
  <c r="H34" i="11"/>
  <c r="H33" i="11"/>
  <c r="H35" i="11"/>
  <c r="O19" i="28"/>
  <c r="J45" i="28"/>
  <c r="O43" i="28"/>
  <c r="O45" i="28" s="1"/>
  <c r="O10" i="28"/>
  <c r="K31" i="11"/>
  <c r="K30" i="11"/>
  <c r="K32" i="11"/>
  <c r="K28" i="11"/>
  <c r="K29" i="11"/>
  <c r="O32" i="28"/>
  <c r="O36" i="28" s="1"/>
  <c r="J36" i="28"/>
  <c r="J37" i="11"/>
  <c r="M49" i="28"/>
  <c r="K35" i="11"/>
  <c r="K33" i="11"/>
  <c r="K34" i="11"/>
  <c r="K36" i="28"/>
  <c r="K50" i="28" s="1"/>
  <c r="J49" i="28"/>
  <c r="O46" i="28"/>
  <c r="O49" i="28" s="1"/>
  <c r="G37" i="11"/>
  <c r="I31" i="11"/>
  <c r="I28" i="11"/>
  <c r="I29" i="11"/>
  <c r="I30" i="11"/>
  <c r="I32" i="11"/>
  <c r="L51" i="28" l="1"/>
  <c r="O24" i="28"/>
  <c r="K51" i="28"/>
  <c r="M50" i="28"/>
  <c r="M51" i="28" s="1"/>
  <c r="I11" i="11"/>
  <c r="K39" i="11"/>
  <c r="K40" i="11" s="1"/>
  <c r="K6" i="11"/>
  <c r="K41" i="11"/>
  <c r="G31" i="11"/>
  <c r="G30" i="11"/>
  <c r="G32" i="11"/>
  <c r="G28" i="11"/>
  <c r="G29" i="11"/>
  <c r="J50" i="28"/>
  <c r="J51" i="28" s="1"/>
  <c r="J14" i="11"/>
  <c r="J43" i="11"/>
  <c r="I12" i="11"/>
  <c r="J27" i="11"/>
  <c r="J25" i="11"/>
  <c r="J26" i="11"/>
  <c r="K13" i="11"/>
  <c r="I14" i="11"/>
  <c r="I43" i="11"/>
  <c r="J11" i="11"/>
  <c r="K7" i="11"/>
  <c r="K8" i="11"/>
  <c r="I9" i="11"/>
  <c r="I42" i="11"/>
  <c r="H11" i="11"/>
  <c r="K10" i="11"/>
  <c r="H10" i="11"/>
  <c r="H42" i="11"/>
  <c r="H9" i="11"/>
  <c r="H25" i="11"/>
  <c r="H27" i="11"/>
  <c r="H26" i="11"/>
  <c r="K11" i="11"/>
  <c r="I16" i="11"/>
  <c r="H44" i="11"/>
  <c r="H18" i="11"/>
  <c r="J10" i="11"/>
  <c r="I10" i="11"/>
  <c r="I8" i="11"/>
  <c r="I7" i="11"/>
  <c r="H15" i="11"/>
  <c r="I15" i="11"/>
  <c r="K15" i="11"/>
  <c r="K12" i="11"/>
  <c r="I44" i="11"/>
  <c r="I18" i="11"/>
  <c r="J13" i="11"/>
  <c r="G35" i="11"/>
  <c r="G34" i="11"/>
  <c r="G33" i="11"/>
  <c r="O50" i="28"/>
  <c r="O51" i="28" s="1"/>
  <c r="K42" i="11"/>
  <c r="K9" i="11"/>
  <c r="K14" i="11"/>
  <c r="K43" i="11"/>
  <c r="J9" i="11"/>
  <c r="J42" i="11"/>
  <c r="J12" i="11"/>
  <c r="I39" i="11"/>
  <c r="I40" i="11" s="1"/>
  <c r="I41" i="11"/>
  <c r="I6" i="11"/>
  <c r="K16" i="11"/>
  <c r="I13" i="11"/>
  <c r="J44" i="11"/>
  <c r="J18" i="11"/>
  <c r="G26" i="11"/>
  <c r="G25" i="11"/>
  <c r="G27" i="11"/>
  <c r="H16" i="11"/>
  <c r="J16" i="11"/>
  <c r="H13" i="11"/>
  <c r="G18" i="11"/>
  <c r="G44" i="11"/>
  <c r="H43" i="11"/>
  <c r="H14" i="11"/>
  <c r="J15" i="11"/>
  <c r="H12" i="11"/>
  <c r="K44" i="11"/>
  <c r="K18" i="11"/>
  <c r="G10" i="11" l="1"/>
  <c r="H7" i="11"/>
  <c r="G42" i="11"/>
  <c r="G9" i="11"/>
  <c r="H8" i="11"/>
  <c r="G13" i="11"/>
  <c r="H6" i="11"/>
  <c r="H39" i="11"/>
  <c r="H40" i="11" s="1"/>
  <c r="H41" i="11"/>
  <c r="H45" i="11" s="1"/>
  <c r="J7" i="11"/>
  <c r="G11" i="11"/>
  <c r="J41" i="11"/>
  <c r="J45" i="11" s="1"/>
  <c r="J6" i="11"/>
  <c r="J39" i="11"/>
  <c r="J40" i="11" s="1"/>
  <c r="G12" i="11"/>
  <c r="I20" i="11"/>
  <c r="J8" i="11"/>
  <c r="I45" i="11"/>
  <c r="K45" i="11"/>
  <c r="G8" i="11"/>
  <c r="K20" i="11"/>
  <c r="G39" i="11"/>
  <c r="G40" i="11" s="1"/>
  <c r="G41" i="11"/>
  <c r="G6" i="11"/>
  <c r="G43" i="11"/>
  <c r="G14" i="11"/>
  <c r="G7" i="11"/>
  <c r="G15" i="11"/>
  <c r="G16" i="11"/>
  <c r="H20" i="11" l="1"/>
  <c r="J20" i="11"/>
  <c r="G20" i="11"/>
  <c r="G45" i="11"/>
  <c r="N15" i="30" l="1"/>
  <c r="N40" i="30" s="1"/>
  <c r="K15" i="30"/>
  <c r="K40" i="30" s="1"/>
  <c r="L15" i="30"/>
  <c r="L40" i="30" s="1"/>
  <c r="J15" i="30"/>
  <c r="J40" i="30" s="1"/>
  <c r="M15" i="30"/>
  <c r="M40" i="30" s="1"/>
  <c r="J6" i="30"/>
  <c r="K8" i="30"/>
  <c r="K33" i="30" s="1"/>
  <c r="L6" i="30"/>
  <c r="M6" i="30"/>
  <c r="N6" i="30"/>
  <c r="K6" i="30"/>
  <c r="M8" i="30"/>
  <c r="M33" i="30" s="1"/>
  <c r="L8" i="30"/>
  <c r="L33" i="30" s="1"/>
  <c r="N8" i="30"/>
  <c r="N33" i="30" s="1"/>
  <c r="J8" i="30"/>
  <c r="J33" i="30" s="1"/>
  <c r="M31" i="30" l="1"/>
  <c r="M10" i="30"/>
  <c r="K7" i="30"/>
  <c r="K32" i="30" s="1"/>
  <c r="K12" i="30"/>
  <c r="K37" i="30" s="1"/>
  <c r="M18" i="30"/>
  <c r="M43" i="30" s="1"/>
  <c r="M9" i="30"/>
  <c r="M34" i="30" s="1"/>
  <c r="N31" i="30"/>
  <c r="K18" i="30"/>
  <c r="K43" i="30" s="1"/>
  <c r="K9" i="30"/>
  <c r="K34" i="30" s="1"/>
  <c r="L18" i="30"/>
  <c r="L43" i="30" s="1"/>
  <c r="L9" i="30"/>
  <c r="L34" i="30" s="1"/>
  <c r="M7" i="30"/>
  <c r="M32" i="30" s="1"/>
  <c r="M12" i="30"/>
  <c r="M37" i="30" s="1"/>
  <c r="J12" i="30"/>
  <c r="J37" i="30" s="1"/>
  <c r="J7" i="30"/>
  <c r="J32" i="30" s="1"/>
  <c r="K31" i="30"/>
  <c r="J31" i="30"/>
  <c r="N18" i="30"/>
  <c r="N43" i="30" s="1"/>
  <c r="N9" i="30"/>
  <c r="N34" i="30" s="1"/>
  <c r="L12" i="30"/>
  <c r="L37" i="30" s="1"/>
  <c r="L7" i="30"/>
  <c r="L32" i="30" s="1"/>
  <c r="J18" i="30"/>
  <c r="J43" i="30" s="1"/>
  <c r="J9" i="30"/>
  <c r="J34" i="30" s="1"/>
  <c r="L31" i="30"/>
  <c r="N7" i="30"/>
  <c r="N32" i="30" s="1"/>
  <c r="N12" i="30"/>
  <c r="N37" i="30" s="1"/>
  <c r="M20" i="30"/>
  <c r="L20" i="30"/>
  <c r="N20" i="30"/>
  <c r="K20" i="30"/>
  <c r="J20" i="30"/>
  <c r="K10" i="30" l="1"/>
  <c r="J23" i="30"/>
  <c r="J45" i="30"/>
  <c r="J17" i="30"/>
  <c r="M45" i="30"/>
  <c r="M23" i="30"/>
  <c r="J10" i="30"/>
  <c r="N10" i="30"/>
  <c r="K23" i="30"/>
  <c r="K45" i="30"/>
  <c r="N45" i="30"/>
  <c r="N23" i="30"/>
  <c r="J35" i="30"/>
  <c r="N35" i="30"/>
  <c r="K35" i="30"/>
  <c r="L10" i="30"/>
  <c r="L35" i="30"/>
  <c r="L23" i="30"/>
  <c r="L45" i="30"/>
  <c r="M35" i="30"/>
  <c r="L17" i="30" l="1"/>
  <c r="K61" i="11"/>
  <c r="N48" i="30"/>
  <c r="K48" i="30"/>
  <c r="H61" i="11"/>
  <c r="K50" i="11"/>
  <c r="K51" i="11"/>
  <c r="K49" i="11"/>
  <c r="M17" i="30"/>
  <c r="I51" i="11"/>
  <c r="I49" i="11"/>
  <c r="I50" i="11"/>
  <c r="I61" i="11"/>
  <c r="L48" i="30"/>
  <c r="N17" i="30"/>
  <c r="K17" i="30"/>
  <c r="H50" i="11"/>
  <c r="H51" i="11"/>
  <c r="H49" i="11"/>
  <c r="J61" i="11"/>
  <c r="M48" i="30"/>
  <c r="J19" i="30"/>
  <c r="J42" i="30"/>
  <c r="J44" i="30" s="1"/>
  <c r="G49" i="11"/>
  <c r="G51" i="11"/>
  <c r="G50" i="11"/>
  <c r="G61" i="11"/>
  <c r="J48" i="30"/>
  <c r="J49" i="11"/>
  <c r="J50" i="11"/>
  <c r="J51" i="11"/>
  <c r="M19" i="30" l="1"/>
  <c r="M42" i="30"/>
  <c r="M44" i="30" s="1"/>
  <c r="N42" i="30"/>
  <c r="N44" i="30" s="1"/>
  <c r="N19" i="30"/>
  <c r="K19" i="30"/>
  <c r="K42" i="30"/>
  <c r="K44" i="30" s="1"/>
  <c r="G57" i="11"/>
  <c r="G59" i="11"/>
  <c r="G58" i="11"/>
  <c r="L42" i="30"/>
  <c r="L44" i="30" s="1"/>
  <c r="L19" i="30"/>
  <c r="H59" i="11" l="1"/>
  <c r="H58" i="11"/>
  <c r="H57" i="11"/>
  <c r="K58" i="11"/>
  <c r="K59" i="11"/>
  <c r="K57" i="11"/>
  <c r="I59" i="11"/>
  <c r="I57" i="11"/>
  <c r="I58" i="11"/>
  <c r="J57" i="11"/>
  <c r="J59" i="11"/>
  <c r="J58" i="11"/>
  <c r="L34" i="49" l="1"/>
  <c r="L35" i="49" s="1"/>
  <c r="G65" i="11" s="1"/>
  <c r="O34" i="49"/>
  <c r="O35" i="49" s="1"/>
  <c r="J65" i="11" s="1"/>
  <c r="M34" i="49"/>
  <c r="M35" i="49" s="1"/>
  <c r="H65" i="11" s="1"/>
  <c r="N34" i="49"/>
  <c r="N35" i="49" s="1"/>
  <c r="I65" i="11" s="1"/>
  <c r="P34" i="49"/>
  <c r="P35" i="49" s="1"/>
  <c r="K65" i="11" s="1"/>
  <c r="J34" i="49"/>
  <c r="J35" i="49" s="1"/>
  <c r="E65" i="11" s="1"/>
  <c r="K81" i="11" l="1"/>
  <c r="K72" i="11"/>
  <c r="K69" i="11"/>
  <c r="K73" i="11"/>
  <c r="K68" i="11"/>
  <c r="K77" i="11"/>
  <c r="K78" i="11"/>
  <c r="K76" i="11"/>
  <c r="K71" i="11"/>
  <c r="K75" i="11"/>
  <c r="K70" i="11"/>
  <c r="K74" i="11"/>
  <c r="H81" i="11"/>
  <c r="H77" i="11"/>
  <c r="H76" i="11"/>
  <c r="H72" i="11"/>
  <c r="H78" i="11"/>
  <c r="H73" i="11"/>
  <c r="H68" i="11"/>
  <c r="H71" i="11"/>
  <c r="H70" i="11"/>
  <c r="H74" i="11"/>
  <c r="H75" i="11"/>
  <c r="H69" i="11"/>
  <c r="J81" i="11"/>
  <c r="J76" i="11"/>
  <c r="J77" i="11"/>
  <c r="J78" i="11"/>
  <c r="J75" i="11"/>
  <c r="J70" i="11"/>
  <c r="J71" i="11"/>
  <c r="J69" i="11"/>
  <c r="J72" i="11"/>
  <c r="J74" i="11"/>
  <c r="J73" i="11"/>
  <c r="J68" i="11"/>
  <c r="J82" i="11" s="1"/>
  <c r="J83" i="11" s="1"/>
  <c r="G81" i="11"/>
  <c r="G68" i="11"/>
  <c r="G73" i="11"/>
  <c r="G72" i="11"/>
  <c r="G75" i="11"/>
  <c r="G71" i="11"/>
  <c r="G70" i="11"/>
  <c r="G69" i="11"/>
  <c r="G74" i="11"/>
  <c r="G77" i="11"/>
  <c r="G76" i="11"/>
  <c r="G78" i="11"/>
  <c r="I81" i="11"/>
  <c r="I73" i="11"/>
  <c r="I75" i="11"/>
  <c r="I74" i="11"/>
  <c r="I69" i="11"/>
  <c r="I72" i="11"/>
  <c r="I71" i="11"/>
  <c r="I78" i="11"/>
  <c r="I68" i="11"/>
  <c r="I76" i="11"/>
  <c r="I70" i="11"/>
  <c r="I77" i="11"/>
  <c r="E81" i="11"/>
  <c r="E74" i="11"/>
  <c r="E73" i="11"/>
  <c r="E78" i="11"/>
  <c r="E69" i="11"/>
  <c r="E72" i="11"/>
  <c r="E77" i="11"/>
  <c r="E71" i="11"/>
  <c r="E68" i="11"/>
  <c r="E75" i="11"/>
  <c r="E76" i="11"/>
  <c r="E70" i="11"/>
  <c r="E82" i="11" l="1"/>
  <c r="E83" i="11" s="1"/>
  <c r="I82" i="11"/>
  <c r="I83" i="11" s="1"/>
  <c r="H82" i="11"/>
  <c r="H83" i="11" s="1"/>
  <c r="K82" i="11"/>
  <c r="K83" i="11" s="1"/>
  <c r="G82" i="11"/>
  <c r="G83" i="11" s="1"/>
  <c r="K34" i="49" l="1"/>
  <c r="K35" i="49" s="1"/>
  <c r="F65" i="11" s="1"/>
  <c r="F77" i="11" l="1"/>
  <c r="F70" i="11"/>
  <c r="F76" i="11"/>
  <c r="F81" i="11"/>
  <c r="F75" i="11"/>
  <c r="F74" i="11"/>
  <c r="F72" i="11"/>
  <c r="F71" i="11"/>
  <c r="F68" i="11"/>
  <c r="F73" i="11"/>
  <c r="F69" i="11"/>
  <c r="F78" i="11"/>
  <c r="F82" i="11" l="1"/>
  <c r="F83" i="11" s="1"/>
  <c r="K28" i="30" l="1"/>
  <c r="K11" i="30"/>
  <c r="K26" i="30" a="1"/>
  <c r="K26" i="30" s="1"/>
  <c r="K27" i="30" a="1"/>
  <c r="K27" i="30" s="1"/>
  <c r="L28" i="30" l="1"/>
  <c r="L11" i="30"/>
  <c r="L26" i="30" a="1"/>
  <c r="L26" i="30" s="1"/>
  <c r="L27" i="30" a="1"/>
  <c r="L27" i="30" s="1"/>
  <c r="M28" i="30"/>
  <c r="M11" i="30"/>
  <c r="M27" i="30" a="1"/>
  <c r="M27" i="30" s="1"/>
  <c r="M26" i="30" a="1"/>
  <c r="M26" i="30" s="1"/>
  <c r="K16" i="30"/>
  <c r="K24" i="30" s="1"/>
  <c r="K25" i="30" s="1"/>
  <c r="K36" i="30"/>
  <c r="K41" i="30" l="1"/>
  <c r="K49" i="30" s="1"/>
  <c r="M36" i="30"/>
  <c r="M16" i="30"/>
  <c r="M24" i="30" s="1"/>
  <c r="M25" i="30" s="1"/>
  <c r="L36" i="30"/>
  <c r="L16" i="30"/>
  <c r="L24" i="30" s="1"/>
  <c r="L25" i="30" s="1"/>
  <c r="L41" i="30" l="1"/>
  <c r="L49" i="30"/>
  <c r="M41" i="30"/>
  <c r="M49" i="30" s="1"/>
  <c r="N28" i="30"/>
  <c r="N11" i="30"/>
  <c r="N27" i="30" a="1"/>
  <c r="N27" i="30" s="1"/>
  <c r="N26" i="30" a="1"/>
  <c r="N26" i="30" s="1"/>
  <c r="H54" i="11"/>
  <c r="H52" i="11"/>
  <c r="H53" i="11"/>
  <c r="H55" i="11"/>
  <c r="H56" i="11"/>
  <c r="H63" i="11" l="1"/>
  <c r="H64" i="11" s="1"/>
  <c r="N16" i="30"/>
  <c r="N24" i="30" s="1"/>
  <c r="N25" i="30" s="1"/>
  <c r="N36" i="30"/>
  <c r="J52" i="11"/>
  <c r="J53" i="11"/>
  <c r="J55" i="11"/>
  <c r="J56" i="11"/>
  <c r="J54" i="11"/>
  <c r="I54" i="11"/>
  <c r="I53" i="11"/>
  <c r="I55" i="11"/>
  <c r="I52" i="11"/>
  <c r="I56" i="11"/>
  <c r="J63" i="11" l="1"/>
  <c r="J64" i="11" s="1"/>
  <c r="N41" i="30"/>
  <c r="N49" i="30"/>
  <c r="I63" i="11"/>
  <c r="I64" i="11" s="1"/>
  <c r="K54" i="11" l="1"/>
  <c r="K56" i="11"/>
  <c r="K53" i="11"/>
  <c r="K52" i="11"/>
  <c r="K55" i="11"/>
  <c r="K63" i="11" l="1"/>
  <c r="K64" i="11" s="1"/>
  <c r="J28" i="30" l="1"/>
  <c r="J11" i="30"/>
  <c r="J26" i="30" a="1"/>
  <c r="J26" i="30" s="1"/>
  <c r="J27" i="30" a="1"/>
  <c r="J27" i="30" s="1"/>
  <c r="J16" i="30" l="1"/>
  <c r="J24" i="30" s="1"/>
  <c r="J25" i="30" s="1"/>
  <c r="J36" i="30"/>
  <c r="J41" i="30" l="1"/>
  <c r="J49" i="30" s="1"/>
  <c r="G52" i="11" l="1"/>
  <c r="G55" i="11"/>
  <c r="G53" i="11"/>
  <c r="G56" i="11"/>
  <c r="G54" i="11"/>
  <c r="G63" i="11" l="1"/>
  <c r="G64" i="11" s="1"/>
  <c r="N18" i="8" l="1"/>
  <c r="N32" i="8" s="1"/>
  <c r="M18" i="8"/>
  <c r="M19" i="8" s="1"/>
  <c r="O25" i="19"/>
  <c r="O26" i="19" s="1"/>
  <c r="O70" i="19"/>
  <c r="H22" i="30"/>
  <c r="H23" i="30" s="1"/>
  <c r="H24" i="30" s="1"/>
  <c r="I22" i="30"/>
  <c r="I47" i="30" s="1"/>
  <c r="P25" i="19"/>
  <c r="I49" i="30" l="1"/>
  <c r="I48" i="30"/>
  <c r="F62" i="11"/>
  <c r="F63" i="11" s="1"/>
  <c r="F64" i="11" s="1"/>
  <c r="I23" i="30"/>
  <c r="I24" i="30"/>
  <c r="M32" i="8"/>
  <c r="H47" i="30"/>
  <c r="H48" i="30" s="1"/>
  <c r="N19" i="8"/>
  <c r="O36" i="19"/>
  <c r="P26" i="19"/>
  <c r="P36" i="19"/>
  <c r="O37" i="19"/>
  <c r="O27" i="19"/>
  <c r="O81" i="19"/>
  <c r="O71" i="19"/>
  <c r="H49" i="30"/>
  <c r="E64" i="11" s="1"/>
  <c r="P80" i="19"/>
  <c r="O80" i="19"/>
  <c r="P70" i="19"/>
  <c r="P71" i="19" l="1"/>
  <c r="P81" i="19"/>
  <c r="P27" i="19"/>
  <c r="P3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P19" authorId="0" shapeId="0" xr:uid="{2A6B942A-27C8-4736-9C3F-618C961A6BA3}">
      <text>
        <r>
          <rPr>
            <b/>
            <sz val="9"/>
            <color indexed="81"/>
            <rFont val="Tahoma"/>
            <family val="2"/>
          </rPr>
          <t>ASD:</t>
        </r>
        <r>
          <rPr>
            <sz val="9"/>
            <color indexed="81"/>
            <rFont val="Tahoma"/>
            <family val="2"/>
          </rPr>
          <t xml:space="preserve">
Not linked to 'Inputs from Capex Model' sheet as outputs from this model attract real price escalation from $2024-25 onwards in 'ASD - AusNet EDPR 2026-31 – SCS Capex Model – 310125 - PUBLIC.'</t>
        </r>
      </text>
    </comment>
    <comment ref="P21" authorId="0" shapeId="0" xr:uid="{F6723A76-7A03-4FE7-BAA9-3F879044345E}">
      <text>
        <r>
          <rPr>
            <b/>
            <sz val="9"/>
            <color indexed="81"/>
            <rFont val="Tahoma"/>
            <family val="2"/>
          </rPr>
          <t>ASD:</t>
        </r>
        <r>
          <rPr>
            <sz val="9"/>
            <color indexed="81"/>
            <rFont val="Tahoma"/>
            <family val="2"/>
          </rPr>
          <t xml:space="preserve">
Not linked to 'Inputs from Capex Model' sheet as outputs from this model attract real price escalation from $2024-25 onwards in 'ASD - AusNet EDPR 2026-31 – SCS Capex Model – 310125 - PUBLIC.'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Z3" authorId="0" shapeId="0" xr:uid="{6CE2A7CC-EF53-45DB-9FBE-B3BA452629F4}">
      <text>
        <r>
          <rPr>
            <b/>
            <sz val="9"/>
            <color indexed="81"/>
            <rFont val="Tahoma"/>
            <family val="2"/>
          </rPr>
          <t>ASD:</t>
        </r>
        <r>
          <rPr>
            <sz val="9"/>
            <color indexed="81"/>
            <rFont val="Tahoma"/>
            <family val="2"/>
          </rPr>
          <t xml:space="preserve">
Copy and paste values from row above into cells Z4:AD4.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O23" authorId="0" shapeId="0" xr:uid="{90C235B6-2C03-402C-8D83-14915AD67EB7}">
      <text>
        <r>
          <rPr>
            <b/>
            <sz val="9"/>
            <color indexed="81"/>
            <rFont val="Tahoma"/>
            <family val="2"/>
          </rPr>
          <t>ASD:</t>
        </r>
        <r>
          <rPr>
            <sz val="9"/>
            <color indexed="81"/>
            <rFont val="Tahoma"/>
            <family val="2"/>
          </rPr>
          <t xml:space="preserve">
Set equal to the current period average recovery rate.</t>
        </r>
      </text>
    </comment>
    <comment ref="O24" authorId="0" shapeId="0" xr:uid="{43E903B3-8466-4612-BCA0-16BF87B4F60F}">
      <text>
        <r>
          <rPr>
            <b/>
            <sz val="9"/>
            <color indexed="81"/>
            <rFont val="Tahoma"/>
            <family val="2"/>
          </rPr>
          <t>ASD:</t>
        </r>
        <r>
          <rPr>
            <sz val="9"/>
            <color indexed="81"/>
            <rFont val="Tahoma"/>
            <family val="2"/>
          </rPr>
          <t xml:space="preserve">
Copy and paste values from the source file here for 2026-31 period.</t>
        </r>
      </text>
    </comment>
    <comment ref="O25" authorId="0" shapeId="0" xr:uid="{D44AFB92-136E-4AB4-BB96-79068E3A9F9F}">
      <text>
        <r>
          <rPr>
            <b/>
            <sz val="9"/>
            <color indexed="81"/>
            <rFont val="Tahoma"/>
            <family val="2"/>
          </rPr>
          <t>ASD:</t>
        </r>
        <r>
          <rPr>
            <sz val="9"/>
            <color indexed="81"/>
            <rFont val="Tahoma"/>
            <family val="2"/>
          </rPr>
          <t xml:space="preserve">
Copy and paste values from the source file here for 2026-31 period.</t>
        </r>
      </text>
    </comment>
    <comment ref="O26" authorId="0" shapeId="0" xr:uid="{3D6B0CBF-68CF-4B2E-B19E-DBC7E50A0CE8}">
      <text>
        <r>
          <rPr>
            <b/>
            <sz val="9"/>
            <color indexed="81"/>
            <rFont val="Tahoma"/>
            <family val="2"/>
          </rPr>
          <t>ASD:</t>
        </r>
        <r>
          <rPr>
            <sz val="9"/>
            <color indexed="81"/>
            <rFont val="Tahoma"/>
            <family val="2"/>
          </rPr>
          <t xml:space="preserve">
Copy and paste values from the source file here for 2026-31 period.</t>
        </r>
      </text>
    </comment>
    <comment ref="O27" authorId="0" shapeId="0" xr:uid="{BDF5C8CC-1690-44F3-BEDA-ED255E01183A}">
      <text>
        <r>
          <rPr>
            <b/>
            <sz val="9"/>
            <color indexed="81"/>
            <rFont val="Tahoma"/>
            <family val="2"/>
          </rPr>
          <t>ASD:</t>
        </r>
        <r>
          <rPr>
            <sz val="9"/>
            <color indexed="81"/>
            <rFont val="Tahoma"/>
            <family val="2"/>
          </rPr>
          <t xml:space="preserve">
Copy and paste values from the source file here for 2026-31 period.</t>
        </r>
      </text>
    </comment>
    <comment ref="N28" authorId="0" shapeId="0" xr:uid="{BA2C2A2B-FBD0-4F71-BF15-7075362538F6}">
      <text>
        <r>
          <rPr>
            <b/>
            <sz val="9"/>
            <color indexed="81"/>
            <rFont val="Tahoma"/>
            <family val="2"/>
          </rPr>
          <t>ASD:</t>
        </r>
        <r>
          <rPr>
            <sz val="9"/>
            <color indexed="81"/>
            <rFont val="Tahoma"/>
            <family val="2"/>
          </rPr>
          <t xml:space="preserve">
Set equal to the recovery rate for small business customers for current period.</t>
        </r>
      </text>
    </comment>
    <comment ref="O28" authorId="0" shapeId="0" xr:uid="{751D62B1-CAD9-4FA5-AE04-5E5D48A32002}">
      <text>
        <r>
          <rPr>
            <b/>
            <sz val="9"/>
            <color indexed="81"/>
            <rFont val="Tahoma"/>
            <family val="2"/>
          </rPr>
          <t>ASD:</t>
        </r>
        <r>
          <rPr>
            <sz val="9"/>
            <color indexed="81"/>
            <rFont val="Tahoma"/>
            <family val="2"/>
          </rPr>
          <t xml:space="preserve">
Set equal to the recovery rate for small business customers.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<sst xmlns="http://schemas.openxmlformats.org/spreadsheetml/2006/main" count="1903" uniqueCount="470">
  <si>
    <t>Recoverable &amp; Special Works</t>
  </si>
  <si>
    <t>SCS Capex</t>
  </si>
  <si>
    <t>Total</t>
  </si>
  <si>
    <t>Workcode</t>
  </si>
  <si>
    <t>CY2015</t>
  </si>
  <si>
    <t>CY2016</t>
  </si>
  <si>
    <t>CY2017</t>
  </si>
  <si>
    <t>CY2018</t>
  </si>
  <si>
    <t>CY2019</t>
  </si>
  <si>
    <t>CY2020</t>
  </si>
  <si>
    <t>CY2010</t>
  </si>
  <si>
    <t>CY2011</t>
  </si>
  <si>
    <t>CY2012</t>
  </si>
  <si>
    <t>CY2013</t>
  </si>
  <si>
    <t>CY2014</t>
  </si>
  <si>
    <t>Actual</t>
  </si>
  <si>
    <t>Forecast</t>
  </si>
  <si>
    <t>Average Unit Cost per connection ($000's)</t>
  </si>
  <si>
    <t>Customer Connections Splits</t>
  </si>
  <si>
    <t>Direct Labour Cost</t>
  </si>
  <si>
    <t>Direct Material Cost</t>
  </si>
  <si>
    <t>Contracts Cost</t>
  </si>
  <si>
    <t>Other Cost</t>
  </si>
  <si>
    <t>Connections Capex Forecast</t>
  </si>
  <si>
    <t>Other Customer Capex - Non connection related</t>
  </si>
  <si>
    <t>Average</t>
  </si>
  <si>
    <t>RESIDENTIAL</t>
  </si>
  <si>
    <t>COMMERCIAL/INDUSTRIAL</t>
  </si>
  <si>
    <t>SUBDIVISION</t>
  </si>
  <si>
    <t>EMBEDDED GENERATION</t>
  </si>
  <si>
    <t>Code</t>
  </si>
  <si>
    <t>CONNECTION SUBCATEGORY</t>
  </si>
  <si>
    <t>EDPR RIN Template Outputs</t>
  </si>
  <si>
    <t>Connections Forecast Assumptions</t>
  </si>
  <si>
    <t>Connection Category</t>
  </si>
  <si>
    <t>Unit Rate</t>
  </si>
  <si>
    <t>Volume</t>
  </si>
  <si>
    <t>Historical proportion of forecast residential connections</t>
  </si>
  <si>
    <t>Historical proportion of forecast non-residential connections</t>
  </si>
  <si>
    <t>N/A - forecast driven by historical costs incurred</t>
  </si>
  <si>
    <t>In Thousands</t>
  </si>
  <si>
    <t>1.  Assumptions</t>
  </si>
  <si>
    <t>2.5 Connections</t>
  </si>
  <si>
    <t>a.</t>
  </si>
  <si>
    <t>b.</t>
  </si>
  <si>
    <t>c.</t>
  </si>
  <si>
    <t>d.</t>
  </si>
  <si>
    <t>Total Expenditure Forecast</t>
  </si>
  <si>
    <t>Historical Cost Recovery</t>
  </si>
  <si>
    <t>Connections Expenditure Forecast - All activities</t>
  </si>
  <si>
    <t>Non-Connection related Direct Expenditure Forecast</t>
  </si>
  <si>
    <t>Connection related Direct Expenditure Forecast</t>
  </si>
  <si>
    <t>Thousands</t>
  </si>
  <si>
    <t>Other Lookups</t>
  </si>
  <si>
    <t>Table of Contents</t>
  </si>
  <si>
    <t>Table A:  Basis of Forecast Unit rates &amp; Volumes by Work code</t>
  </si>
  <si>
    <t>Underlying forecast connections supplied by Revenue Forecasting Team</t>
  </si>
  <si>
    <r>
      <t xml:space="preserve">Estimated historic &amp; forecast Connections for Capex </t>
    </r>
    <r>
      <rPr>
        <b/>
        <vertAlign val="superscript"/>
        <sz val="11"/>
        <color theme="1"/>
        <rFont val="Calibri"/>
        <family val="2"/>
      </rPr>
      <t>#</t>
    </r>
  </si>
  <si>
    <t>Customer Capex work codes allocation for Reg Accounts purposes</t>
  </si>
  <si>
    <t>Connections</t>
  </si>
  <si>
    <t>Regulatory &amp; Financial Allocations</t>
  </si>
  <si>
    <t>Check</t>
  </si>
  <si>
    <t>Labour Type</t>
  </si>
  <si>
    <t>Internal labour real rate</t>
  </si>
  <si>
    <t>Internal labour index</t>
  </si>
  <si>
    <t>External labour real rate</t>
  </si>
  <si>
    <t>External labour index</t>
  </si>
  <si>
    <t>No of lots - 1018</t>
  </si>
  <si>
    <t>No of lots - 1019</t>
  </si>
  <si>
    <t>No of Proj - 1018</t>
  </si>
  <si>
    <t>No of Proj - 1019</t>
  </si>
  <si>
    <t>Base</t>
  </si>
  <si>
    <t>G/A</t>
  </si>
  <si>
    <t>LOW DENSITY HOUSING</t>
  </si>
  <si>
    <t>Lots</t>
  </si>
  <si>
    <t>Projects</t>
  </si>
  <si>
    <t>4 mths</t>
  </si>
  <si>
    <t>8mths</t>
  </si>
  <si>
    <t>LOW DENSITY HOUSING - SUBDIVISION</t>
  </si>
  <si>
    <t>Historical / Forecast Volumes incl Gifted Assets</t>
  </si>
  <si>
    <t>No of projects</t>
  </si>
  <si>
    <t>1013 - U/GROUND SERVICE INSTALLATION - no of projects</t>
  </si>
  <si>
    <t>1014 - BUSINESS SUPPLY PROJECTS - no of projects</t>
  </si>
  <si>
    <t>MEDIUM DENSITY HOUSING - SUBDIVISION</t>
  </si>
  <si>
    <t>UNDERGROUND SERVICE INSTALLATION</t>
  </si>
  <si>
    <t>BUSINESS SUPPLY PROJECTS</t>
  </si>
  <si>
    <t>COMPLEX RESIDENTIAL SUPPLY PROJECTS</t>
  </si>
  <si>
    <t>COGENERATION PROJECTS</t>
  </si>
  <si>
    <t>PRIVATE ELECTRIC LINE REPLACEMENT - RESIDENTIAL</t>
  </si>
  <si>
    <t>Includes Turnkey Contracts</t>
  </si>
  <si>
    <t>$2014 to Nominal</t>
  </si>
  <si>
    <t>Nominal to $2018</t>
  </si>
  <si>
    <t>TURNKEY - GIFTED ASSETS</t>
  </si>
  <si>
    <t>AusNet Design and Construct</t>
  </si>
  <si>
    <t>TURNKEY - HV Rebates (Payments to Developers)</t>
  </si>
  <si>
    <t>AusNet Design and Construct (2% of all volume)</t>
  </si>
  <si>
    <t>Direct exc Turnkey / Gifted</t>
  </si>
  <si>
    <t>TOTAL</t>
  </si>
  <si>
    <t>$Nominal</t>
  </si>
  <si>
    <t>CPI 8 cities - Sept to Sept, 1 year lagged</t>
  </si>
  <si>
    <t>Note, AusNet D shifts from CPI basis of Sept qtr to Jun qtr commencing from 2016 (start of 2016-20 control period) as per AusNet D 2016-20 Final Determination - Control mechanisms - attachment 14, May 2016</t>
  </si>
  <si>
    <t>AusNet CPI Table</t>
  </si>
  <si>
    <t>Labour Escalation</t>
  </si>
  <si>
    <t>2.  Escalation</t>
  </si>
  <si>
    <t>3. Regulatory &amp; Financial Allocations</t>
  </si>
  <si>
    <t>4. Connections (Historical / Forecast)</t>
  </si>
  <si>
    <t>Total no of Projects</t>
  </si>
  <si>
    <t>Total Lots</t>
  </si>
  <si>
    <t>Standard Control Services</t>
  </si>
  <si>
    <t>Actual / Historical</t>
  </si>
  <si>
    <t>Capitalised Overheads</t>
  </si>
  <si>
    <t>AusNet Overhead rate - New Connections</t>
  </si>
  <si>
    <t>NEW SERVICE</t>
  </si>
  <si>
    <t>Gifted assets only</t>
  </si>
  <si>
    <t>Overall split of Work Assignment</t>
  </si>
  <si>
    <t>Turnkey / Gifted by Developers to AusNet D</t>
  </si>
  <si>
    <t>AusNet DES &amp;Const, Ext. Design &amp; AusNet Construct</t>
  </si>
  <si>
    <t>As per forecast approach</t>
  </si>
  <si>
    <t>C.I.C</t>
  </si>
  <si>
    <t>Subtransmission</t>
  </si>
  <si>
    <t>Gifted</t>
  </si>
  <si>
    <t>TURNKEY - LV/HV Rebates (Payments to Developers)</t>
  </si>
  <si>
    <t>Volume of Gifted lots</t>
  </si>
  <si>
    <t>Volume per LV/HV rebates</t>
  </si>
  <si>
    <t>Net growth forecasts plus abolishments / attrition</t>
  </si>
  <si>
    <t>(12 mths)</t>
  </si>
  <si>
    <t>3 year average split per annual CA RIN</t>
  </si>
  <si>
    <t>2020-21</t>
  </si>
  <si>
    <t>TOTAL DIRECT COST</t>
  </si>
  <si>
    <t>Allocation</t>
  </si>
  <si>
    <t>SUBTOTAL</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</si>
  <si>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</si>
  <si>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</si>
  <si>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</si>
  <si>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</si>
  <si>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</si>
  <si>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</si>
  <si>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</si>
  <si>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</si>
  <si>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</si>
  <si>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</si>
  <si>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</si>
  <si>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New Historical RIN - CY data (WB2) - 2.5 Connections</t>
  </si>
  <si>
    <t>Subtotal by category</t>
  </si>
  <si>
    <t>3 Year</t>
  </si>
  <si>
    <t>CONNECTION CLASSIFICATION</t>
  </si>
  <si>
    <t xml:space="preserve">Direct costs (including CC) - $Nominal </t>
  </si>
  <si>
    <t>ACS (90% residential historical average)</t>
  </si>
  <si>
    <t>(3 year average split per annual CA RIN)</t>
  </si>
  <si>
    <t>SCS Only - New Historical CA RIN 2.5</t>
  </si>
  <si>
    <t>Volumes</t>
  </si>
  <si>
    <t>TOTAL VOLUMES</t>
  </si>
  <si>
    <t>ACS (10% commercial historical average)</t>
  </si>
  <si>
    <t>NEW CONNECTIONS - ALL - Volumes</t>
  </si>
  <si>
    <t>NEW CONNECTIONS - Standard Control Service</t>
  </si>
  <si>
    <t>NEW CONNECTIONS - SCS Only</t>
  </si>
  <si>
    <t>Standard Control Service</t>
  </si>
  <si>
    <t>historical average residential split</t>
  </si>
  <si>
    <t>historical average commercial split</t>
  </si>
  <si>
    <t>2025-26</t>
  </si>
  <si>
    <t>2024-25</t>
  </si>
  <si>
    <t>2023-24</t>
  </si>
  <si>
    <t>2022-23</t>
  </si>
  <si>
    <t>2021-22</t>
  </si>
  <si>
    <t>Residential</t>
  </si>
  <si>
    <t>Commercial</t>
  </si>
  <si>
    <t>ALL - SCS and ACS</t>
  </si>
  <si>
    <t>FY22-26 period</t>
  </si>
  <si>
    <t>Average Cost recovery excluding Gifted Assets</t>
  </si>
  <si>
    <t>Average Cost recovery including Gifted Assets</t>
  </si>
  <si>
    <t>Average Cost Recovery - Excluding Gifted Assets</t>
  </si>
  <si>
    <t>Project Fee</t>
  </si>
  <si>
    <t>Average fees for multi-lot developments</t>
  </si>
  <si>
    <t>Gross Expenditure (Direct costs plus Overheads basis) - $Nominal</t>
  </si>
  <si>
    <t>Capital Contributions including Gifted Assets - $Nominal</t>
  </si>
  <si>
    <t>Gross Capex excluding Gifted Assets - $Nominal</t>
  </si>
  <si>
    <t>Gifted assets - $Nominal</t>
  </si>
  <si>
    <t>Capital Contributions excluding Gifted Assets - $Nominal</t>
  </si>
  <si>
    <t>Mid Year Nominal to Jun $2021</t>
  </si>
  <si>
    <t>GIFTED ASSETS - I&amp;C</t>
  </si>
  <si>
    <t>Confidential</t>
  </si>
  <si>
    <t>$0's</t>
  </si>
  <si>
    <t>Mid Year $2018 to $Jun-21</t>
  </si>
  <si>
    <t>Project &amp; Contract fees - Turnkey multi-lot developments</t>
  </si>
  <si>
    <t>ASD Construct volume</t>
  </si>
  <si>
    <t>Contract Fee</t>
  </si>
  <si>
    <t>2.17-2.17 CapCons</t>
  </si>
  <si>
    <t>Direct_view</t>
  </si>
  <si>
    <t>CapCon_view</t>
  </si>
  <si>
    <t>Historical_CY</t>
  </si>
  <si>
    <t>2.5.3 Volumes</t>
  </si>
  <si>
    <t>e.</t>
  </si>
  <si>
    <t>f.</t>
  </si>
  <si>
    <t>5. Historical capex</t>
  </si>
  <si>
    <t>6. Capital Expenditure Forecast</t>
  </si>
  <si>
    <t>Description</t>
  </si>
  <si>
    <t>Escalation!L6:Q6</t>
  </si>
  <si>
    <t>Escalation!J17:Q17</t>
  </si>
  <si>
    <t>Escalation!J19:Q19</t>
  </si>
  <si>
    <t>Issue</t>
  </si>
  <si>
    <t>Location</t>
  </si>
  <si>
    <t>Comment</t>
  </si>
  <si>
    <t>Allocations!I44:O44</t>
  </si>
  <si>
    <t>Inputs from Capex Model</t>
  </si>
  <si>
    <t>Values referenced from "'Inputs from Capex Model" sheet</t>
  </si>
  <si>
    <t>New sheet with values linked to capex model</t>
  </si>
  <si>
    <t>Overhead rate - New Connections referenced from "'Inputs from Capex Model" sheet</t>
  </si>
  <si>
    <t>Contr_Fcast!J18:N18</t>
  </si>
  <si>
    <t>Inserted Check formulae</t>
  </si>
  <si>
    <t>RFM_PTRM Input'!G10:K10</t>
  </si>
  <si>
    <t>RFM_PTRM Input'!G22:K22</t>
  </si>
  <si>
    <t>Amended code for tax ruling</t>
  </si>
  <si>
    <t>RFM_PTRM Input'!G30:L30</t>
  </si>
  <si>
    <t>RFM_PTRM Input'!G42:L42</t>
  </si>
  <si>
    <t>RFM_PTRM Input'!G18:L18</t>
  </si>
  <si>
    <t>Inputs from Capex Model'!A21:J23</t>
  </si>
  <si>
    <t>Connections capitalised ohds rate values required to be linked to the Connections model</t>
  </si>
  <si>
    <t>LOW DENSITY HOUSING - GIFTED ASSETS</t>
  </si>
  <si>
    <t>Other_codes!L37</t>
  </si>
  <si>
    <t>Escalation!M6:Q6</t>
  </si>
  <si>
    <t>Real labour cost escalator amended  as per AER Final Decision</t>
  </si>
  <si>
    <t>Forecast CPI (2021-22 to 2025-26) amended as per AER Final Decision</t>
  </si>
  <si>
    <t>Excluded labour escalation as it was already in the reported actual value</t>
  </si>
  <si>
    <t>New variable introduced - Total Gross Capex excl Gifted assets</t>
  </si>
  <si>
    <t>Summary_Output!C21:O21</t>
  </si>
  <si>
    <t>2026-27</t>
  </si>
  <si>
    <t>2027–28</t>
  </si>
  <si>
    <t>1012 - MEDIUM DENSITY HOUSING</t>
  </si>
  <si>
    <t>TURNKEY - Number of Gifted lots</t>
  </si>
  <si>
    <t>Adjustment - HV rebate volumes with Gifted assets</t>
  </si>
  <si>
    <t>check</t>
  </si>
  <si>
    <t># Actual / forecast connection volumes derived using 2 year rolling average</t>
  </si>
  <si>
    <t>2027-28</t>
  </si>
  <si>
    <t>2028-29</t>
  </si>
  <si>
    <t>2029-30</t>
  </si>
  <si>
    <t>2030-31</t>
  </si>
  <si>
    <t xml:space="preserve">BESS and hybrid generation facilities &gt;1.5 MW </t>
  </si>
  <si>
    <t>New work code added by ASD</t>
  </si>
  <si>
    <t xml:space="preserve">1048 - BESS and hybrid generation facilities &gt;1.5 MW </t>
  </si>
  <si>
    <t>AusNet Overheads ($Nominal)</t>
  </si>
  <si>
    <t>Direct costs plus Overheads ($Nominal)</t>
  </si>
  <si>
    <t>Historical Connections Capex - Disaggregation</t>
  </si>
  <si>
    <t>Current Period Actual/Forecast - $Nominal</t>
  </si>
  <si>
    <t>($000's)</t>
  </si>
  <si>
    <t>HY2021</t>
  </si>
  <si>
    <t>COGENERATION PROJECTS - GIFTED ASSETS</t>
  </si>
  <si>
    <t>Mid Year Nominal to Jun $2023</t>
  </si>
  <si>
    <t>2028–29</t>
  </si>
  <si>
    <t>2029–30</t>
  </si>
  <si>
    <t>2030–31</t>
  </si>
  <si>
    <t>Forecast (FY27-31)</t>
  </si>
  <si>
    <t>FY27-31</t>
  </si>
  <si>
    <t>Based on sample project - Phillip Island BESS</t>
  </si>
  <si>
    <t>Historical Direct Expenditure (excluding Downer support costs) - $Nominal</t>
  </si>
  <si>
    <t>Direct Labour Unit Cost ($2023)</t>
  </si>
  <si>
    <t>Direct Material Unit Cost ($2023)</t>
  </si>
  <si>
    <t>Direct Contracts Unit Cost ($2023)</t>
  </si>
  <si>
    <t>Direct Other Unit Cost ($2023)</t>
  </si>
  <si>
    <t>Historical Direct Unit Cost (excluding Downer support costs) - $Nominal</t>
  </si>
  <si>
    <t>Actual - $Nominal</t>
  </si>
  <si>
    <t>EMBEDDED GENERATION &gt; 1.5 MW</t>
  </si>
  <si>
    <t>2027-31</t>
  </si>
  <si>
    <t>Forecast based on expected recovery rates</t>
  </si>
  <si>
    <t>Energy Connections</t>
  </si>
  <si>
    <t>Mid Year Nominal to Jun $2026</t>
  </si>
  <si>
    <t>Expenditure Splits - per AusNet Services Electricity Accounting systems and 2022-23 RIN response supporting documents</t>
  </si>
  <si>
    <t>$Real Jun 2024</t>
  </si>
  <si>
    <t>EV charging stations</t>
  </si>
  <si>
    <t>Mid Year Nominal to Jun $2024</t>
  </si>
  <si>
    <t>Total volume</t>
  </si>
  <si>
    <t>n/a</t>
  </si>
  <si>
    <t>Isolating transformers (admin &amp; construction)</t>
  </si>
  <si>
    <t>NEW</t>
  </si>
  <si>
    <t>Portion of projects involving construction along REFCL protected HV feeders</t>
  </si>
  <si>
    <t>Contracts escalation</t>
  </si>
  <si>
    <t>Contractor</t>
  </si>
  <si>
    <t>Based on sample WO's</t>
  </si>
  <si>
    <t>Isolating transformers (admin &amp; construction) - for REFCL feeders</t>
  </si>
  <si>
    <t>AusNet Design and Construct (~1% of all volume)</t>
  </si>
  <si>
    <t>Feeder Augmentation</t>
  </si>
  <si>
    <t>No of lots - 1019 Gifted</t>
  </si>
  <si>
    <t>Historical Unit Cost - Real $2024</t>
  </si>
  <si>
    <t>Forecast Direct Unit Cost (excluding Downer support costs) - $2024</t>
  </si>
  <si>
    <t>Forecast Direct Expenditure, including real escalation - Real $2024</t>
  </si>
  <si>
    <t>Average cost per lot</t>
  </si>
  <si>
    <t>DoT Bus depot EV connections</t>
  </si>
  <si>
    <t>BESS and hybrid generation facilities &gt;1.5 MW</t>
  </si>
  <si>
    <t>CPI - Real $2024 to Nominal</t>
  </si>
  <si>
    <t>2023-24 Actual splits</t>
  </si>
  <si>
    <t>SCS Capex model OHD rates</t>
  </si>
  <si>
    <t>Total including type 1 and type 2 capital contributions</t>
  </si>
  <si>
    <t>All lots</t>
  </si>
  <si>
    <t>TURNKEY - LV/HV Rebates (Payments to Developers) - $Nominal, $K</t>
  </si>
  <si>
    <t>4 yr historical avg unit rate (2021-24).   Prior to CY16 these costs are wrapped up in a single work code including 1018 costs.</t>
  </si>
  <si>
    <t>Non-REFCL feeders</t>
  </si>
  <si>
    <t>Split of feeders in new housing estate developments</t>
  </si>
  <si>
    <t>REFCL feeders</t>
  </si>
  <si>
    <t>FY27-31 period (real $2024)</t>
  </si>
  <si>
    <t>DATA CENTRES</t>
  </si>
  <si>
    <t>Actual/Forecast - $Nominal</t>
  </si>
  <si>
    <t>2026-31</t>
  </si>
  <si>
    <t>Cap cons excluding capitalised overheads</t>
  </si>
  <si>
    <t>EMBEDDED GENERATION &gt;1.5MW</t>
  </si>
  <si>
    <t>FY26-31 period</t>
  </si>
  <si>
    <t>ACS</t>
  </si>
  <si>
    <t>Fee based</t>
  </si>
  <si>
    <t>Actual/Forecast - $2026</t>
  </si>
  <si>
    <t>FY27-31 period (real $2026)</t>
  </si>
  <si>
    <t>Forecast Capital Contributions - TOTAL excl. gifted assets (000's)</t>
  </si>
  <si>
    <t>Forecast Capital Contributions - TOTAL excl. gifted assets (000's, $Jun 2026)</t>
  </si>
  <si>
    <t>SAP</t>
  </si>
  <si>
    <t>1016 #</t>
  </si>
  <si>
    <t>1019 *</t>
  </si>
  <si>
    <t>Low Density Housing - Historical costs  ($Nominal)</t>
  </si>
  <si>
    <t>All costs captured in single code 110 until April 2015, then split into two codes there onwards 1018 and 1019</t>
  </si>
  <si>
    <t>Total Projects ($'s)</t>
  </si>
  <si>
    <t>Multiple lots ($'s)</t>
  </si>
  <si>
    <t>Residential split</t>
  </si>
  <si>
    <t>Subdivision split</t>
  </si>
  <si>
    <t>Private Elec Line Replacement</t>
  </si>
  <si>
    <t>Gross new connections</t>
  </si>
  <si>
    <t>W/code</t>
  </si>
  <si>
    <t>SUBTOTAL RESIDENTIAL</t>
  </si>
  <si>
    <t>SUBTOTAL I&amp;C</t>
  </si>
  <si>
    <t>SUBTOTAL SUBDIVISION</t>
  </si>
  <si>
    <t>TOTAL SCS CONTRIBUTIONS</t>
  </si>
  <si>
    <t>RECOVERABLE &amp; SPECIAL WORKS</t>
  </si>
  <si>
    <t>Total SCS</t>
  </si>
  <si>
    <t>Forecast - Real $2024</t>
  </si>
  <si>
    <t>YTD Capital contributions excl Gifted Assets</t>
  </si>
  <si>
    <t>YTD Gifted Assets revenue - customer contributions</t>
  </si>
  <si>
    <t>Real $2026, escalated</t>
  </si>
  <si>
    <t>Forecast Direct Expenditures - including capital contributions excl. gifted assets ($000's, $Jun 2026)</t>
  </si>
  <si>
    <t>Forecast Capital Contributions - Type 2  (000's, $Jun 2026)</t>
  </si>
  <si>
    <t>ACS fee based connections forecast, incl truck visits</t>
  </si>
  <si>
    <t>COGENERATION PROJECTS up to 1.5MW</t>
  </si>
  <si>
    <t>(This activity is excluded from SCS Connections Forecast)</t>
  </si>
  <si>
    <t>(This activity is excluded from SCS Connections forecast as this is reported under Reinforcement &amp; Safety Capex)</t>
  </si>
  <si>
    <t>Jan-Apr</t>
  </si>
  <si>
    <t>May-Dec</t>
  </si>
  <si>
    <t>(From 1 July 2021, these connections include small generation projects, and BESS and hybrid projects up to 1.5MW capacity)</t>
  </si>
  <si>
    <t>(From 1 July 2021, these connections are excluded from the SCS Connections Forecast and excluded from RAB in line with the 2021-26 AER Final decision)</t>
  </si>
  <si>
    <t>(From 1 July 2021, these connections include BESS and hybrid projects up to 1.5MW capacity and are included in the RAB)</t>
  </si>
  <si>
    <t>(Source:  AusNet Services Electricity Distribution capex work code definitions.)</t>
  </si>
  <si>
    <t>Direct Expenditure ($000's)</t>
  </si>
  <si>
    <t>Forecast Direct Expenditure, Unescalated (exc Downer support costs) - Real $2024</t>
  </si>
  <si>
    <t>Capitalised overheads - network</t>
  </si>
  <si>
    <t>Historical Direct Expenditure (excluding Downer support costs) - Real $2018</t>
  </si>
  <si>
    <t>High Voltage rebate payments to land developers</t>
  </si>
  <si>
    <t>1012 - Medium Density Housing</t>
  </si>
  <si>
    <t>Split of feeders in new housing estate developments:</t>
  </si>
  <si>
    <t>Price change per feeder type and volume (from 1 July 2024):</t>
  </si>
  <si>
    <t>Compromised of:</t>
  </si>
  <si>
    <t>Unescalated forecasts (excluding Downer contract escalation)</t>
  </si>
  <si>
    <t>Direct Expenditure excluding Downer support / Zinfra support costs - $Nominal</t>
  </si>
  <si>
    <t>Total reported in RAB</t>
  </si>
  <si>
    <t>Convert Mid Year Nominal to Jun $2024</t>
  </si>
  <si>
    <t>Refer to the Project expenditure forecasts contained in supporting model 'ASD - Energy Connections Forecast Model - 31 Jan 2025 - CONFIDENTIAL'.</t>
  </si>
  <si>
    <t>Historical costs breakdown</t>
  </si>
  <si>
    <t>Total Type 1 customer contributions</t>
  </si>
  <si>
    <t>Total Type 2 customer contributions</t>
  </si>
  <si>
    <t>Average cost per lot (all lots)</t>
  </si>
  <si>
    <t>Historical costs and Unit rates - $Nominal</t>
  </si>
  <si>
    <t>Forecast proportion based on a 70% historical average</t>
  </si>
  <si>
    <t>Historical volume - number of lots (actual paid out)</t>
  </si>
  <si>
    <r>
      <t xml:space="preserve">A. Third party construct and developer gifts assets to AusNet Services:-
     1. Gifted LV Assets - at agreed unit cost per lot (subject to annual CPI inflation)
     2. HV Rebates - Our </t>
    </r>
    <r>
      <rPr>
        <sz val="11"/>
        <rFont val="Calibri"/>
        <family val="2"/>
        <scheme val="minor"/>
      </rPr>
      <t>revised average unit rate for the 2026-31 regulatory period as conatined in 'HV_rebate' worksheet.</t>
    </r>
    <r>
      <rPr>
        <sz val="11"/>
        <color theme="1"/>
        <rFont val="Calibri"/>
        <family val="2"/>
        <scheme val="minor"/>
      </rPr>
      <t xml:space="preserve">
B. AusNet Design &amp; Construct - based on 2022-23 historical unit rate escalated up to real $2024 dollars.</t>
    </r>
  </si>
  <si>
    <t>4 yr historical avg direct costs incurred (2021-24).</t>
  </si>
  <si>
    <t>4 yr historical avg unit rate (2021-24).</t>
  </si>
  <si>
    <t>1015 - COGENERATION PROJECTS up to 1.5MW (post 30 June 2021)</t>
  </si>
  <si>
    <t>* Excluded from RAB</t>
  </si>
  <si>
    <t>Load connections</t>
  </si>
  <si>
    <t>Construction insurance costs - Net connections</t>
  </si>
  <si>
    <t>COGENERATION PROJECTS up to 1.5MW (post 30 June 2021)</t>
  </si>
  <si>
    <t>Forecast Network overheads</t>
  </si>
  <si>
    <t>15. Unescalated direct costs (excluding type 2 capital contributions) ($'000s 2023-24 June)</t>
  </si>
  <si>
    <t>16. Type 1 capital contributions included in table 15 ($'000s 2023-24 June)</t>
  </si>
  <si>
    <t>Project/Program Inputs</t>
  </si>
  <si>
    <t>Unique ID</t>
  </si>
  <si>
    <t>RIN categories</t>
  </si>
  <si>
    <t>DNSP category (free-fill)</t>
  </si>
  <si>
    <t>Subtotal</t>
  </si>
  <si>
    <t>Load Connections</t>
  </si>
  <si>
    <t>SCS Capex model Inputs</t>
  </si>
  <si>
    <t>Contracts input</t>
  </si>
  <si>
    <t>24. Forecast type 2 capital contributions ($'000s 2023-24 June)</t>
  </si>
  <si>
    <t>Gifted assets / Type 2 capital contributions - Actual/Forecast</t>
  </si>
  <si>
    <t>TOTAL Excluding Gifted assets / Type 2 capital contributions</t>
  </si>
  <si>
    <t>Capital Contributions excluding Gifted Assets / Type 2 capital contributions</t>
  </si>
  <si>
    <t>Including capitalised overheads</t>
  </si>
  <si>
    <t>Source: ASD Standard MSO contributions forecast - 2027-31 - CONFIDENTIAL</t>
  </si>
  <si>
    <t>Source: ASD - Energy Connections Forecast Model - 310125 - CONFIDENTIAL</t>
  </si>
  <si>
    <t>Total Direct costs including Downer / Zinfra Support costs</t>
  </si>
  <si>
    <t>Gross Capex including AusNet overheads</t>
  </si>
  <si>
    <t>AusNet Overheads - Actual / Forecast</t>
  </si>
  <si>
    <t>TOTAL AusNet Overheads</t>
  </si>
  <si>
    <t>Capex attracting Downer / Zinfra support costs</t>
  </si>
  <si>
    <t>CPI - Nominal to Real $2024</t>
  </si>
  <si>
    <t>Direct excl Downer /Zinfra Support costs, Escalated</t>
  </si>
  <si>
    <t xml:space="preserve">Escalated Direct costs before DOMSA contract support including Type 2 capital contributions - Actual/Forecast </t>
  </si>
  <si>
    <t>Direct capex before DOMSA contract support costs, Escalated</t>
  </si>
  <si>
    <t>Direct capex before DOMSA contract support costs, Unescalated</t>
  </si>
  <si>
    <t>DOMSA contract support costs - Actual / Forecast</t>
  </si>
  <si>
    <t>TOTAL DOMSA contract support costs</t>
  </si>
  <si>
    <t>Forecast DOMSA contract support costs ($Nominal):</t>
  </si>
  <si>
    <t>Forecast DOMSA contract support costs (Real $2024):</t>
  </si>
  <si>
    <t xml:space="preserve">Escalated Direct costs including DOMSA contract support, excluding Type 2 capital contributions - Actual/Forecast </t>
  </si>
  <si>
    <t xml:space="preserve">Escalated Direct costs before DOMSA contract support, excluding Type 2 capital contributions - Actual/Forecast </t>
  </si>
  <si>
    <t xml:space="preserve">Escalated Direct costs including DOMSA contract support, including Type 2 capital contributions - Actual/Forecast </t>
  </si>
  <si>
    <t>From 1 July 2021, these connections include small generation projects, and BESS and hybrid projects up to 1.5MW capacity. Our forecast for the remainder of the current period and 2026-31 regulatory period includes some community (neighbourhood) batteries.</t>
  </si>
  <si>
    <t>Expected residential gross connections annual growth</t>
  </si>
  <si>
    <t>Expected I&amp;C gross connections annual growth</t>
  </si>
  <si>
    <t>Total Type 1 capital contributions - $Nominal</t>
  </si>
  <si>
    <t>Total Type 2 capital contributions - $Nominal</t>
  </si>
  <si>
    <t>Total - $Nominal</t>
  </si>
  <si>
    <t>Historical capital contributions - Type 1 and Type 2</t>
  </si>
  <si>
    <t>Historical cost recovery - current EDPR period</t>
  </si>
  <si>
    <t>Contracts Input</t>
  </si>
  <si>
    <t>HV rebate payments to land developers</t>
  </si>
  <si>
    <t>GL Account 406100 - per Regulatory accounts, $0's</t>
  </si>
  <si>
    <t>Capitalised Overheads included in Type 1 capital contributions above, $0's</t>
  </si>
  <si>
    <t>GL Account 406104 - per Regulatory accounts, $0's</t>
  </si>
  <si>
    <t>Total incl Gifted Assets / Type 2 capital contributions, $0's</t>
  </si>
  <si>
    <t>Forecast Capital Contributions - Type 1, before overheads (000's, $Jun 2026)</t>
  </si>
  <si>
    <t>8. EDPR RIN Outputs</t>
  </si>
  <si>
    <t>Forecast Type 1 Capital Contributions</t>
  </si>
  <si>
    <t>7. Forecast outputs</t>
  </si>
  <si>
    <t>Base Year Forecast capex and capital contributions - for SCS capex model input</t>
  </si>
  <si>
    <t>DIRECT COST (incl DOMSA contract support) including labour escalators ($000's)</t>
  </si>
  <si>
    <t>DIRECT COST (incl DOMSA contract support) including labour escalators ($000's, Jun $2026)</t>
  </si>
  <si>
    <t>Type 2 capital contributions - Gifted Assets</t>
  </si>
  <si>
    <t>Contributions - Gifted Assets only by work code</t>
  </si>
  <si>
    <t>Actual / Forecast Type 1 capital contributions</t>
  </si>
  <si>
    <t>Cumulative escalation factor: Real $2024 to $2026</t>
  </si>
  <si>
    <t>** Public version **</t>
  </si>
  <si>
    <t>TOTAL Including Gifted assets / Type 2 capital contributions</t>
  </si>
  <si>
    <t>Data centre</t>
  </si>
  <si>
    <t>Sep</t>
  </si>
  <si>
    <t>Jun</t>
  </si>
  <si>
    <t>Dec</t>
  </si>
  <si>
    <t>CPI Index - quarter</t>
  </si>
  <si>
    <t>CPI 8 cities - 1 year lagged</t>
  </si>
  <si>
    <t>Forecast Outputs</t>
  </si>
  <si>
    <t>Historical information</t>
  </si>
  <si>
    <t>Forecast Capex</t>
  </si>
  <si>
    <t>Average contribution rate (all connection types)</t>
  </si>
  <si>
    <t>* Excluded from RAB post 30 June 2021</t>
  </si>
  <si>
    <t>Our revised avg unit rate for the 2026-31 regulatory period is based on pre-calculated capital contributions in our proposed updated standard connection services Model Standing Offer that reflect 5-year historical average costs.</t>
  </si>
  <si>
    <t>Cells containing external links</t>
  </si>
  <si>
    <t>11. Inflation</t>
  </si>
  <si>
    <t>NOTE: please use a one year-lagged CPI series.</t>
  </si>
  <si>
    <t>June 2026</t>
  </si>
  <si>
    <t>CPI year on year change (%) - lagged one year (actual/estimate)</t>
  </si>
  <si>
    <t>12. Forecast real price escalation</t>
  </si>
  <si>
    <t>Annual escalation</t>
  </si>
  <si>
    <t>Internal labour</t>
  </si>
  <si>
    <t>Contract labour</t>
  </si>
  <si>
    <t>Non-labour</t>
  </si>
  <si>
    <t>36. Overheads rate to be applied to forecast escalated direct costs (%)</t>
  </si>
  <si>
    <t>Overheads Rate - Network</t>
  </si>
  <si>
    <t>Overheads Rate - Corporate</t>
  </si>
  <si>
    <t>Forecast costs and Unit rates - Real $ June 2024</t>
  </si>
  <si>
    <t>Distribution system assets</t>
  </si>
  <si>
    <t>PTRM Asset classes</t>
  </si>
  <si>
    <t>Source: 'ASD - Energy Connections Forecast Model - 310125 - CONFIDENTIAL'</t>
  </si>
  <si>
    <t>Direct costs excl Downer support ($Nominal)</t>
  </si>
  <si>
    <t>Downer support ($Nominal)</t>
  </si>
  <si>
    <t>Direct costs incl Downer support ($Nominal)</t>
  </si>
  <si>
    <t>Source: ASD Business supply projects (1014) - PUBLIC</t>
  </si>
  <si>
    <t>Source: ASD Complex residential supply (1018) - PUBLIC</t>
  </si>
  <si>
    <t>Source: ASD Low density housing (1019) -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</si>
</sst>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quot;$&quot;#,##0_);[Red]\(&quot;$&quot;#,##0\)"/>
    <numFmt numFmtId="165" formatCode="&quot;$&quot;#,##0.00_);[Red]\(&quot;$&quot;#,##0.00\)"/>
    <numFmt numFmtId="166" formatCode="0.000"/>
    <numFmt numFmtId="167" formatCode="0.0%"/>
    <numFmt numFmtId="168" formatCode="&quot;$&quot;#,##0.00;[Red]&quot;$&quot;#,##0.00"/>
    <numFmt numFmtId="169" formatCode="&quot;$&quot;#,##0;[Red]&quot;$&quot;#,##0"/>
    <numFmt numFmtId="170" formatCode="_-* #,##0.0_-;\-* #,##0.0_-;_-* &quot;-&quot;??_-;_-@_-"/>
    <numFmt numFmtId="171" formatCode="_-* #,##0_-;\-* #,##0_-;_-* &quot;-&quot;??_-;_-@_-"/>
    <numFmt numFmtId="172" formatCode="0.0000"/>
    <numFmt numFmtId="173" formatCode="_-&quot;$&quot;* #,##0_-;\-&quot;$&quot;* #,##0_-;_-&quot;$&quot;* &quot;-&quot;??_-;_-@_-"/>
    <numFmt numFmtId="174" formatCode="&quot;$&quot;#,##0"/>
    <numFmt numFmtId="175" formatCode="#,##0.0"/>
    <numFmt numFmtId="176" formatCode="0.000%"/>
    <numFmt numFmtId="177" formatCode="0.0000000%"/>
    <numFmt numFmtId="178" formatCode="0.0000%"/>
    <numFmt numFmtId="179" formatCode="0.00000%"/>
    <numFmt numFmtId="180" formatCode="&quot;$&quot;#,##0.00"/>
    <numFmt numFmtId="181" formatCode="_-* #,##0.000_-;\-* #,##0.000_-;_-* &quot;-&quot;??_-;_-@_-"/>
    <numFmt numFmtId="182" formatCode="0.00000000000"/>
    <numFmt numFmtId="183" formatCode="_(#,##0.00%_);_(#,##0.00%_);_(&quot;-&quot;_)"/>
    <numFmt numFmtId="184" formatCode="_-* #,##0.00000_-;\-* #,##0.00000_-;_-* &quot;-&quot;??_-;_-@_-"/>
    <numFmt numFmtId="185" formatCode="_(#,##0.00%_);[Red]_(\-#,##0.00%_);_(&quot;-&quot;_)"/>
  </numFmts>
  <fonts count="5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u/>
      <sz val="11"/>
      <color theme="1"/>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
      <sz val="11"/>
      <color theme="3"/>
      <name val="Calibri"/>
      <family val="2"/>
      <scheme val="minor"/>
    </font>
    <font>
      <b/>
      <sz val="14"/>
      <color rgb="FF002060"/>
      <name val="Calibri"/>
      <family val="2"/>
      <scheme val="minor"/>
    </font>
    <font>
      <b/>
      <sz val="11"/>
      <color theme="3"/>
      <name val="Calibri"/>
      <family val="2"/>
      <scheme val="minor"/>
    </font>
    <font>
      <b/>
      <sz val="11"/>
      <name val="Calibri"/>
      <family val="2"/>
      <scheme val="minor"/>
    </font>
    <font>
      <u/>
      <sz val="11"/>
      <color theme="10"/>
      <name val="Calibri"/>
      <family val="2"/>
      <scheme val="minor"/>
    </font>
    <font>
      <b/>
      <sz val="11"/>
      <color rgb="FF002060"/>
      <name val="Calibri"/>
      <family val="2"/>
      <scheme val="minor"/>
    </font>
    <font>
      <sz val="11"/>
      <color rgb="FF002060"/>
      <name val="Calibri"/>
      <family val="2"/>
      <scheme val="minor"/>
    </font>
    <font>
      <b/>
      <sz val="16"/>
      <color rgb="FF002060"/>
      <name val="Calibri"/>
      <family val="2"/>
      <scheme val="minor"/>
    </font>
    <font>
      <b/>
      <vertAlign val="superscript"/>
      <sz val="11"/>
      <color theme="1"/>
      <name val="Calibri"/>
      <family val="2"/>
    </font>
    <font>
      <u/>
      <sz val="10"/>
      <color theme="10"/>
      <name val="Calibri"/>
      <family val="2"/>
      <scheme val="minor"/>
    </font>
    <font>
      <b/>
      <sz val="11"/>
      <color rgb="FF0070C0"/>
      <name val="Calibri"/>
      <family val="2"/>
      <scheme val="minor"/>
    </font>
    <font>
      <sz val="11"/>
      <color theme="0"/>
      <name val="Calibri"/>
      <family val="2"/>
      <scheme val="minor"/>
    </font>
    <font>
      <sz val="11"/>
      <color rgb="FFC00000"/>
      <name val="Calibri"/>
      <family val="2"/>
      <scheme val="minor"/>
    </font>
    <font>
      <sz val="12"/>
      <color theme="1"/>
      <name val="Calibri"/>
      <family val="2"/>
      <scheme val="minor"/>
    </font>
    <font>
      <sz val="9"/>
      <color theme="1"/>
      <name val="Calibri"/>
      <family val="2"/>
      <scheme val="minor"/>
    </font>
    <font>
      <sz val="11"/>
      <color rgb="FF0070C0"/>
      <name val="Calibri"/>
      <family val="2"/>
      <scheme val="minor"/>
    </font>
    <font>
      <i/>
      <sz val="9"/>
      <color theme="1"/>
      <name val="Calibri"/>
      <family val="2"/>
      <scheme val="minor"/>
    </font>
    <font>
      <sz val="8"/>
      <name val="Calibri"/>
      <family val="2"/>
      <scheme val="minor"/>
    </font>
    <font>
      <b/>
      <sz val="11"/>
      <color theme="0"/>
      <name val="Calibri"/>
      <family val="2"/>
      <scheme val="minor"/>
    </font>
    <font>
      <b/>
      <sz val="14"/>
      <color rgb="FF0070C0"/>
      <name val="Calibri"/>
      <family val="2"/>
      <scheme val="minor"/>
    </font>
    <font>
      <b/>
      <sz val="10"/>
      <color theme="1"/>
      <name val="Arial"/>
      <family val="2"/>
    </font>
    <font>
      <b/>
      <sz val="11"/>
      <color rgb="FF0000FF"/>
      <name val="Calibri"/>
      <family val="2"/>
      <scheme val="minor"/>
    </font>
    <font>
      <b/>
      <sz val="10"/>
      <color rgb="FF0000FF"/>
      <name val="Arial"/>
      <family val="2"/>
    </font>
    <font>
      <b/>
      <i/>
      <sz val="10"/>
      <color theme="1"/>
      <name val="Arial"/>
      <family val="2"/>
    </font>
    <font>
      <sz val="9"/>
      <color indexed="81"/>
      <name val="Tahoma"/>
      <family val="2"/>
    </font>
    <font>
      <b/>
      <sz val="9"/>
      <color indexed="81"/>
      <name val="Tahoma"/>
      <family val="2"/>
    </font>
    <font>
      <strike/>
      <sz val="11"/>
      <color theme="1"/>
      <name val="Calibri"/>
      <family val="2"/>
      <scheme val="minor"/>
    </font>
    <font>
      <i/>
      <sz val="11"/>
      <name val="Calibri"/>
      <family val="2"/>
      <scheme val="minor"/>
    </font>
    <font>
      <i/>
      <sz val="10"/>
      <color theme="1"/>
      <name val="Calibri"/>
      <family val="2"/>
      <scheme val="minor"/>
    </font>
    <font>
      <sz val="11"/>
      <color theme="1"/>
      <name val="Calibri"/>
      <family val="2"/>
    </font>
    <font>
      <b/>
      <sz val="8"/>
      <name val="Arial"/>
      <family val="2"/>
    </font>
    <font>
      <sz val="10"/>
      <name val="Arial"/>
      <family val="2"/>
    </font>
    <font>
      <b/>
      <sz val="11"/>
      <color rgb="FF000000"/>
      <name val="Calibri"/>
      <family val="2"/>
    </font>
    <font>
      <b/>
      <i/>
      <sz val="11"/>
      <color rgb="FF0000FF"/>
      <name val="Calibri"/>
      <family val="2"/>
      <scheme val="minor"/>
    </font>
    <font>
      <b/>
      <sz val="11"/>
      <color rgb="FFFFFFFF"/>
      <name val="Arial"/>
      <family val="2"/>
    </font>
    <font>
      <b/>
      <sz val="9"/>
      <color rgb="FFFFFF00"/>
      <name val="Arial"/>
      <family val="2"/>
    </font>
    <font>
      <i/>
      <sz val="10"/>
      <color rgb="FF000000"/>
      <name val="Arial"/>
      <family val="2"/>
    </font>
    <font>
      <b/>
      <sz val="12"/>
      <color rgb="FFFFFFFF"/>
      <name val="Arial"/>
      <family val="2"/>
    </font>
    <font>
      <sz val="8"/>
      <name val="Arial"/>
      <family val="2"/>
    </font>
    <font>
      <b/>
      <sz val="10"/>
      <name val="Arial"/>
      <family val="2"/>
    </font>
  </fonts>
  <fills count="3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FF"/>
        <bgColor indexed="64"/>
      </patternFill>
    </fill>
    <fill>
      <patternFill patternType="solid">
        <fgColor theme="7" tint="0.79998168889431442"/>
        <bgColor indexed="64"/>
      </patternFill>
    </fill>
    <fill>
      <patternFill patternType="solid">
        <fgColor rgb="FF00FFFF"/>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DAEEF3"/>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A9D08E"/>
        <bgColor rgb="FF000000"/>
      </patternFill>
    </fill>
    <fill>
      <patternFill patternType="solid">
        <fgColor rgb="FFE2EFDA"/>
        <bgColor rgb="FF000000"/>
      </patternFill>
    </fill>
    <fill>
      <patternFill patternType="solid">
        <fgColor rgb="FFDDEBF7"/>
        <bgColor rgb="FF000000"/>
      </patternFill>
    </fill>
    <fill>
      <patternFill patternType="solid">
        <fgColor theme="3"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rgb="FF487B79"/>
        <bgColor rgb="FF000000"/>
      </patternFill>
    </fill>
    <fill>
      <patternFill patternType="solid">
        <fgColor rgb="FF9FC8C6"/>
        <bgColor rgb="FF000000"/>
      </patternFill>
    </fill>
    <fill>
      <patternFill patternType="solid">
        <fgColor rgb="FFD3EBDA"/>
        <bgColor rgb="FF000000"/>
      </patternFill>
    </fill>
    <fill>
      <patternFill patternType="solid">
        <fgColor rgb="FFD8F1EA"/>
        <bgColor rgb="FF000000"/>
      </patternFill>
    </fill>
    <fill>
      <patternFill patternType="solid">
        <fgColor rgb="FFF2F2F2"/>
        <bgColor rgb="FF000000"/>
      </patternFill>
    </fill>
    <fill>
      <patternFill patternType="solid">
        <fgColor rgb="FFC4BD97"/>
        <bgColor rgb="FF000000"/>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dashed">
        <color auto="1"/>
      </left>
      <right/>
      <top/>
      <bottom/>
      <diagonal/>
    </border>
    <border>
      <left style="dashed">
        <color auto="1"/>
      </left>
      <right/>
      <top/>
      <bottom style="thin">
        <color indexed="64"/>
      </bottom>
      <diagonal/>
    </border>
    <border>
      <left style="dashed">
        <color auto="1"/>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auto="1"/>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s>
  <cellStyleXfs count="4">
    <xf numFmtId="0" fontId="0" fillId="0" borderId="0"/>
    <xf numFmtId="9" fontId="5" fillId="0" borderId="0" applyFont="0" applyFill="0" applyBorder="0" applyAlignment="0" applyProtection="0"/>
    <xf numFmtId="0" fontId="17" fillId="0" borderId="0" applyNumberFormat="0" applyFill="0" applyBorder="0" applyAlignment="0" applyProtection="0"/>
    <xf numFmtId="43" fontId="5" fillId="0" borderId="0" applyFont="0" applyFill="0" applyBorder="0" applyAlignment="0" applyProtection="0"/>
  </cellStyleXfs>
  <cellXfs count="572">
    <xf numFmtId="0" fontId="0" fillId="0" borderId="0" xfId="0"/>
    <xf numFmtId="0" fontId="6" fillId="0" borderId="0" xfId="0" applyFont="1"/>
    <xf numFmtId="0" fontId="7" fillId="0" borderId="0" xfId="0" applyFont="1"/>
    <xf numFmtId="0" fontId="6" fillId="0" borderId="0" xfId="0" applyFont="1" applyAlignment="1">
      <alignment horizontal="center"/>
    </xf>
    <xf numFmtId="164" fontId="0" fillId="0" borderId="0" xfId="0" applyNumberFormat="1"/>
    <xf numFmtId="166" fontId="0" fillId="0" borderId="0" xfId="0" applyNumberFormat="1"/>
    <xf numFmtId="0" fontId="0" fillId="0" borderId="0" xfId="0" quotePrefix="1" applyAlignment="1">
      <alignment horizontal="center"/>
    </xf>
    <xf numFmtId="0" fontId="0" fillId="0" borderId="0" xfId="0" applyAlignment="1">
      <alignment horizontal="center"/>
    </xf>
    <xf numFmtId="0" fontId="8" fillId="0" borderId="0" xfId="0" applyFont="1"/>
    <xf numFmtId="0" fontId="9" fillId="0" borderId="0" xfId="0" applyFont="1"/>
    <xf numFmtId="3" fontId="0" fillId="0" borderId="0" xfId="0" applyNumberFormat="1"/>
    <xf numFmtId="9" fontId="0" fillId="0" borderId="0" xfId="1" applyFont="1"/>
    <xf numFmtId="167" fontId="0" fillId="0" borderId="0" xfId="1" applyNumberFormat="1" applyFont="1"/>
    <xf numFmtId="9" fontId="0" fillId="0" borderId="0" xfId="1" applyFont="1" applyBorder="1"/>
    <xf numFmtId="0" fontId="11" fillId="0" borderId="0" xfId="0" applyFont="1"/>
    <xf numFmtId="165" fontId="0" fillId="0" borderId="0" xfId="0" applyNumberFormat="1"/>
    <xf numFmtId="0" fontId="0" fillId="0" borderId="1" xfId="0" applyBorder="1"/>
    <xf numFmtId="3" fontId="6" fillId="0" borderId="0" xfId="0" applyNumberFormat="1" applyFont="1"/>
    <xf numFmtId="1" fontId="0" fillId="0" borderId="0" xfId="0" applyNumberFormat="1"/>
    <xf numFmtId="1" fontId="7" fillId="0" borderId="0" xfId="0" applyNumberFormat="1" applyFont="1"/>
    <xf numFmtId="0" fontId="12" fillId="0" borderId="0" xfId="0" applyFont="1"/>
    <xf numFmtId="9" fontId="0" fillId="0" borderId="0" xfId="0" applyNumberFormat="1"/>
    <xf numFmtId="167" fontId="0" fillId="3" borderId="3" xfId="1" applyNumberFormat="1" applyFont="1" applyFill="1" applyBorder="1" applyAlignment="1">
      <alignment vertical="center"/>
    </xf>
    <xf numFmtId="0" fontId="0" fillId="3" borderId="3" xfId="0" applyFill="1" applyBorder="1"/>
    <xf numFmtId="0" fontId="0" fillId="0" borderId="0" xfId="0" quotePrefix="1"/>
    <xf numFmtId="168" fontId="0" fillId="0" borderId="0" xfId="0" applyNumberFormat="1"/>
    <xf numFmtId="0" fontId="0" fillId="2" borderId="0" xfId="0" applyFill="1"/>
    <xf numFmtId="0" fontId="14" fillId="2" borderId="0" xfId="0" applyFont="1" applyFill="1"/>
    <xf numFmtId="0" fontId="6" fillId="0" borderId="3" xfId="0" applyFont="1" applyBorder="1"/>
    <xf numFmtId="0" fontId="6" fillId="0" borderId="3" xfId="0" applyFont="1" applyBorder="1" applyAlignment="1">
      <alignment horizontal="center"/>
    </xf>
    <xf numFmtId="0" fontId="16" fillId="0" borderId="0" xfId="0" applyFont="1"/>
    <xf numFmtId="0" fontId="0" fillId="3" borderId="0" xfId="0" applyFill="1"/>
    <xf numFmtId="0" fontId="0" fillId="3" borderId="0" xfId="0" applyFill="1" applyAlignment="1">
      <alignment horizontal="center"/>
    </xf>
    <xf numFmtId="0" fontId="17" fillId="3" borderId="0" xfId="2" applyFill="1"/>
    <xf numFmtId="0" fontId="18" fillId="3" borderId="0" xfId="2" applyFont="1" applyFill="1"/>
    <xf numFmtId="0" fontId="19" fillId="3" borderId="0" xfId="0" applyFont="1" applyFill="1" applyAlignment="1">
      <alignment horizontal="right"/>
    </xf>
    <xf numFmtId="0" fontId="20" fillId="3" borderId="0" xfId="0" applyFont="1" applyFill="1"/>
    <xf numFmtId="0" fontId="0" fillId="5" borderId="0" xfId="0" applyFill="1"/>
    <xf numFmtId="0" fontId="14" fillId="3" borderId="0" xfId="2" applyFont="1" applyFill="1"/>
    <xf numFmtId="0" fontId="14" fillId="0" borderId="0" xfId="2" applyFont="1" applyFill="1"/>
    <xf numFmtId="0" fontId="22" fillId="0" borderId="0" xfId="2" applyFont="1" applyFill="1"/>
    <xf numFmtId="0" fontId="22" fillId="2" borderId="0" xfId="2" applyFont="1" applyFill="1"/>
    <xf numFmtId="0" fontId="6" fillId="3" borderId="3" xfId="0" applyFont="1" applyFill="1" applyBorder="1" applyAlignment="1">
      <alignment horizontal="center" wrapText="1"/>
    </xf>
    <xf numFmtId="0" fontId="6" fillId="3" borderId="3" xfId="0" applyFont="1" applyFill="1" applyBorder="1" applyAlignment="1">
      <alignment horizontal="center"/>
    </xf>
    <xf numFmtId="166" fontId="0" fillId="3" borderId="3" xfId="0" applyNumberFormat="1" applyFill="1" applyBorder="1"/>
    <xf numFmtId="0" fontId="0" fillId="3" borderId="3" xfId="0" applyFill="1" applyBorder="1" applyAlignment="1">
      <alignment vertical="center"/>
    </xf>
    <xf numFmtId="0" fontId="0" fillId="3" borderId="3" xfId="0" applyFill="1" applyBorder="1" applyAlignment="1">
      <alignment horizontal="center" vertical="center"/>
    </xf>
    <xf numFmtId="170" fontId="0" fillId="0" borderId="0" xfId="3" applyNumberFormat="1" applyFont="1" applyBorder="1"/>
    <xf numFmtId="170" fontId="0" fillId="0" borderId="0" xfId="3" applyNumberFormat="1" applyFont="1"/>
    <xf numFmtId="0" fontId="0" fillId="0" borderId="0" xfId="0" applyAlignment="1">
      <alignment horizontal="left" indent="1"/>
    </xf>
    <xf numFmtId="0" fontId="10" fillId="0" borderId="0" xfId="0" applyFont="1"/>
    <xf numFmtId="0" fontId="22" fillId="3" borderId="0" xfId="2" applyFont="1" applyFill="1"/>
    <xf numFmtId="0" fontId="6" fillId="3" borderId="0" xfId="0" applyFont="1" applyFill="1"/>
    <xf numFmtId="0" fontId="13" fillId="3" borderId="0" xfId="0" applyFont="1" applyFill="1"/>
    <xf numFmtId="0" fontId="6" fillId="3" borderId="0" xfId="0" applyFont="1" applyFill="1" applyAlignment="1">
      <alignment horizontal="center"/>
    </xf>
    <xf numFmtId="3" fontId="0" fillId="3" borderId="0" xfId="0" applyNumberFormat="1" applyFill="1"/>
    <xf numFmtId="0" fontId="23" fillId="0" borderId="0" xfId="0" applyFont="1"/>
    <xf numFmtId="0" fontId="6" fillId="3" borderId="7" xfId="0" applyFont="1" applyFill="1" applyBorder="1" applyAlignment="1">
      <alignment horizontal="center"/>
    </xf>
    <xf numFmtId="0" fontId="6" fillId="3" borderId="8" xfId="0" applyFont="1" applyFill="1" applyBorder="1" applyAlignment="1">
      <alignment horizontal="center"/>
    </xf>
    <xf numFmtId="171" fontId="0" fillId="3" borderId="0" xfId="3" applyNumberFormat="1" applyFont="1" applyFill="1"/>
    <xf numFmtId="171" fontId="0" fillId="3" borderId="12" xfId="3" applyNumberFormat="1" applyFont="1" applyFill="1" applyBorder="1"/>
    <xf numFmtId="171" fontId="0" fillId="3" borderId="1" xfId="3" applyNumberFormat="1" applyFont="1" applyFill="1" applyBorder="1"/>
    <xf numFmtId="171" fontId="0" fillId="3" borderId="13" xfId="3" applyNumberFormat="1" applyFont="1" applyFill="1" applyBorder="1"/>
    <xf numFmtId="171" fontId="6" fillId="3" borderId="14" xfId="3" applyNumberFormat="1" applyFont="1" applyFill="1" applyBorder="1"/>
    <xf numFmtId="171" fontId="6" fillId="3" borderId="2" xfId="3" applyNumberFormat="1" applyFont="1" applyFill="1" applyBorder="1"/>
    <xf numFmtId="171" fontId="0" fillId="3" borderId="10" xfId="3" applyNumberFormat="1" applyFont="1" applyFill="1" applyBorder="1"/>
    <xf numFmtId="171" fontId="0" fillId="3" borderId="0" xfId="3" applyNumberFormat="1" applyFont="1" applyFill="1" applyBorder="1"/>
    <xf numFmtId="171" fontId="0" fillId="3" borderId="11" xfId="3" applyNumberFormat="1" applyFont="1" applyFill="1" applyBorder="1"/>
    <xf numFmtId="3" fontId="0" fillId="0" borderId="1" xfId="0" applyNumberFormat="1" applyBorder="1"/>
    <xf numFmtId="1" fontId="0" fillId="0" borderId="0" xfId="0" applyNumberFormat="1" applyAlignment="1">
      <alignment horizontal="center"/>
    </xf>
    <xf numFmtId="0" fontId="0" fillId="0" borderId="0" xfId="0" applyAlignment="1">
      <alignment horizontal="left"/>
    </xf>
    <xf numFmtId="43" fontId="0" fillId="0" borderId="0" xfId="0" applyNumberFormat="1"/>
    <xf numFmtId="43" fontId="0" fillId="0" borderId="0" xfId="3" applyFont="1"/>
    <xf numFmtId="3" fontId="0" fillId="0" borderId="0" xfId="0" applyNumberFormat="1" applyAlignment="1">
      <alignment horizontal="center"/>
    </xf>
    <xf numFmtId="171" fontId="0" fillId="0" borderId="0" xfId="0" applyNumberFormat="1"/>
    <xf numFmtId="0" fontId="6" fillId="0" borderId="10" xfId="0" applyFont="1" applyBorder="1" applyAlignment="1">
      <alignment horizontal="center"/>
    </xf>
    <xf numFmtId="0" fontId="0" fillId="0" borderId="10" xfId="0" applyBorder="1"/>
    <xf numFmtId="164" fontId="0" fillId="0" borderId="10" xfId="0" applyNumberFormat="1" applyBorder="1"/>
    <xf numFmtId="9" fontId="0" fillId="0" borderId="10" xfId="1" applyFont="1" applyBorder="1"/>
    <xf numFmtId="2" fontId="0" fillId="0" borderId="0" xfId="0" applyNumberFormat="1" applyAlignment="1">
      <alignment horizontal="center"/>
    </xf>
    <xf numFmtId="0" fontId="0" fillId="0" borderId="0" xfId="0" applyAlignment="1">
      <alignment horizontal="right"/>
    </xf>
    <xf numFmtId="0" fontId="0" fillId="0" borderId="3" xfId="0" applyBorder="1"/>
    <xf numFmtId="167" fontId="0" fillId="0" borderId="3" xfId="1" applyNumberFormat="1" applyFont="1" applyFill="1" applyBorder="1" applyAlignment="1">
      <alignment vertical="center"/>
    </xf>
    <xf numFmtId="164" fontId="11" fillId="0" borderId="0" xfId="0" applyNumberFormat="1" applyFont="1"/>
    <xf numFmtId="0" fontId="25" fillId="0" borderId="0" xfId="0" applyFont="1"/>
    <xf numFmtId="171" fontId="0" fillId="0" borderId="0" xfId="3" applyNumberFormat="1" applyFont="1" applyBorder="1"/>
    <xf numFmtId="0" fontId="26" fillId="0" borderId="0" xfId="0" applyFont="1"/>
    <xf numFmtId="164" fontId="0" fillId="0" borderId="20" xfId="0" applyNumberFormat="1" applyBorder="1"/>
    <xf numFmtId="0" fontId="27" fillId="0" borderId="0" xfId="0" applyFont="1"/>
    <xf numFmtId="10" fontId="0" fillId="0" borderId="3" xfId="1" applyNumberFormat="1" applyFont="1" applyBorder="1"/>
    <xf numFmtId="0" fontId="0" fillId="5" borderId="3" xfId="0" applyFill="1" applyBorder="1"/>
    <xf numFmtId="10" fontId="0" fillId="5" borderId="3" xfId="1" applyNumberFormat="1" applyFont="1" applyFill="1" applyBorder="1"/>
    <xf numFmtId="10" fontId="0" fillId="0" borderId="3" xfId="0" applyNumberFormat="1" applyBorder="1"/>
    <xf numFmtId="172" fontId="0" fillId="0" borderId="3" xfId="0" applyNumberFormat="1" applyBorder="1"/>
    <xf numFmtId="172" fontId="0" fillId="0" borderId="3" xfId="3" applyNumberFormat="1" applyFont="1" applyBorder="1"/>
    <xf numFmtId="0" fontId="0" fillId="0" borderId="3" xfId="0" applyBorder="1" applyAlignment="1">
      <alignment horizontal="center"/>
    </xf>
    <xf numFmtId="166" fontId="8" fillId="0" borderId="3" xfId="0" applyNumberFormat="1" applyFont="1" applyBorder="1"/>
    <xf numFmtId="3" fontId="6" fillId="0" borderId="5" xfId="0" applyNumberFormat="1" applyFont="1" applyBorder="1"/>
    <xf numFmtId="164" fontId="0" fillId="0" borderId="11" xfId="0" applyNumberFormat="1" applyBorder="1"/>
    <xf numFmtId="171" fontId="0" fillId="0" borderId="0" xfId="3" applyNumberFormat="1" applyFont="1" applyFill="1"/>
    <xf numFmtId="0" fontId="6" fillId="0" borderId="11" xfId="0" applyFont="1" applyBorder="1" applyAlignment="1">
      <alignment horizontal="center"/>
    </xf>
    <xf numFmtId="0" fontId="6" fillId="0" borderId="20" xfId="0" applyFont="1" applyBorder="1" applyAlignment="1">
      <alignment horizontal="center"/>
    </xf>
    <xf numFmtId="167" fontId="0" fillId="0" borderId="0" xfId="0" applyNumberFormat="1"/>
    <xf numFmtId="0" fontId="0" fillId="9" borderId="0" xfId="0" applyFill="1"/>
    <xf numFmtId="43" fontId="0" fillId="0" borderId="0" xfId="3" applyFont="1" applyFill="1"/>
    <xf numFmtId="172" fontId="0" fillId="0" borderId="0" xfId="0" applyNumberFormat="1"/>
    <xf numFmtId="0" fontId="0" fillId="0" borderId="3" xfId="0" applyBorder="1" applyAlignment="1">
      <alignment horizontal="center" vertical="center"/>
    </xf>
    <xf numFmtId="0" fontId="0" fillId="0" borderId="3" xfId="0" applyBorder="1" applyAlignment="1">
      <alignment vertical="center"/>
    </xf>
    <xf numFmtId="171" fontId="0" fillId="0" borderId="0" xfId="3" applyNumberFormat="1" applyFont="1"/>
    <xf numFmtId="171" fontId="0" fillId="0" borderId="1" xfId="3" applyNumberFormat="1" applyFont="1" applyBorder="1"/>
    <xf numFmtId="171" fontId="6" fillId="0" borderId="0" xfId="3" applyNumberFormat="1" applyFont="1"/>
    <xf numFmtId="171" fontId="0" fillId="0" borderId="10" xfId="3" applyNumberFormat="1" applyFont="1" applyBorder="1"/>
    <xf numFmtId="171" fontId="0" fillId="0" borderId="15" xfId="3" applyNumberFormat="1" applyFont="1" applyBorder="1"/>
    <xf numFmtId="171" fontId="6" fillId="0" borderId="10" xfId="3" applyNumberFormat="1" applyFont="1" applyBorder="1"/>
    <xf numFmtId="0" fontId="6" fillId="0" borderId="22" xfId="0" applyFont="1" applyBorder="1" applyAlignment="1">
      <alignment horizontal="center"/>
    </xf>
    <xf numFmtId="0" fontId="0" fillId="0" borderId="0" xfId="0" applyAlignment="1">
      <alignment horizontal="left" indent="2"/>
    </xf>
    <xf numFmtId="2" fontId="0" fillId="0" borderId="0" xfId="0" applyNumberFormat="1"/>
    <xf numFmtId="172" fontId="0" fillId="0" borderId="3" xfId="3" applyNumberFormat="1" applyFont="1" applyFill="1" applyBorder="1"/>
    <xf numFmtId="0" fontId="15" fillId="0" borderId="0" xfId="0" applyFont="1"/>
    <xf numFmtId="17" fontId="6" fillId="0" borderId="0" xfId="0" applyNumberFormat="1" applyFont="1" applyAlignment="1">
      <alignment horizontal="center"/>
    </xf>
    <xf numFmtId="17" fontId="0" fillId="0" borderId="0" xfId="0" applyNumberFormat="1" applyAlignment="1">
      <alignment horizontal="center"/>
    </xf>
    <xf numFmtId="17" fontId="0" fillId="3" borderId="3" xfId="0" applyNumberFormat="1" applyFill="1" applyBorder="1" applyAlignment="1">
      <alignment horizontal="center" vertical="center"/>
    </xf>
    <xf numFmtId="17" fontId="6" fillId="0" borderId="10" xfId="0" applyNumberFormat="1" applyFont="1" applyBorder="1" applyAlignment="1">
      <alignment horizontal="center"/>
    </xf>
    <xf numFmtId="9" fontId="0" fillId="3" borderId="0" xfId="0" applyNumberFormat="1" applyFill="1"/>
    <xf numFmtId="10" fontId="0" fillId="0" borderId="0" xfId="0" applyNumberFormat="1"/>
    <xf numFmtId="171" fontId="0" fillId="3" borderId="15" xfId="3" applyNumberFormat="1" applyFont="1" applyFill="1" applyBorder="1"/>
    <xf numFmtId="171" fontId="0" fillId="3" borderId="16" xfId="3" applyNumberFormat="1" applyFont="1" applyFill="1" applyBorder="1"/>
    <xf numFmtId="0" fontId="6" fillId="0" borderId="5" xfId="0" applyFont="1" applyBorder="1" applyAlignment="1">
      <alignment horizontal="center"/>
    </xf>
    <xf numFmtId="0" fontId="0" fillId="0" borderId="7" xfId="0" applyBorder="1"/>
    <xf numFmtId="0" fontId="0" fillId="0" borderId="5" xfId="0" applyBorder="1"/>
    <xf numFmtId="0" fontId="0" fillId="0" borderId="2" xfId="0" applyBorder="1"/>
    <xf numFmtId="0" fontId="6" fillId="0" borderId="5" xfId="0" applyFont="1" applyBorder="1"/>
    <xf numFmtId="0" fontId="6" fillId="3" borderId="5" xfId="0" applyFont="1" applyFill="1" applyBorder="1"/>
    <xf numFmtId="0" fontId="6" fillId="3" borderId="6" xfId="0" applyFont="1" applyFill="1" applyBorder="1" applyAlignment="1">
      <alignment horizontal="center"/>
    </xf>
    <xf numFmtId="0" fontId="6" fillId="3" borderId="2" xfId="0" applyFont="1" applyFill="1" applyBorder="1" applyAlignment="1">
      <alignment horizontal="center"/>
    </xf>
    <xf numFmtId="0" fontId="0" fillId="3" borderId="7" xfId="0" applyFill="1" applyBorder="1"/>
    <xf numFmtId="0" fontId="0" fillId="3" borderId="9" xfId="0" applyFill="1" applyBorder="1" applyAlignment="1">
      <alignment horizontal="center"/>
    </xf>
    <xf numFmtId="0" fontId="0" fillId="3" borderId="9" xfId="0" applyFill="1" applyBorder="1"/>
    <xf numFmtId="171" fontId="0" fillId="3" borderId="21" xfId="3" applyNumberFormat="1" applyFont="1" applyFill="1" applyBorder="1"/>
    <xf numFmtId="171" fontId="0" fillId="3" borderId="9" xfId="3" applyNumberFormat="1" applyFont="1" applyFill="1" applyBorder="1"/>
    <xf numFmtId="0" fontId="0" fillId="3" borderId="10" xfId="0" applyFill="1" applyBorder="1"/>
    <xf numFmtId="171" fontId="0" fillId="3" borderId="20" xfId="3" applyNumberFormat="1" applyFont="1" applyFill="1" applyBorder="1"/>
    <xf numFmtId="171" fontId="0" fillId="3" borderId="22" xfId="3" applyNumberFormat="1" applyFont="1" applyFill="1" applyBorder="1"/>
    <xf numFmtId="0" fontId="0" fillId="3" borderId="15" xfId="0" applyFill="1" applyBorder="1"/>
    <xf numFmtId="0" fontId="0" fillId="3" borderId="1" xfId="0" applyFill="1" applyBorder="1" applyAlignment="1">
      <alignment horizontal="center"/>
    </xf>
    <xf numFmtId="0" fontId="0" fillId="3" borderId="1" xfId="0" applyFill="1" applyBorder="1"/>
    <xf numFmtId="0" fontId="0" fillId="3" borderId="5" xfId="0" applyFill="1" applyBorder="1"/>
    <xf numFmtId="0" fontId="0" fillId="3" borderId="2" xfId="0" applyFill="1" applyBorder="1" applyAlignment="1">
      <alignment horizontal="center"/>
    </xf>
    <xf numFmtId="0" fontId="0" fillId="3" borderId="2" xfId="0" applyFill="1" applyBorder="1"/>
    <xf numFmtId="171" fontId="6" fillId="3" borderId="3" xfId="3" applyNumberFormat="1" applyFont="1" applyFill="1" applyBorder="1"/>
    <xf numFmtId="0" fontId="0" fillId="3" borderId="15" xfId="0" applyFill="1" applyBorder="1" applyAlignment="1">
      <alignment horizontal="right"/>
    </xf>
    <xf numFmtId="171" fontId="0" fillId="3" borderId="0" xfId="0" applyNumberFormat="1" applyFill="1"/>
    <xf numFmtId="171" fontId="0" fillId="3" borderId="23" xfId="3" applyNumberFormat="1" applyFont="1" applyFill="1" applyBorder="1"/>
    <xf numFmtId="171" fontId="0" fillId="3" borderId="8" xfId="3" applyNumberFormat="1" applyFont="1" applyFill="1" applyBorder="1"/>
    <xf numFmtId="171" fontId="0" fillId="3" borderId="9" xfId="3" applyNumberFormat="1" applyFont="1" applyFill="1" applyBorder="1" applyAlignment="1">
      <alignment horizontal="center"/>
    </xf>
    <xf numFmtId="171" fontId="0" fillId="3" borderId="0" xfId="3" applyNumberFormat="1" applyFont="1" applyFill="1" applyBorder="1" applyAlignment="1">
      <alignment horizontal="center"/>
    </xf>
    <xf numFmtId="171" fontId="0" fillId="3" borderId="1" xfId="3" applyNumberFormat="1" applyFont="1" applyFill="1" applyBorder="1" applyAlignment="1">
      <alignment horizontal="center"/>
    </xf>
    <xf numFmtId="0" fontId="6" fillId="3" borderId="2" xfId="0" applyFont="1" applyFill="1" applyBorder="1"/>
    <xf numFmtId="43" fontId="0" fillId="3" borderId="0" xfId="3" applyFont="1" applyFill="1"/>
    <xf numFmtId="171" fontId="0" fillId="3" borderId="7" xfId="3" applyNumberFormat="1" applyFont="1" applyFill="1" applyBorder="1"/>
    <xf numFmtId="0" fontId="6" fillId="3" borderId="21" xfId="0" applyFont="1" applyFill="1" applyBorder="1" applyAlignment="1">
      <alignment horizontal="center"/>
    </xf>
    <xf numFmtId="0" fontId="6" fillId="3" borderId="21" xfId="0" applyFont="1" applyFill="1" applyBorder="1"/>
    <xf numFmtId="0" fontId="0" fillId="3" borderId="21" xfId="0" applyFill="1" applyBorder="1"/>
    <xf numFmtId="0" fontId="0" fillId="3" borderId="20" xfId="0" applyFill="1" applyBorder="1"/>
    <xf numFmtId="0" fontId="0" fillId="3" borderId="22" xfId="0" applyFill="1" applyBorder="1"/>
    <xf numFmtId="0" fontId="6" fillId="3" borderId="3" xfId="0" applyFont="1" applyFill="1" applyBorder="1"/>
    <xf numFmtId="171" fontId="6" fillId="0" borderId="0" xfId="0" applyNumberFormat="1" applyFont="1"/>
    <xf numFmtId="171" fontId="6" fillId="3" borderId="3" xfId="0" applyNumberFormat="1" applyFont="1" applyFill="1" applyBorder="1"/>
    <xf numFmtId="0" fontId="23" fillId="3" borderId="0" xfId="0" applyFont="1" applyFill="1"/>
    <xf numFmtId="171" fontId="0" fillId="10" borderId="21" xfId="3" applyNumberFormat="1" applyFont="1" applyFill="1" applyBorder="1"/>
    <xf numFmtId="1" fontId="0" fillId="0" borderId="1" xfId="0" applyNumberFormat="1" applyBorder="1"/>
    <xf numFmtId="0" fontId="0" fillId="0" borderId="9" xfId="0" applyBorder="1"/>
    <xf numFmtId="3" fontId="0" fillId="0" borderId="9" xfId="0" applyNumberFormat="1" applyBorder="1"/>
    <xf numFmtId="3" fontId="0" fillId="0" borderId="8" xfId="0" applyNumberFormat="1" applyBorder="1"/>
    <xf numFmtId="3" fontId="0" fillId="0" borderId="11" xfId="0" applyNumberFormat="1" applyBorder="1"/>
    <xf numFmtId="0" fontId="0" fillId="0" borderId="15" xfId="0" applyBorder="1" applyAlignment="1">
      <alignment horizontal="right"/>
    </xf>
    <xf numFmtId="3" fontId="0" fillId="0" borderId="16" xfId="0" applyNumberFormat="1" applyBorder="1"/>
    <xf numFmtId="3" fontId="0" fillId="0" borderId="2" xfId="0" applyNumberFormat="1" applyBorder="1"/>
    <xf numFmtId="3" fontId="0" fillId="0" borderId="6" xfId="0" applyNumberFormat="1" applyBorder="1"/>
    <xf numFmtId="3" fontId="6" fillId="0" borderId="2" xfId="0" applyNumberFormat="1" applyFont="1" applyBorder="1"/>
    <xf numFmtId="3" fontId="6" fillId="0" borderId="6" xfId="0" applyNumberFormat="1" applyFont="1" applyBorder="1"/>
    <xf numFmtId="3" fontId="0" fillId="0" borderId="7" xfId="0" applyNumberFormat="1" applyBorder="1"/>
    <xf numFmtId="3" fontId="0" fillId="0" borderId="10" xfId="0" applyNumberFormat="1" applyBorder="1"/>
    <xf numFmtId="3" fontId="0" fillId="0" borderId="15" xfId="0" applyNumberFormat="1" applyBorder="1"/>
    <xf numFmtId="3" fontId="0" fillId="0" borderId="5" xfId="0" applyNumberFormat="1" applyBorder="1"/>
    <xf numFmtId="0" fontId="28" fillId="0" borderId="10" xfId="0" applyFont="1" applyBorder="1"/>
    <xf numFmtId="0" fontId="28" fillId="0" borderId="0" xfId="0" applyFont="1"/>
    <xf numFmtId="171" fontId="0" fillId="10" borderId="1" xfId="3" applyNumberFormat="1" applyFont="1" applyFill="1" applyBorder="1" applyAlignment="1">
      <alignment horizontal="center"/>
    </xf>
    <xf numFmtId="9" fontId="0" fillId="0" borderId="1" xfId="1" applyFont="1" applyBorder="1"/>
    <xf numFmtId="9" fontId="0" fillId="0" borderId="1" xfId="0" applyNumberFormat="1" applyBorder="1"/>
    <xf numFmtId="167" fontId="0" fillId="0" borderId="0" xfId="1" applyNumberFormat="1" applyFont="1" applyBorder="1"/>
    <xf numFmtId="10" fontId="0" fillId="0" borderId="0" xfId="1" applyNumberFormat="1" applyFont="1" applyFill="1" applyBorder="1"/>
    <xf numFmtId="171" fontId="6" fillId="10" borderId="3" xfId="3" applyNumberFormat="1" applyFont="1" applyFill="1" applyBorder="1"/>
    <xf numFmtId="167" fontId="0" fillId="0" borderId="3" xfId="1" applyNumberFormat="1" applyFont="1" applyFill="1" applyBorder="1"/>
    <xf numFmtId="167" fontId="0" fillId="0" borderId="3" xfId="1" applyNumberFormat="1" applyFont="1" applyBorder="1"/>
    <xf numFmtId="0" fontId="6" fillId="0" borderId="5" xfId="0" applyFont="1" applyBorder="1" applyAlignment="1">
      <alignment vertical="center"/>
    </xf>
    <xf numFmtId="0" fontId="0" fillId="0" borderId="6" xfId="0" applyBorder="1"/>
    <xf numFmtId="166" fontId="0" fillId="0" borderId="3" xfId="0" applyNumberFormat="1" applyBorder="1"/>
    <xf numFmtId="167" fontId="0" fillId="0" borderId="0" xfId="1" applyNumberFormat="1" applyFont="1" applyFill="1"/>
    <xf numFmtId="0" fontId="6" fillId="0" borderId="2" xfId="0" applyFont="1" applyBorder="1" applyAlignment="1">
      <alignment horizontal="center"/>
    </xf>
    <xf numFmtId="9" fontId="0" fillId="0" borderId="10" xfId="0" applyNumberFormat="1" applyBorder="1"/>
    <xf numFmtId="9" fontId="0" fillId="0" borderId="20" xfId="0" applyNumberFormat="1" applyBorder="1"/>
    <xf numFmtId="0" fontId="6" fillId="0" borderId="7"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xf numFmtId="164" fontId="0" fillId="0" borderId="15" xfId="0" applyNumberFormat="1" applyBorder="1"/>
    <xf numFmtId="164" fontId="0" fillId="0" borderId="1" xfId="0" applyNumberFormat="1" applyBorder="1"/>
    <xf numFmtId="164" fontId="0" fillId="0" borderId="16" xfId="0" applyNumberFormat="1" applyBorder="1"/>
    <xf numFmtId="0" fontId="6" fillId="0" borderId="21" xfId="0" applyFont="1" applyBorder="1" applyAlignment="1">
      <alignment horizontal="center"/>
    </xf>
    <xf numFmtId="164" fontId="0" fillId="0" borderId="22" xfId="0" applyNumberFormat="1" applyBorder="1"/>
    <xf numFmtId="164" fontId="0" fillId="0" borderId="21" xfId="0" applyNumberFormat="1" applyBorder="1"/>
    <xf numFmtId="164" fontId="0" fillId="0" borderId="7" xfId="0" applyNumberFormat="1" applyBorder="1"/>
    <xf numFmtId="164" fontId="0" fillId="0" borderId="9" xfId="0" applyNumberFormat="1" applyBorder="1"/>
    <xf numFmtId="0" fontId="0" fillId="0" borderId="15" xfId="0" applyBorder="1"/>
    <xf numFmtId="9" fontId="0" fillId="0" borderId="9" xfId="0" applyNumberFormat="1" applyBorder="1"/>
    <xf numFmtId="9" fontId="0" fillId="0" borderId="7" xfId="0" applyNumberFormat="1" applyBorder="1"/>
    <xf numFmtId="9" fontId="0" fillId="0" borderId="21" xfId="0" applyNumberFormat="1" applyBorder="1"/>
    <xf numFmtId="9" fontId="0" fillId="0" borderId="0" xfId="1" applyFont="1" applyFill="1" applyBorder="1"/>
    <xf numFmtId="9" fontId="0" fillId="0" borderId="15" xfId="0" applyNumberFormat="1" applyBorder="1"/>
    <xf numFmtId="9" fontId="0" fillId="0" borderId="1" xfId="1" applyFont="1" applyFill="1" applyBorder="1"/>
    <xf numFmtId="9" fontId="0" fillId="0" borderId="22" xfId="0" applyNumberFormat="1" applyBorder="1"/>
    <xf numFmtId="0" fontId="11" fillId="0" borderId="10" xfId="0" applyFont="1" applyBorder="1"/>
    <xf numFmtId="164" fontId="0" fillId="0" borderId="0" xfId="0" quotePrefix="1" applyNumberFormat="1" applyAlignment="1">
      <alignment horizontal="center"/>
    </xf>
    <xf numFmtId="175" fontId="0" fillId="0" borderId="0" xfId="0" applyNumberFormat="1"/>
    <xf numFmtId="176" fontId="0" fillId="0" borderId="0" xfId="0" applyNumberFormat="1"/>
    <xf numFmtId="164" fontId="11" fillId="0" borderId="10" xfId="0" applyNumberFormat="1" applyFont="1" applyBorder="1"/>
    <xf numFmtId="164" fontId="11" fillId="0" borderId="11" xfId="0" applyNumberFormat="1" applyFont="1" applyBorder="1"/>
    <xf numFmtId="0" fontId="6" fillId="0" borderId="6" xfId="0" applyFont="1" applyBorder="1" applyAlignment="1">
      <alignment horizontal="center"/>
    </xf>
    <xf numFmtId="0" fontId="11" fillId="3" borderId="3" xfId="0" applyFont="1" applyFill="1" applyBorder="1"/>
    <xf numFmtId="0" fontId="19" fillId="0" borderId="0" xfId="0" applyFont="1"/>
    <xf numFmtId="0" fontId="0" fillId="0" borderId="4" xfId="0" applyBorder="1"/>
    <xf numFmtId="1" fontId="0" fillId="0" borderId="4" xfId="0" applyNumberFormat="1" applyBorder="1"/>
    <xf numFmtId="167" fontId="11" fillId="3" borderId="0" xfId="1" applyNumberFormat="1" applyFont="1" applyFill="1"/>
    <xf numFmtId="0" fontId="31" fillId="0" borderId="0" xfId="0" applyFont="1"/>
    <xf numFmtId="0" fontId="11" fillId="0" borderId="0" xfId="0" applyFont="1" applyAlignment="1">
      <alignment horizontal="left" indent="1"/>
    </xf>
    <xf numFmtId="0" fontId="19" fillId="0" borderId="0" xfId="0" quotePrefix="1" applyFont="1" applyAlignment="1">
      <alignment horizontal="center"/>
    </xf>
    <xf numFmtId="171" fontId="0" fillId="0" borderId="1" xfId="3" applyNumberFormat="1" applyFont="1" applyFill="1" applyBorder="1"/>
    <xf numFmtId="171" fontId="0" fillId="0" borderId="10" xfId="3" applyNumberFormat="1" applyFont="1" applyFill="1" applyBorder="1"/>
    <xf numFmtId="0" fontId="0" fillId="10" borderId="9" xfId="0" applyFill="1" applyBorder="1"/>
    <xf numFmtId="171" fontId="0" fillId="10" borderId="9" xfId="3" applyNumberFormat="1" applyFont="1" applyFill="1" applyBorder="1"/>
    <xf numFmtId="171" fontId="0" fillId="0" borderId="4" xfId="0" applyNumberFormat="1" applyBorder="1"/>
    <xf numFmtId="0" fontId="32" fillId="3" borderId="0" xfId="0" applyFont="1" applyFill="1"/>
    <xf numFmtId="0" fontId="18" fillId="3" borderId="0" xfId="0" applyFont="1" applyFill="1"/>
    <xf numFmtId="177" fontId="0" fillId="0" borderId="0" xfId="1" applyNumberFormat="1" applyFont="1"/>
    <xf numFmtId="178" fontId="0" fillId="0" borderId="0" xfId="0" applyNumberFormat="1"/>
    <xf numFmtId="0" fontId="6" fillId="0" borderId="0" xfId="0" quotePrefix="1" applyFont="1"/>
    <xf numFmtId="0" fontId="33" fillId="0" borderId="2" xfId="0" applyFont="1" applyBorder="1"/>
    <xf numFmtId="0" fontId="4" fillId="0" borderId="0" xfId="0" applyFont="1"/>
    <xf numFmtId="0" fontId="35" fillId="0" borderId="0" xfId="0" applyFont="1" applyAlignment="1">
      <alignment horizontal="center"/>
    </xf>
    <xf numFmtId="0" fontId="4" fillId="0" borderId="0" xfId="0" quotePrefix="1" applyFont="1"/>
    <xf numFmtId="0" fontId="35" fillId="0" borderId="9" xfId="0" applyFont="1" applyBorder="1" applyAlignment="1">
      <alignment horizontal="center"/>
    </xf>
    <xf numFmtId="0" fontId="4" fillId="0" borderId="9" xfId="0" quotePrefix="1" applyFont="1" applyBorder="1"/>
    <xf numFmtId="0" fontId="4" fillId="0" borderId="9" xfId="0" applyFont="1" applyBorder="1"/>
    <xf numFmtId="0" fontId="4" fillId="0" borderId="1" xfId="0" applyFont="1" applyBorder="1"/>
    <xf numFmtId="0" fontId="4" fillId="0" borderId="1" xfId="0" quotePrefix="1" applyFont="1" applyBorder="1"/>
    <xf numFmtId="0" fontId="3" fillId="0" borderId="0" xfId="0" quotePrefix="1" applyFont="1"/>
    <xf numFmtId="10" fontId="0" fillId="0" borderId="0" xfId="1" applyNumberFormat="1" applyFont="1"/>
    <xf numFmtId="0" fontId="3" fillId="0" borderId="0" xfId="0" applyFont="1"/>
    <xf numFmtId="0" fontId="35" fillId="0" borderId="1" xfId="0" applyFont="1" applyBorder="1" applyAlignment="1">
      <alignment horizontal="center"/>
    </xf>
    <xf numFmtId="0" fontId="0" fillId="11" borderId="0" xfId="0" applyFill="1"/>
    <xf numFmtId="178" fontId="0" fillId="0" borderId="0" xfId="1" applyNumberFormat="1" applyFont="1" applyBorder="1"/>
    <xf numFmtId="0" fontId="2" fillId="0" borderId="0" xfId="0" applyFont="1"/>
    <xf numFmtId="0" fontId="36" fillId="0" borderId="0" xfId="0" applyFont="1"/>
    <xf numFmtId="0" fontId="1" fillId="0" borderId="0" xfId="0" applyFont="1"/>
    <xf numFmtId="9" fontId="0" fillId="0" borderId="15" xfId="1" applyFont="1" applyBorder="1"/>
    <xf numFmtId="0" fontId="0" fillId="2" borderId="10" xfId="0" applyFill="1" applyBorder="1"/>
    <xf numFmtId="0" fontId="0" fillId="2" borderId="15" xfId="0" applyFill="1" applyBorder="1"/>
    <xf numFmtId="43" fontId="11" fillId="0" borderId="0" xfId="3" applyFont="1" applyFill="1"/>
    <xf numFmtId="3" fontId="6" fillId="0" borderId="0" xfId="0" applyNumberFormat="1" applyFont="1" applyAlignment="1">
      <alignment horizontal="center"/>
    </xf>
    <xf numFmtId="3" fontId="6" fillId="2" borderId="0" xfId="0" applyNumberFormat="1" applyFont="1" applyFill="1" applyAlignment="1">
      <alignment horizontal="center"/>
    </xf>
    <xf numFmtId="3" fontId="8" fillId="0" borderId="0" xfId="0" applyNumberFormat="1" applyFont="1"/>
    <xf numFmtId="3" fontId="0" fillId="2" borderId="0" xfId="0" applyNumberFormat="1" applyFill="1"/>
    <xf numFmtId="0" fontId="6" fillId="2" borderId="0" xfId="0" applyFont="1" applyFill="1" applyAlignment="1">
      <alignment horizontal="center"/>
    </xf>
    <xf numFmtId="171" fontId="6" fillId="0" borderId="0" xfId="3" applyNumberFormat="1" applyFont="1" applyFill="1"/>
    <xf numFmtId="9" fontId="6" fillId="0" borderId="0" xfId="1" applyFont="1"/>
    <xf numFmtId="9" fontId="6" fillId="0" borderId="10" xfId="1" applyFont="1" applyBorder="1"/>
    <xf numFmtId="164" fontId="0" fillId="0" borderId="8" xfId="0" applyNumberFormat="1" applyBorder="1"/>
    <xf numFmtId="171" fontId="0" fillId="0" borderId="15" xfId="3" applyNumberFormat="1" applyFont="1" applyFill="1" applyBorder="1"/>
    <xf numFmtId="172" fontId="0" fillId="0" borderId="0" xfId="3" applyNumberFormat="1" applyFont="1" applyFill="1" applyBorder="1"/>
    <xf numFmtId="0" fontId="39" fillId="0" borderId="0" xfId="0" applyFont="1"/>
    <xf numFmtId="17" fontId="0" fillId="0" borderId="3" xfId="0" applyNumberFormat="1" applyBorder="1" applyAlignment="1">
      <alignment horizontal="center"/>
    </xf>
    <xf numFmtId="165" fontId="8" fillId="0" borderId="0" xfId="0" applyNumberFormat="1" applyFont="1" applyAlignment="1">
      <alignment horizontal="right"/>
    </xf>
    <xf numFmtId="171" fontId="0" fillId="0" borderId="11" xfId="3" applyNumberFormat="1" applyFont="1" applyBorder="1"/>
    <xf numFmtId="171" fontId="0" fillId="0" borderId="16" xfId="3" applyNumberFormat="1" applyFont="1" applyBorder="1"/>
    <xf numFmtId="17" fontId="6" fillId="0" borderId="5" xfId="0" applyNumberFormat="1" applyFont="1" applyBorder="1" applyAlignment="1">
      <alignment horizontal="center"/>
    </xf>
    <xf numFmtId="164" fontId="6" fillId="0" borderId="2" xfId="0" applyNumberFormat="1" applyFont="1" applyBorder="1"/>
    <xf numFmtId="164" fontId="6" fillId="0" borderId="5" xfId="0" applyNumberFormat="1" applyFont="1" applyBorder="1"/>
    <xf numFmtId="164" fontId="6" fillId="0" borderId="3" xfId="0" applyNumberFormat="1" applyFont="1" applyBorder="1"/>
    <xf numFmtId="179" fontId="0" fillId="0" borderId="0" xfId="0" applyNumberFormat="1"/>
    <xf numFmtId="171" fontId="0" fillId="0" borderId="1" xfId="0" applyNumberFormat="1" applyBorder="1"/>
    <xf numFmtId="10" fontId="0" fillId="0" borderId="3" xfId="1" applyNumberFormat="1" applyFont="1" applyFill="1" applyBorder="1" applyAlignment="1">
      <alignment vertical="center"/>
    </xf>
    <xf numFmtId="167" fontId="11" fillId="0" borderId="3" xfId="1" applyNumberFormat="1" applyFont="1" applyFill="1" applyBorder="1" applyAlignment="1">
      <alignment vertical="center"/>
    </xf>
    <xf numFmtId="10" fontId="11" fillId="0" borderId="3" xfId="1" applyNumberFormat="1" applyFont="1" applyFill="1" applyBorder="1" applyAlignment="1">
      <alignment vertical="center"/>
    </xf>
    <xf numFmtId="164" fontId="8" fillId="0" borderId="0" xfId="0" applyNumberFormat="1" applyFont="1"/>
    <xf numFmtId="0" fontId="0" fillId="3" borderId="11" xfId="0" applyFill="1" applyBorder="1"/>
    <xf numFmtId="0" fontId="0" fillId="3" borderId="16" xfId="0" applyFill="1" applyBorder="1"/>
    <xf numFmtId="170" fontId="0" fillId="3" borderId="20" xfId="3" applyNumberFormat="1" applyFont="1" applyFill="1" applyBorder="1"/>
    <xf numFmtId="169" fontId="0" fillId="0" borderId="0" xfId="0" applyNumberFormat="1"/>
    <xf numFmtId="9" fontId="8" fillId="0" borderId="0" xfId="1" applyFont="1"/>
    <xf numFmtId="0" fontId="6" fillId="4" borderId="3" xfId="0" applyFont="1" applyFill="1" applyBorder="1" applyAlignment="1">
      <alignment horizontal="center" wrapText="1"/>
    </xf>
    <xf numFmtId="0" fontId="11" fillId="0" borderId="3" xfId="0" applyFont="1" applyBorder="1"/>
    <xf numFmtId="9" fontId="0" fillId="0" borderId="3" xfId="0" applyNumberFormat="1" applyBorder="1"/>
    <xf numFmtId="164" fontId="11" fillId="0" borderId="20" xfId="0" applyNumberFormat="1" applyFont="1" applyBorder="1"/>
    <xf numFmtId="9" fontId="11" fillId="0" borderId="20" xfId="0" applyNumberFormat="1" applyFont="1" applyBorder="1"/>
    <xf numFmtId="9" fontId="11" fillId="0" borderId="10" xfId="0" applyNumberFormat="1" applyFont="1" applyBorder="1"/>
    <xf numFmtId="9" fontId="11" fillId="0" borderId="0" xfId="0" applyNumberFormat="1" applyFont="1"/>
    <xf numFmtId="3" fontId="7" fillId="0" borderId="0" xfId="0" applyNumberFormat="1" applyFont="1"/>
    <xf numFmtId="171" fontId="11" fillId="0" borderId="0" xfId="3" applyNumberFormat="1" applyFont="1" applyBorder="1"/>
    <xf numFmtId="173" fontId="0" fillId="0" borderId="3" xfId="0" applyNumberFormat="1" applyBorder="1"/>
    <xf numFmtId="2" fontId="8" fillId="0" borderId="0" xfId="0" applyNumberFormat="1" applyFont="1"/>
    <xf numFmtId="43" fontId="40" fillId="0" borderId="0" xfId="3" applyFont="1" applyFill="1"/>
    <xf numFmtId="43" fontId="40" fillId="0" borderId="0" xfId="3" applyFont="1"/>
    <xf numFmtId="180" fontId="0" fillId="0" borderId="0" xfId="0" applyNumberFormat="1"/>
    <xf numFmtId="9" fontId="0" fillId="6" borderId="15" xfId="1" applyFont="1" applyFill="1" applyBorder="1"/>
    <xf numFmtId="9" fontId="0" fillId="6" borderId="1" xfId="1" applyFont="1" applyFill="1" applyBorder="1"/>
    <xf numFmtId="0" fontId="0" fillId="0" borderId="3" xfId="0" applyBorder="1" applyAlignment="1">
      <alignment wrapText="1"/>
    </xf>
    <xf numFmtId="0" fontId="0" fillId="3" borderId="8" xfId="0" applyFill="1" applyBorder="1"/>
    <xf numFmtId="9" fontId="0" fillId="3" borderId="0" xfId="1" applyFont="1" applyFill="1"/>
    <xf numFmtId="10" fontId="0" fillId="3" borderId="3" xfId="1" applyNumberFormat="1" applyFont="1" applyFill="1" applyBorder="1"/>
    <xf numFmtId="171" fontId="6" fillId="0" borderId="3" xfId="3" applyNumberFormat="1" applyFont="1" applyFill="1" applyBorder="1"/>
    <xf numFmtId="17" fontId="6" fillId="3" borderId="7" xfId="0" applyNumberFormat="1" applyFont="1" applyFill="1" applyBorder="1" applyAlignment="1">
      <alignment horizontal="center"/>
    </xf>
    <xf numFmtId="3" fontId="11" fillId="0" borderId="10" xfId="0" applyNumberFormat="1" applyFont="1" applyBorder="1"/>
    <xf numFmtId="3" fontId="11" fillId="0" borderId="11" xfId="0" applyNumberFormat="1" applyFont="1" applyBorder="1"/>
    <xf numFmtId="3" fontId="11" fillId="0" borderId="15" xfId="0" applyNumberFormat="1" applyFont="1" applyBorder="1"/>
    <xf numFmtId="3" fontId="11" fillId="0" borderId="1" xfId="0" applyNumberFormat="1" applyFont="1" applyBorder="1"/>
    <xf numFmtId="3" fontId="11" fillId="0" borderId="16" xfId="0" applyNumberFormat="1" applyFont="1" applyBorder="1"/>
    <xf numFmtId="171" fontId="0" fillId="15" borderId="7" xfId="3" applyNumberFormat="1" applyFont="1" applyFill="1" applyBorder="1"/>
    <xf numFmtId="171" fontId="0" fillId="15" borderId="10" xfId="3" applyNumberFormat="1" applyFont="1" applyFill="1" applyBorder="1"/>
    <xf numFmtId="171" fontId="0" fillId="15" borderId="15" xfId="3" applyNumberFormat="1" applyFont="1" applyFill="1" applyBorder="1"/>
    <xf numFmtId="9" fontId="0" fillId="0" borderId="2" xfId="0" applyNumberFormat="1" applyBorder="1"/>
    <xf numFmtId="9" fontId="0" fillId="0" borderId="2" xfId="1" applyFont="1" applyBorder="1" applyAlignment="1"/>
    <xf numFmtId="9" fontId="0" fillId="0" borderId="0" xfId="1" applyFont="1" applyFill="1"/>
    <xf numFmtId="0" fontId="0" fillId="0" borderId="7" xfId="0" applyBorder="1" applyAlignment="1">
      <alignment horizontal="center"/>
    </xf>
    <xf numFmtId="171" fontId="0" fillId="0" borderId="8" xfId="3" applyNumberFormat="1" applyFont="1" applyBorder="1"/>
    <xf numFmtId="0" fontId="0" fillId="0" borderId="10" xfId="0" applyBorder="1" applyAlignment="1">
      <alignment horizontal="center"/>
    </xf>
    <xf numFmtId="0" fontId="0" fillId="0" borderId="15" xfId="0" applyBorder="1" applyAlignment="1">
      <alignment horizontal="center"/>
    </xf>
    <xf numFmtId="0" fontId="0" fillId="2" borderId="10" xfId="0" applyFill="1" applyBorder="1" applyAlignment="1">
      <alignment horizontal="center"/>
    </xf>
    <xf numFmtId="171" fontId="0" fillId="2" borderId="11" xfId="3" applyNumberFormat="1" applyFont="1" applyFill="1" applyBorder="1"/>
    <xf numFmtId="0" fontId="0" fillId="2" borderId="15" xfId="0" applyFill="1" applyBorder="1" applyAlignment="1">
      <alignment horizontal="center"/>
    </xf>
    <xf numFmtId="171" fontId="0" fillId="16" borderId="16" xfId="3" applyNumberFormat="1" applyFont="1" applyFill="1" applyBorder="1"/>
    <xf numFmtId="0" fontId="0" fillId="2" borderId="5" xfId="0" applyFill="1" applyBorder="1"/>
    <xf numFmtId="0" fontId="0" fillId="2" borderId="5" xfId="0" applyFill="1" applyBorder="1" applyAlignment="1">
      <alignment horizontal="center"/>
    </xf>
    <xf numFmtId="171" fontId="0" fillId="2" borderId="6" xfId="3" applyNumberFormat="1" applyFont="1" applyFill="1" applyBorder="1"/>
    <xf numFmtId="0" fontId="6" fillId="0" borderId="6" xfId="0" applyFont="1" applyBorder="1"/>
    <xf numFmtId="171" fontId="6" fillId="0" borderId="6" xfId="0" applyNumberFormat="1" applyFont="1" applyBorder="1"/>
    <xf numFmtId="49" fontId="0" fillId="0" borderId="0" xfId="0" applyNumberFormat="1"/>
    <xf numFmtId="9" fontId="8" fillId="0" borderId="0" xfId="1" applyFont="1" applyFill="1"/>
    <xf numFmtId="181" fontId="0" fillId="0" borderId="0" xfId="3" applyNumberFormat="1" applyFont="1"/>
    <xf numFmtId="171" fontId="6" fillId="0" borderId="2" xfId="3" applyNumberFormat="1" applyFont="1" applyBorder="1"/>
    <xf numFmtId="171" fontId="0" fillId="3" borderId="1" xfId="0" applyNumberFormat="1" applyFill="1" applyBorder="1"/>
    <xf numFmtId="181" fontId="0" fillId="3" borderId="0" xfId="0" applyNumberFormat="1" applyFill="1"/>
    <xf numFmtId="3" fontId="11" fillId="0" borderId="0" xfId="0" applyNumberFormat="1" applyFont="1"/>
    <xf numFmtId="9" fontId="0" fillId="0" borderId="7" xfId="1" applyFont="1" applyFill="1" applyBorder="1"/>
    <xf numFmtId="9" fontId="0" fillId="0" borderId="9" xfId="1" applyFont="1" applyFill="1" applyBorder="1"/>
    <xf numFmtId="9" fontId="0" fillId="0" borderId="8" xfId="1" applyFont="1" applyFill="1" applyBorder="1"/>
    <xf numFmtId="9" fontId="0" fillId="0" borderId="10" xfId="1" applyFont="1" applyFill="1" applyBorder="1"/>
    <xf numFmtId="9" fontId="0" fillId="0" borderId="11" xfId="1" applyFont="1" applyFill="1" applyBorder="1"/>
    <xf numFmtId="10" fontId="0" fillId="8" borderId="17" xfId="1" applyNumberFormat="1" applyFont="1" applyFill="1" applyBorder="1"/>
    <xf numFmtId="10" fontId="0" fillId="8" borderId="18" xfId="1" applyNumberFormat="1" applyFont="1" applyFill="1" applyBorder="1"/>
    <xf numFmtId="10" fontId="0" fillId="8" borderId="19" xfId="1" applyNumberFormat="1" applyFont="1" applyFill="1" applyBorder="1"/>
    <xf numFmtId="9" fontId="0" fillId="0" borderId="3" xfId="0" applyNumberFormat="1" applyBorder="1" applyAlignment="1">
      <alignment horizontal="right"/>
    </xf>
    <xf numFmtId="182" fontId="0" fillId="0" borderId="0" xfId="3" applyNumberFormat="1" applyFont="1"/>
    <xf numFmtId="182" fontId="0" fillId="0" borderId="0" xfId="0" applyNumberFormat="1"/>
    <xf numFmtId="10" fontId="0" fillId="14" borderId="0" xfId="1" applyNumberFormat="1" applyFont="1" applyFill="1"/>
    <xf numFmtId="10" fontId="0" fillId="0" borderId="2" xfId="1" applyNumberFormat="1" applyFont="1" applyBorder="1"/>
    <xf numFmtId="10" fontId="0" fillId="0" borderId="6" xfId="1" applyNumberFormat="1" applyFont="1" applyBorder="1"/>
    <xf numFmtId="10" fontId="0" fillId="0" borderId="5" xfId="1" applyNumberFormat="1" applyFont="1" applyBorder="1"/>
    <xf numFmtId="168" fontId="6" fillId="0" borderId="0" xfId="0" applyNumberFormat="1" applyFont="1" applyAlignment="1">
      <alignment horizontal="center"/>
    </xf>
    <xf numFmtId="0" fontId="29" fillId="0" borderId="0" xfId="0" applyFont="1"/>
    <xf numFmtId="10" fontId="0" fillId="0" borderId="10" xfId="0" applyNumberFormat="1" applyBorder="1"/>
    <xf numFmtId="17" fontId="6" fillId="0" borderId="11" xfId="0" applyNumberFormat="1" applyFont="1" applyBorder="1" applyAlignment="1">
      <alignment horizontal="center"/>
    </xf>
    <xf numFmtId="0" fontId="0" fillId="0" borderId="11" xfId="0" applyBorder="1"/>
    <xf numFmtId="9" fontId="0" fillId="0" borderId="11" xfId="0" applyNumberFormat="1" applyBorder="1"/>
    <xf numFmtId="10" fontId="0" fillId="0" borderId="11" xfId="0" applyNumberFormat="1" applyBorder="1"/>
    <xf numFmtId="0" fontId="41" fillId="0" borderId="0" xfId="0" quotePrefix="1" applyFont="1"/>
    <xf numFmtId="171" fontId="0" fillId="18" borderId="7" xfId="3" applyNumberFormat="1" applyFont="1" applyFill="1" applyBorder="1"/>
    <xf numFmtId="171" fontId="0" fillId="18" borderId="21" xfId="3" applyNumberFormat="1" applyFont="1" applyFill="1" applyBorder="1"/>
    <xf numFmtId="171" fontId="0" fillId="18" borderId="8" xfId="3" applyNumberFormat="1" applyFont="1" applyFill="1" applyBorder="1"/>
    <xf numFmtId="3" fontId="11" fillId="18" borderId="15" xfId="0" applyNumberFormat="1" applyFont="1" applyFill="1" applyBorder="1"/>
    <xf numFmtId="3" fontId="28" fillId="18" borderId="1" xfId="0" applyNumberFormat="1" applyFont="1" applyFill="1" applyBorder="1"/>
    <xf numFmtId="3" fontId="28" fillId="18" borderId="16" xfId="0" applyNumberFormat="1" applyFont="1" applyFill="1" applyBorder="1"/>
    <xf numFmtId="3" fontId="11" fillId="18" borderId="10" xfId="0" applyNumberFormat="1" applyFont="1" applyFill="1" applyBorder="1"/>
    <xf numFmtId="3" fontId="28" fillId="18" borderId="0" xfId="0" applyNumberFormat="1" applyFont="1" applyFill="1"/>
    <xf numFmtId="3" fontId="28" fillId="18" borderId="11" xfId="0" applyNumberFormat="1" applyFont="1" applyFill="1" applyBorder="1"/>
    <xf numFmtId="0" fontId="0" fillId="3" borderId="0" xfId="0" applyFill="1" applyAlignment="1">
      <alignment horizontal="right"/>
    </xf>
    <xf numFmtId="183" fontId="35" fillId="0" borderId="0" xfId="1" applyNumberFormat="1" applyFont="1" applyFill="1" applyBorder="1"/>
    <xf numFmtId="0" fontId="43" fillId="19" borderId="27" xfId="0" applyFont="1" applyFill="1" applyBorder="1" applyAlignment="1">
      <alignment horizontal="center" vertical="center"/>
    </xf>
    <xf numFmtId="0" fontId="42" fillId="0" borderId="0" xfId="0" applyFont="1"/>
    <xf numFmtId="0" fontId="44" fillId="20" borderId="28" xfId="0" applyFont="1" applyFill="1" applyBorder="1" applyProtection="1">
      <protection locked="0"/>
    </xf>
    <xf numFmtId="1" fontId="44" fillId="20" borderId="28" xfId="0" applyNumberFormat="1" applyFont="1" applyFill="1" applyBorder="1" applyAlignment="1" applyProtection="1">
      <alignment horizontal="center"/>
      <protection locked="0"/>
    </xf>
    <xf numFmtId="0" fontId="44" fillId="20" borderId="28" xfId="0" applyFont="1" applyFill="1" applyBorder="1" applyAlignment="1" applyProtection="1">
      <alignment horizontal="center"/>
      <protection locked="0"/>
    </xf>
    <xf numFmtId="0" fontId="44" fillId="21" borderId="28" xfId="0" applyFont="1" applyFill="1" applyBorder="1" applyAlignment="1" applyProtection="1">
      <alignment horizontal="center"/>
      <protection locked="0"/>
    </xf>
    <xf numFmtId="43" fontId="42" fillId="20" borderId="28" xfId="3" applyFont="1" applyFill="1" applyBorder="1" applyAlignment="1" applyProtection="1">
      <alignment horizontal="center"/>
      <protection locked="0"/>
    </xf>
    <xf numFmtId="43" fontId="42" fillId="20" borderId="27" xfId="3" applyFont="1" applyFill="1" applyBorder="1" applyAlignment="1" applyProtection="1">
      <alignment horizontal="center"/>
      <protection locked="0"/>
    </xf>
    <xf numFmtId="43" fontId="42" fillId="0" borderId="0" xfId="3" applyFont="1" applyFill="1" applyBorder="1"/>
    <xf numFmtId="0" fontId="45" fillId="0" borderId="0" xfId="0" applyFont="1"/>
    <xf numFmtId="43" fontId="45" fillId="0" borderId="3" xfId="0" applyNumberFormat="1" applyFont="1" applyBorder="1"/>
    <xf numFmtId="0" fontId="45" fillId="0" borderId="0" xfId="0" applyFont="1" applyAlignment="1">
      <alignment horizontal="center"/>
    </xf>
    <xf numFmtId="0" fontId="45" fillId="0" borderId="0" xfId="0" applyFont="1" applyAlignment="1">
      <alignment horizontal="right"/>
    </xf>
    <xf numFmtId="10" fontId="42" fillId="0" borderId="0" xfId="1" applyNumberFormat="1" applyFont="1" applyFill="1" applyBorder="1" applyAlignment="1">
      <alignment horizontal="center"/>
    </xf>
    <xf numFmtId="43" fontId="8" fillId="0" borderId="0" xfId="0" applyNumberFormat="1" applyFont="1"/>
    <xf numFmtId="0" fontId="0" fillId="0" borderId="8" xfId="0" applyBorder="1"/>
    <xf numFmtId="164" fontId="6" fillId="0" borderId="6" xfId="0" applyNumberFormat="1" applyFont="1" applyBorder="1"/>
    <xf numFmtId="0" fontId="6" fillId="12" borderId="0" xfId="0" applyFont="1" applyFill="1"/>
    <xf numFmtId="164" fontId="6" fillId="12" borderId="2" xfId="0" applyNumberFormat="1" applyFont="1" applyFill="1" applyBorder="1"/>
    <xf numFmtId="164" fontId="6" fillId="12" borderId="5" xfId="0" applyNumberFormat="1" applyFont="1" applyFill="1" applyBorder="1"/>
    <xf numFmtId="164" fontId="6" fillId="12" borderId="3" xfId="0" applyNumberFormat="1" applyFont="1" applyFill="1" applyBorder="1"/>
    <xf numFmtId="43" fontId="0" fillId="3" borderId="0" xfId="0" applyNumberFormat="1" applyFill="1"/>
    <xf numFmtId="0" fontId="0" fillId="0" borderId="0" xfId="1" quotePrefix="1" applyNumberFormat="1" applyFont="1"/>
    <xf numFmtId="170" fontId="16" fillId="0" borderId="0" xfId="3" quotePrefix="1" applyNumberFormat="1" applyFont="1" applyAlignment="1">
      <alignment horizontal="right"/>
    </xf>
    <xf numFmtId="0" fontId="6" fillId="8" borderId="0" xfId="0" applyFont="1" applyFill="1"/>
    <xf numFmtId="164" fontId="6" fillId="8" borderId="2" xfId="0" applyNumberFormat="1" applyFont="1" applyFill="1" applyBorder="1"/>
    <xf numFmtId="164" fontId="6" fillId="8" borderId="5" xfId="0" applyNumberFormat="1" applyFont="1" applyFill="1" applyBorder="1"/>
    <xf numFmtId="164" fontId="6" fillId="8" borderId="3" xfId="0" applyNumberFormat="1" applyFont="1" applyFill="1" applyBorder="1"/>
    <xf numFmtId="10" fontId="0" fillId="0" borderId="0" xfId="1" applyNumberFormat="1" applyFont="1" applyFill="1" applyBorder="1" applyAlignment="1">
      <alignment horizontal="center"/>
    </xf>
    <xf numFmtId="164" fontId="6" fillId="0" borderId="15" xfId="0" applyNumberFormat="1" applyFont="1" applyBorder="1"/>
    <xf numFmtId="164" fontId="6" fillId="0" borderId="1" xfId="0" applyNumberFormat="1" applyFont="1" applyBorder="1"/>
    <xf numFmtId="164" fontId="6" fillId="0" borderId="16" xfId="0" applyNumberFormat="1" applyFont="1" applyBorder="1"/>
    <xf numFmtId="166" fontId="42" fillId="0" borderId="0" xfId="0" applyNumberFormat="1" applyFont="1"/>
    <xf numFmtId="0" fontId="6" fillId="0" borderId="0" xfId="0" applyFont="1" applyAlignment="1">
      <alignment horizontal="right"/>
    </xf>
    <xf numFmtId="164" fontId="6" fillId="0" borderId="0" xfId="0" applyNumberFormat="1" applyFont="1" applyAlignment="1">
      <alignment horizontal="right"/>
    </xf>
    <xf numFmtId="17" fontId="6" fillId="0" borderId="3" xfId="0" applyNumberFormat="1" applyFont="1" applyBorder="1" applyAlignment="1">
      <alignment horizontal="center"/>
    </xf>
    <xf numFmtId="0" fontId="6" fillId="0" borderId="0" xfId="0" applyFont="1" applyAlignment="1">
      <alignment horizontal="right" indent="1"/>
    </xf>
    <xf numFmtId="171" fontId="0" fillId="0" borderId="22" xfId="3" applyNumberFormat="1" applyFont="1" applyFill="1" applyBorder="1"/>
    <xf numFmtId="0" fontId="46" fillId="3" borderId="0" xfId="0" applyFont="1" applyFill="1"/>
    <xf numFmtId="164" fontId="6" fillId="0" borderId="21" xfId="0" applyNumberFormat="1" applyFont="1" applyBorder="1" applyAlignment="1">
      <alignment horizontal="center"/>
    </xf>
    <xf numFmtId="184" fontId="0" fillId="0" borderId="0" xfId="3" applyNumberFormat="1" applyFont="1"/>
    <xf numFmtId="164" fontId="0" fillId="23" borderId="21" xfId="0" applyNumberFormat="1" applyFill="1" applyBorder="1"/>
    <xf numFmtId="164" fontId="0" fillId="23" borderId="10" xfId="0" applyNumberFormat="1" applyFill="1" applyBorder="1"/>
    <xf numFmtId="164" fontId="0" fillId="23" borderId="0" xfId="0" applyNumberFormat="1" applyFill="1"/>
    <xf numFmtId="164" fontId="0" fillId="23" borderId="8" xfId="0" applyNumberFormat="1" applyFill="1" applyBorder="1"/>
    <xf numFmtId="164" fontId="0" fillId="23" borderId="20" xfId="0" applyNumberFormat="1" applyFill="1" applyBorder="1"/>
    <xf numFmtId="164" fontId="0" fillId="23" borderId="11" xfId="0" applyNumberFormat="1" applyFill="1" applyBorder="1"/>
    <xf numFmtId="164" fontId="6" fillId="23" borderId="3" xfId="0" applyNumberFormat="1" applyFont="1" applyFill="1" applyBorder="1"/>
    <xf numFmtId="164" fontId="6" fillId="23" borderId="5" xfId="0" applyNumberFormat="1" applyFont="1" applyFill="1" applyBorder="1"/>
    <xf numFmtId="164" fontId="6" fillId="23" borderId="2" xfId="0" applyNumberFormat="1" applyFont="1" applyFill="1" applyBorder="1"/>
    <xf numFmtId="164" fontId="6" fillId="23" borderId="6" xfId="0" applyNumberFormat="1" applyFont="1" applyFill="1" applyBorder="1"/>
    <xf numFmtId="164" fontId="34" fillId="23" borderId="18" xfId="3" applyNumberFormat="1" applyFont="1" applyFill="1" applyBorder="1"/>
    <xf numFmtId="164" fontId="0" fillId="23" borderId="16" xfId="0" applyNumberFormat="1" applyFill="1" applyBorder="1"/>
    <xf numFmtId="164" fontId="0" fillId="23" borderId="15" xfId="0" applyNumberFormat="1" applyFill="1" applyBorder="1"/>
    <xf numFmtId="3" fontId="0" fillId="23" borderId="0" xfId="0" applyNumberFormat="1" applyFill="1"/>
    <xf numFmtId="171" fontId="0" fillId="23" borderId="0" xfId="3" applyNumberFormat="1" applyFont="1" applyFill="1"/>
    <xf numFmtId="171" fontId="0" fillId="23" borderId="0" xfId="0" applyNumberFormat="1" applyFill="1"/>
    <xf numFmtId="164" fontId="34" fillId="23" borderId="0" xfId="0" applyNumberFormat="1" applyFont="1" applyFill="1"/>
    <xf numFmtId="164" fontId="0" fillId="23" borderId="1" xfId="0" applyNumberFormat="1" applyFill="1" applyBorder="1"/>
    <xf numFmtId="164" fontId="0" fillId="23" borderId="2" xfId="0" applyNumberFormat="1" applyFill="1" applyBorder="1"/>
    <xf numFmtId="164" fontId="0" fillId="23" borderId="6" xfId="0" applyNumberFormat="1" applyFill="1" applyBorder="1"/>
    <xf numFmtId="164" fontId="0" fillId="23" borderId="5" xfId="0" applyNumberFormat="1" applyFill="1" applyBorder="1"/>
    <xf numFmtId="164" fontId="8" fillId="23" borderId="0" xfId="0" applyNumberFormat="1" applyFont="1" applyFill="1"/>
    <xf numFmtId="165" fontId="11" fillId="23" borderId="0" xfId="0" applyNumberFormat="1" applyFont="1" applyFill="1"/>
    <xf numFmtId="165" fontId="16" fillId="23" borderId="0" xfId="0" applyNumberFormat="1" applyFont="1" applyFill="1"/>
    <xf numFmtId="165" fontId="0" fillId="23" borderId="0" xfId="0" applyNumberFormat="1" applyFill="1"/>
    <xf numFmtId="165" fontId="0" fillId="23" borderId="24" xfId="0" applyNumberFormat="1" applyFill="1" applyBorder="1"/>
    <xf numFmtId="165" fontId="0" fillId="23" borderId="25" xfId="0" applyNumberFormat="1" applyFill="1" applyBorder="1"/>
    <xf numFmtId="165" fontId="11" fillId="23" borderId="25" xfId="0" applyNumberFormat="1" applyFont="1" applyFill="1" applyBorder="1"/>
    <xf numFmtId="165" fontId="34" fillId="23" borderId="0" xfId="0" applyNumberFormat="1" applyFont="1" applyFill="1"/>
    <xf numFmtId="165" fontId="0" fillId="23" borderId="26" xfId="0" applyNumberFormat="1" applyFill="1" applyBorder="1"/>
    <xf numFmtId="164" fontId="6" fillId="23" borderId="0" xfId="0" applyNumberFormat="1" applyFont="1" applyFill="1"/>
    <xf numFmtId="174" fontId="0" fillId="23" borderId="10" xfId="0" applyNumberFormat="1" applyFill="1" applyBorder="1"/>
    <xf numFmtId="174" fontId="0" fillId="23" borderId="0" xfId="0" applyNumberFormat="1" applyFill="1"/>
    <xf numFmtId="174" fontId="0" fillId="23" borderId="11" xfId="0" applyNumberFormat="1" applyFill="1" applyBorder="1"/>
    <xf numFmtId="180" fontId="6" fillId="23" borderId="10" xfId="0" applyNumberFormat="1" applyFont="1" applyFill="1" applyBorder="1"/>
    <xf numFmtId="180" fontId="6" fillId="23" borderId="0" xfId="0" applyNumberFormat="1" applyFont="1" applyFill="1"/>
    <xf numFmtId="180" fontId="6" fillId="23" borderId="11" xfId="0" applyNumberFormat="1" applyFont="1" applyFill="1" applyBorder="1"/>
    <xf numFmtId="0" fontId="6" fillId="23" borderId="3" xfId="0" applyFont="1" applyFill="1" applyBorder="1" applyAlignment="1">
      <alignment horizontal="center" wrapText="1"/>
    </xf>
    <xf numFmtId="9" fontId="0" fillId="23" borderId="3" xfId="0" applyNumberFormat="1" applyFill="1" applyBorder="1"/>
    <xf numFmtId="0" fontId="0" fillId="23" borderId="3" xfId="0" applyFill="1" applyBorder="1" applyAlignment="1">
      <alignment horizontal="right"/>
    </xf>
    <xf numFmtId="170" fontId="0" fillId="0" borderId="0" xfId="3" applyNumberFormat="1" applyFont="1" applyFill="1" applyBorder="1"/>
    <xf numFmtId="170" fontId="0" fillId="0" borderId="0" xfId="0" applyNumberFormat="1"/>
    <xf numFmtId="43" fontId="0" fillId="0" borderId="0" xfId="3" applyFont="1" applyFill="1" applyBorder="1"/>
    <xf numFmtId="171" fontId="0" fillId="0" borderId="0" xfId="3" applyNumberFormat="1" applyFont="1" applyFill="1" applyBorder="1"/>
    <xf numFmtId="171" fontId="0" fillId="23" borderId="4" xfId="0" applyNumberFormat="1" applyFill="1" applyBorder="1"/>
    <xf numFmtId="170" fontId="0" fillId="23" borderId="0" xfId="3" applyNumberFormat="1" applyFont="1" applyFill="1"/>
    <xf numFmtId="173" fontId="0" fillId="23" borderId="3" xfId="0" applyNumberFormat="1" applyFill="1" applyBorder="1"/>
    <xf numFmtId="0" fontId="0" fillId="23" borderId="3" xfId="0" applyFill="1" applyBorder="1"/>
    <xf numFmtId="9" fontId="0" fillId="23" borderId="3" xfId="1" applyFont="1" applyFill="1" applyBorder="1" applyAlignment="1">
      <alignment horizontal="center"/>
    </xf>
    <xf numFmtId="9" fontId="0" fillId="23" borderId="3" xfId="0" applyNumberFormat="1" applyFill="1" applyBorder="1" applyAlignment="1">
      <alignment horizontal="center"/>
    </xf>
    <xf numFmtId="0" fontId="0" fillId="23" borderId="3" xfId="0" applyFill="1" applyBorder="1" applyAlignment="1">
      <alignment horizontal="center"/>
    </xf>
    <xf numFmtId="0" fontId="0" fillId="24" borderId="0" xfId="0" applyFill="1"/>
    <xf numFmtId="43" fontId="0" fillId="24" borderId="1" xfId="0" applyNumberFormat="1" applyFill="1" applyBorder="1"/>
    <xf numFmtId="9" fontId="0" fillId="24" borderId="1" xfId="0" applyNumberFormat="1" applyFill="1" applyBorder="1"/>
    <xf numFmtId="9" fontId="0" fillId="24" borderId="15" xfId="1" applyFont="1" applyFill="1" applyBorder="1"/>
    <xf numFmtId="9" fontId="0" fillId="24" borderId="1" xfId="1" applyFont="1" applyFill="1" applyBorder="1"/>
    <xf numFmtId="9" fontId="0" fillId="24" borderId="16" xfId="1" applyFont="1" applyFill="1" applyBorder="1"/>
    <xf numFmtId="9" fontId="0" fillId="24" borderId="10" xfId="1" applyFont="1" applyFill="1" applyBorder="1"/>
    <xf numFmtId="9" fontId="0" fillId="24" borderId="0" xfId="1" applyFont="1" applyFill="1" applyBorder="1"/>
    <xf numFmtId="9" fontId="0" fillId="24" borderId="11" xfId="1" applyFont="1" applyFill="1" applyBorder="1"/>
    <xf numFmtId="171" fontId="47" fillId="25" borderId="0" xfId="0" applyNumberFormat="1" applyFont="1" applyFill="1"/>
    <xf numFmtId="0" fontId="48" fillId="25" borderId="0" xfId="0" applyFont="1" applyFill="1"/>
    <xf numFmtId="0" fontId="1" fillId="25" borderId="0" xfId="0" applyFont="1" applyFill="1"/>
    <xf numFmtId="0" fontId="43" fillId="26" borderId="27" xfId="0" applyFont="1" applyFill="1" applyBorder="1" applyAlignment="1">
      <alignment horizontal="center" vertical="center"/>
    </xf>
    <xf numFmtId="185" fontId="44" fillId="27" borderId="28" xfId="1" applyNumberFormat="1" applyFont="1" applyFill="1" applyBorder="1" applyAlignment="1" applyProtection="1">
      <alignment horizontal="center" vertical="center"/>
      <protection locked="0"/>
    </xf>
    <xf numFmtId="10" fontId="49" fillId="0" borderId="0" xfId="1" applyNumberFormat="1" applyFont="1" applyFill="1" applyBorder="1" applyAlignment="1">
      <alignment horizontal="center" vertical="center"/>
    </xf>
    <xf numFmtId="0" fontId="49" fillId="28" borderId="0" xfId="0" applyFont="1" applyFill="1"/>
    <xf numFmtId="0" fontId="1" fillId="28" borderId="0" xfId="0" applyFont="1" applyFill="1"/>
    <xf numFmtId="171" fontId="50" fillId="25" borderId="0" xfId="0" applyNumberFormat="1" applyFont="1" applyFill="1"/>
    <xf numFmtId="0" fontId="43" fillId="26" borderId="0" xfId="0" applyFont="1" applyFill="1" applyAlignment="1">
      <alignment horizontal="center" vertical="center"/>
    </xf>
    <xf numFmtId="0" fontId="51" fillId="0" borderId="0" xfId="0" applyFont="1" applyAlignment="1">
      <alignment vertical="center"/>
    </xf>
    <xf numFmtId="10" fontId="52" fillId="29" borderId="29" xfId="1" quotePrefix="1" applyNumberFormat="1" applyFont="1" applyFill="1" applyBorder="1" applyAlignment="1">
      <alignment horizontal="center" vertical="center"/>
    </xf>
    <xf numFmtId="10" fontId="42" fillId="30" borderId="3" xfId="0" applyNumberFormat="1" applyFont="1" applyFill="1" applyBorder="1"/>
    <xf numFmtId="10" fontId="0" fillId="24" borderId="0" xfId="1" applyNumberFormat="1" applyFont="1" applyFill="1"/>
    <xf numFmtId="0" fontId="43" fillId="19" borderId="30" xfId="0" applyFont="1" applyFill="1" applyBorder="1" applyAlignment="1">
      <alignment horizontal="center" vertical="center"/>
    </xf>
    <xf numFmtId="9" fontId="42" fillId="20" borderId="28" xfId="3" applyNumberFormat="1" applyFont="1" applyFill="1" applyBorder="1" applyAlignment="1" applyProtection="1">
      <alignment horizontal="center"/>
      <protection locked="0"/>
    </xf>
    <xf numFmtId="0" fontId="6" fillId="0" borderId="5" xfId="0" applyFont="1" applyBorder="1" applyAlignment="1">
      <alignment horizontal="center"/>
    </xf>
    <xf numFmtId="0" fontId="6" fillId="0" borderId="2" xfId="0" applyFont="1" applyBorder="1" applyAlignment="1">
      <alignment horizontal="center"/>
    </xf>
    <xf numFmtId="0" fontId="6" fillId="0" borderId="6" xfId="0" applyFont="1" applyBorder="1" applyAlignment="1">
      <alignment horizontal="center"/>
    </xf>
    <xf numFmtId="0" fontId="0" fillId="0" borderId="5"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3" borderId="5" xfId="0" applyFill="1" applyBorder="1" applyAlignment="1">
      <alignment vertical="center" wrapText="1"/>
    </xf>
    <xf numFmtId="0" fontId="0" fillId="3" borderId="2" xfId="0" applyFill="1" applyBorder="1" applyAlignment="1">
      <alignment vertical="center" wrapText="1"/>
    </xf>
    <xf numFmtId="0" fontId="0" fillId="3" borderId="6" xfId="0" applyFill="1" applyBorder="1" applyAlignment="1">
      <alignment vertical="center" wrapText="1"/>
    </xf>
    <xf numFmtId="0" fontId="0" fillId="0" borderId="2" xfId="0" applyBorder="1" applyAlignment="1">
      <alignment vertical="center"/>
    </xf>
    <xf numFmtId="0" fontId="0" fillId="0" borderId="6" xfId="0" applyBorder="1" applyAlignment="1">
      <alignment vertical="center"/>
    </xf>
    <xf numFmtId="0" fontId="24" fillId="7" borderId="1" xfId="0" applyFont="1" applyFill="1"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6" fillId="8" borderId="0" xfId="0" applyFont="1" applyFill="1" applyAlignment="1">
      <alignment horizontal="center"/>
    </xf>
    <xf numFmtId="0" fontId="0" fillId="0" borderId="20" xfId="0" applyBorder="1" applyAlignment="1">
      <alignment horizontal="center" vertical="center"/>
    </xf>
    <xf numFmtId="0" fontId="0" fillId="0" borderId="10" xfId="0" applyBorder="1"/>
    <xf numFmtId="0" fontId="0" fillId="0" borderId="0" xfId="0"/>
    <xf numFmtId="0" fontId="0" fillId="0" borderId="10" xfId="0" applyBorder="1" applyAlignment="1">
      <alignment horizontal="left"/>
    </xf>
    <xf numFmtId="0" fontId="0" fillId="0" borderId="0" xfId="0" applyAlignment="1">
      <alignment horizontal="left"/>
    </xf>
    <xf numFmtId="0" fontId="24" fillId="23" borderId="0" xfId="0" applyFont="1" applyFill="1" applyAlignment="1">
      <alignment horizontal="center"/>
    </xf>
    <xf numFmtId="0" fontId="6" fillId="23" borderId="5" xfId="0" applyFont="1" applyFill="1" applyBorder="1" applyAlignment="1">
      <alignment horizontal="center" vertical="center"/>
    </xf>
    <xf numFmtId="0" fontId="6" fillId="23" borderId="2" xfId="0" applyFont="1" applyFill="1" applyBorder="1" applyAlignment="1">
      <alignment horizontal="center" vertical="center"/>
    </xf>
    <xf numFmtId="0" fontId="6" fillId="23" borderId="6" xfId="0" applyFont="1" applyFill="1" applyBorder="1" applyAlignment="1">
      <alignment horizontal="center" vertical="center"/>
    </xf>
    <xf numFmtId="0" fontId="0" fillId="2" borderId="5" xfId="0" applyFill="1" applyBorder="1" applyAlignment="1">
      <alignment horizontal="center"/>
    </xf>
    <xf numFmtId="0" fontId="0" fillId="2" borderId="2" xfId="0" applyFill="1" applyBorder="1" applyAlignment="1">
      <alignment horizontal="center"/>
    </xf>
    <xf numFmtId="0" fontId="0" fillId="2" borderId="6" xfId="0" applyFill="1" applyBorder="1" applyAlignment="1">
      <alignment horizontal="center"/>
    </xf>
    <xf numFmtId="0" fontId="0" fillId="13" borderId="5" xfId="0" applyFill="1" applyBorder="1" applyAlignment="1">
      <alignment horizontal="center"/>
    </xf>
    <xf numFmtId="0" fontId="0" fillId="13" borderId="2" xfId="0" applyFill="1" applyBorder="1" applyAlignment="1">
      <alignment horizontal="center"/>
    </xf>
    <xf numFmtId="0" fontId="0" fillId="13" borderId="6" xfId="0" applyFill="1" applyBorder="1" applyAlignment="1">
      <alignment horizontal="center"/>
    </xf>
    <xf numFmtId="0" fontId="0" fillId="17" borderId="0" xfId="0" quotePrefix="1" applyFill="1" applyAlignment="1">
      <alignment horizontal="center"/>
    </xf>
    <xf numFmtId="0" fontId="6" fillId="0" borderId="0" xfId="0" applyFont="1" applyAlignment="1">
      <alignment horizontal="center"/>
    </xf>
    <xf numFmtId="0" fontId="18" fillId="13" borderId="0" xfId="0" quotePrefix="1" applyFont="1" applyFill="1" applyAlignment="1">
      <alignment horizontal="center"/>
    </xf>
    <xf numFmtId="0" fontId="18" fillId="13" borderId="0" xfId="0" applyFont="1" applyFill="1" applyAlignment="1">
      <alignment horizontal="center"/>
    </xf>
    <xf numFmtId="0" fontId="18" fillId="2" borderId="0" xfId="0" applyFont="1" applyFill="1" applyAlignment="1">
      <alignment horizontal="center"/>
    </xf>
    <xf numFmtId="0" fontId="6" fillId="2" borderId="0" xfId="0" applyFont="1" applyFill="1" applyAlignment="1">
      <alignment horizontal="center"/>
    </xf>
    <xf numFmtId="0" fontId="18" fillId="18" borderId="0" xfId="0" applyFont="1" applyFill="1" applyAlignment="1">
      <alignment horizontal="center"/>
    </xf>
    <xf numFmtId="0" fontId="6" fillId="18" borderId="5" xfId="0" applyFont="1" applyFill="1" applyBorder="1" applyAlignment="1">
      <alignment horizontal="center"/>
    </xf>
    <xf numFmtId="0" fontId="6" fillId="18" borderId="2" xfId="0" applyFont="1" applyFill="1" applyBorder="1" applyAlignment="1">
      <alignment horizontal="center"/>
    </xf>
    <xf numFmtId="0" fontId="6" fillId="18" borderId="6" xfId="0" applyFont="1" applyFill="1" applyBorder="1" applyAlignment="1">
      <alignment horizontal="center"/>
    </xf>
    <xf numFmtId="172" fontId="16" fillId="0" borderId="5" xfId="0" applyNumberFormat="1" applyFont="1" applyBorder="1" applyAlignment="1">
      <alignment horizontal="center"/>
    </xf>
    <xf numFmtId="172" fontId="16" fillId="0" borderId="2" xfId="0" applyNumberFormat="1" applyFont="1" applyBorder="1" applyAlignment="1">
      <alignment horizontal="center"/>
    </xf>
    <xf numFmtId="172" fontId="16" fillId="0" borderId="6" xfId="0" applyNumberFormat="1" applyFont="1" applyBorder="1" applyAlignment="1">
      <alignment horizontal="center"/>
    </xf>
    <xf numFmtId="0" fontId="6" fillId="2" borderId="5" xfId="0" quotePrefix="1" applyFont="1" applyFill="1" applyBorder="1" applyAlignment="1">
      <alignment horizontal="center"/>
    </xf>
    <xf numFmtId="0" fontId="6" fillId="2" borderId="2" xfId="0" quotePrefix="1" applyFont="1" applyFill="1" applyBorder="1" applyAlignment="1">
      <alignment horizontal="center"/>
    </xf>
    <xf numFmtId="0" fontId="6" fillId="2" borderId="6" xfId="0" quotePrefix="1" applyFont="1" applyFill="1" applyBorder="1" applyAlignment="1">
      <alignment horizontal="center"/>
    </xf>
    <xf numFmtId="0" fontId="6" fillId="2" borderId="5" xfId="0" applyFont="1" applyFill="1" applyBorder="1" applyAlignment="1">
      <alignment horizontal="center"/>
    </xf>
    <xf numFmtId="0" fontId="6" fillId="2" borderId="2" xfId="0" applyFont="1" applyFill="1" applyBorder="1" applyAlignment="1">
      <alignment horizontal="center"/>
    </xf>
    <xf numFmtId="0" fontId="6" fillId="2" borderId="6" xfId="0" applyFont="1" applyFill="1" applyBorder="1" applyAlignment="1">
      <alignment horizontal="center"/>
    </xf>
    <xf numFmtId="0" fontId="6" fillId="11" borderId="5" xfId="0" applyFont="1" applyFill="1" applyBorder="1" applyAlignment="1">
      <alignment horizontal="center"/>
    </xf>
    <xf numFmtId="0" fontId="6" fillId="11" borderId="2" xfId="0" applyFont="1" applyFill="1" applyBorder="1" applyAlignment="1">
      <alignment horizontal="center"/>
    </xf>
    <xf numFmtId="0" fontId="6" fillId="11" borderId="6" xfId="0" applyFont="1" applyFill="1" applyBorder="1" applyAlignment="1">
      <alignment horizontal="center"/>
    </xf>
    <xf numFmtId="0" fontId="6" fillId="22" borderId="5" xfId="0" applyFont="1" applyFill="1" applyBorder="1" applyAlignment="1">
      <alignment horizontal="center"/>
    </xf>
    <xf numFmtId="0" fontId="6" fillId="22" borderId="2" xfId="0" applyFont="1" applyFill="1" applyBorder="1" applyAlignment="1">
      <alignment horizontal="center"/>
    </xf>
    <xf numFmtId="0" fontId="6" fillId="22" borderId="6" xfId="0" applyFont="1" applyFill="1" applyBorder="1" applyAlignment="1">
      <alignment horizontal="center"/>
    </xf>
    <xf numFmtId="0" fontId="6" fillId="2" borderId="15" xfId="0" quotePrefix="1" applyFont="1" applyFill="1" applyBorder="1" applyAlignment="1">
      <alignment horizontal="center"/>
    </xf>
    <xf numFmtId="0" fontId="6" fillId="2" borderId="1" xfId="0" quotePrefix="1" applyFont="1" applyFill="1" applyBorder="1" applyAlignment="1">
      <alignment horizontal="center"/>
    </xf>
    <xf numFmtId="0" fontId="6" fillId="2" borderId="16" xfId="0" quotePrefix="1" applyFont="1" applyFill="1" applyBorder="1" applyAlignment="1">
      <alignment horizontal="center"/>
    </xf>
    <xf numFmtId="0" fontId="45" fillId="21" borderId="3" xfId="0" applyFont="1" applyFill="1" applyBorder="1" applyAlignment="1">
      <alignment horizontal="center" vertical="center"/>
    </xf>
    <xf numFmtId="0" fontId="6" fillId="3" borderId="5" xfId="0" applyFont="1" applyFill="1" applyBorder="1" applyAlignment="1">
      <alignment horizontal="center"/>
    </xf>
    <xf numFmtId="0" fontId="6" fillId="3" borderId="2" xfId="0" applyFont="1" applyFill="1" applyBorder="1" applyAlignment="1">
      <alignment horizontal="center"/>
    </xf>
    <xf numFmtId="0" fontId="6" fillId="3" borderId="6" xfId="0" applyFont="1" applyFill="1" applyBorder="1" applyAlignment="1">
      <alignment horizontal="center"/>
    </xf>
    <xf numFmtId="0" fontId="6" fillId="15" borderId="5" xfId="0" applyFont="1" applyFill="1" applyBorder="1" applyAlignment="1">
      <alignment horizontal="center"/>
    </xf>
    <xf numFmtId="0" fontId="6" fillId="15" borderId="2" xfId="0" applyFont="1" applyFill="1" applyBorder="1" applyAlignment="1">
      <alignment horizontal="center"/>
    </xf>
    <xf numFmtId="0" fontId="6" fillId="15" borderId="6" xfId="0" applyFont="1" applyFill="1" applyBorder="1" applyAlignment="1">
      <alignment horizontal="center"/>
    </xf>
    <xf numFmtId="164" fontId="11" fillId="0" borderId="0" xfId="0" applyNumberFormat="1" applyFont="1" applyFill="1"/>
    <xf numFmtId="164" fontId="11" fillId="0" borderId="11" xfId="0" applyNumberFormat="1" applyFont="1" applyFill="1" applyBorder="1"/>
    <xf numFmtId="164" fontId="0" fillId="0" borderId="1" xfId="0" applyNumberFormat="1" applyFill="1" applyBorder="1"/>
    <xf numFmtId="164" fontId="0" fillId="0" borderId="16" xfId="0" applyNumberFormat="1" applyFill="1" applyBorder="1"/>
  </cellXfs>
  <cellStyles count="4">
    <cellStyle name="Comma" xfId="3" builtinId="3"/>
    <cellStyle name="Hyperlink" xfId="2" builtinId="8"/>
    <cellStyle name="Normal" xfId="0" builtinId="0"/>
    <cellStyle name="Percent" xfId="1" builtinId="5"/>
  </cellStyles>
  <dxfs count="3">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FCC"/>
      <color rgb="FFCCFFFF"/>
      <color rgb="FF00FFFF"/>
      <color rgb="FF0000FF"/>
      <color rgb="FF00FF00"/>
      <color rgb="FF66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363192</xdr:colOff>
      <xdr:row>0</xdr:row>
      <xdr:rowOff>0</xdr:rowOff>
    </xdr:from>
    <xdr:to>
      <xdr:col>4</xdr:col>
      <xdr:colOff>107548</xdr:colOff>
      <xdr:row>4</xdr:row>
      <xdr:rowOff>1146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63192" y="0"/>
          <a:ext cx="1235226" cy="8169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89648</xdr:colOff>
      <xdr:row>0</xdr:row>
      <xdr:rowOff>179294</xdr:rowOff>
    </xdr:from>
    <xdr:to>
      <xdr:col>31</xdr:col>
      <xdr:colOff>121381</xdr:colOff>
      <xdr:row>42</xdr:row>
      <xdr:rowOff>183735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15318859" y="179294"/>
          <a:ext cx="6667202" cy="78698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Details on Forecasting approach for Customer Contributions</a:t>
          </a:r>
        </a:p>
        <a:p>
          <a:endParaRPr lang="en-AU" sz="1100">
            <a:solidFill>
              <a:schemeClr val="dk1"/>
            </a:solidFill>
            <a:effectLst/>
            <a:latin typeface="+mn-lt"/>
            <a:ea typeface="+mn-ea"/>
            <a:cs typeface="+mn-cs"/>
          </a:endParaRPr>
        </a:p>
        <a:p>
          <a:r>
            <a:rPr lang="en-AU" sz="1100" baseline="0">
              <a:solidFill>
                <a:schemeClr val="dk1"/>
              </a:solidFill>
              <a:effectLst/>
              <a:latin typeface="+mn-lt"/>
              <a:ea typeface="+mn-ea"/>
              <a:cs typeface="+mn-cs"/>
            </a:rPr>
            <a:t>We apply the national charging guideline (NER, CH.5A) for new customer connections from 2016 as outlined in our Connection Policy. This reflects the approach set out in the AER's connection charge guideline (2012), and as updated in 2023.</a:t>
          </a:r>
        </a:p>
        <a:p>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Under this Revenue Proposal, we have updated our forecast capital contributions for the 2026-31 control period for each connection type to reflect: </a:t>
          </a:r>
        </a:p>
        <a:p>
          <a:endParaRPr lang="en-AU" sz="1100" baseline="0">
            <a:solidFill>
              <a:schemeClr val="dk1"/>
            </a:solidFill>
            <a:effectLst/>
            <a:latin typeface="+mn-lt"/>
            <a:ea typeface="+mn-ea"/>
            <a:cs typeface="+mn-cs"/>
          </a:endParaRP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Our proposed rate of return inputs, which are used to discount incremental revenue in the calculation of customer contributions for both residential connections and business connections;</a:t>
          </a: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Our updated historical unit rates for various connection types; </a:t>
          </a: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Updated unit rates for the Marginal cost of reinforcement (MCR) as reflected in our updated Connection Policy (effective 1 July 2026); and</a:t>
          </a:r>
        </a:p>
        <a:p>
          <a:pPr marL="171450" indent="-171450">
            <a:spcAft>
              <a:spcPts val="600"/>
            </a:spcAft>
            <a:buFont typeface="Arial" panose="020B0604020202020204" pitchFamily="34" charset="0"/>
            <a:buChar char="•"/>
          </a:pPr>
          <a:r>
            <a:rPr lang="en-AU" sz="1100" baseline="0">
              <a:solidFill>
                <a:schemeClr val="dk1"/>
              </a:solidFill>
              <a:effectLst/>
              <a:latin typeface="+mn-lt"/>
              <a:ea typeface="+mn-ea"/>
              <a:cs typeface="+mn-cs"/>
            </a:rPr>
            <a:t>We have not included a forecast of large embedded generator connections (&gt; 1.5MW capacity) in line with the current period determination approach.</a:t>
          </a:r>
        </a:p>
        <a:p>
          <a:endParaRPr lang="en-AU" sz="1100" baseline="0">
            <a:solidFill>
              <a:schemeClr val="dk1"/>
            </a:solidFill>
            <a:effectLst/>
            <a:latin typeface="+mn-lt"/>
            <a:ea typeface="+mn-ea"/>
            <a:cs typeface="+mn-cs"/>
          </a:endParaRPr>
        </a:p>
        <a:p>
          <a:endParaRPr lang="en-AU" sz="1100" baseline="0">
            <a:solidFill>
              <a:schemeClr val="dk1"/>
            </a:solidFill>
            <a:effectLst/>
            <a:latin typeface="+mn-lt"/>
            <a:ea typeface="+mn-ea"/>
            <a:cs typeface="+mn-cs"/>
          </a:endParaRPr>
        </a:p>
        <a:p>
          <a:endParaRPr lang="en-AU" sz="105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Price%20Review\2026-31%20EDPR\11.0%202026%20EDPR%20-%20Proposal%20submission%20models\Public\SCS\ASD%20-%20AusNet%20EDPR%202026-31%20&#8211;%20SCS%20Capex%20Model%20&#8211;%20310125%20-%20PUBLIC.xlsb" TargetMode="External"/><Relationship Id="rId1" Type="http://schemas.openxmlformats.org/officeDocument/2006/relationships/externalLinkPath" Target="ASD%20-%20AusNet%20EDPR%202026-31%20&#8211;%20SCS%20Capex%20Model%20&#8211;%20310125%20-%20PUBLIC.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B:\Price%20Review\2026-31%20EDPR\11.0%202026%20EDPR%20-%20Proposal%20submission%20models\Public\ACS\ASD%20-%20RIN%20calculation%20of%20Fee%20and%20quoted%20expenditures%20-%20supplementary%20model%20-%20310125%20-%20PUBLIC.xlsx" TargetMode="External"/><Relationship Id="rId1" Type="http://schemas.openxmlformats.org/officeDocument/2006/relationships/externalLinkPath" Target="/Price%20Review/2026-31%20EDPR/11.0%202026%20EDPR%20-%20Proposal%20submission%20models/Public/ACS/ASD%20-%20RIN%20calculation%20of%20Fee%20and%20quoted%20expenditures%20-%20supplementary%20model%20-%20310125%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D Changes"/>
      <sheetName val="Index"/>
      <sheetName val="Input| Setup"/>
      <sheetName val="Input| Escalations"/>
      <sheetName val="Input| Projects"/>
      <sheetName val="Input| Disposals"/>
      <sheetName val="Input| Type 2 capcons"/>
      <sheetName val="Capex Immediately Expensed"/>
      <sheetName val="Input| Expensing"/>
      <sheetName val="Input| Overheads"/>
      <sheetName val="Productivity adjustment"/>
      <sheetName val="Calc| Overheads Allocation"/>
      <sheetName val="Calc| Project Costs"/>
      <sheetName val="Chart| Overheads"/>
      <sheetName val="Output| PTRM (D)"/>
      <sheetName val="Output| PTRM (T)"/>
      <sheetName val="Output| RIN"/>
      <sheetName val="Output| AER"/>
      <sheetName val="Model Validation"/>
    </sheetNames>
    <sheetDataSet>
      <sheetData sheetId="0"/>
      <sheetData sheetId="1"/>
      <sheetData sheetId="2"/>
      <sheetData sheetId="3">
        <row r="15">
          <cell r="D15">
            <v>2.0225001952140609E-2</v>
          </cell>
          <cell r="E15">
            <v>8.6058519793459354E-3</v>
          </cell>
          <cell r="F15">
            <v>3.4982935153583528E-2</v>
          </cell>
          <cell r="G15">
            <v>7.8318219291014124E-2</v>
          </cell>
          <cell r="H15">
            <v>4.0519877675840865E-2</v>
          </cell>
          <cell r="I15">
            <v>3.0000000000000027E-2</v>
          </cell>
          <cell r="J15">
            <v>3.6999999999999998E-2</v>
          </cell>
        </row>
        <row r="25">
          <cell r="H25">
            <v>8.2681564533859629E-3</v>
          </cell>
          <cell r="I25">
            <v>8.100515567042995E-3</v>
          </cell>
          <cell r="J25">
            <v>9.3135243940020672E-3</v>
          </cell>
          <cell r="K25">
            <v>8.3583556288052887E-3</v>
          </cell>
          <cell r="L25">
            <v>1.0254990531688098E-2</v>
          </cell>
          <cell r="M25">
            <v>1.2240188084018007E-2</v>
          </cell>
          <cell r="N25">
            <v>1.0182353043552642E-2</v>
          </cell>
        </row>
        <row r="26">
          <cell r="H26">
            <v>8.2681564533859629E-3</v>
          </cell>
          <cell r="I26">
            <v>8.100515567042995E-3</v>
          </cell>
          <cell r="J26">
            <v>9.3135243940020672E-3</v>
          </cell>
          <cell r="K26">
            <v>8.3583556288052887E-3</v>
          </cell>
          <cell r="L26">
            <v>1.0254990531688098E-2</v>
          </cell>
          <cell r="M26">
            <v>1.2240188084018007E-2</v>
          </cell>
          <cell r="N26">
            <v>1.0182353043552642E-2</v>
          </cell>
        </row>
      </sheetData>
      <sheetData sheetId="4">
        <row r="10">
          <cell r="G10" t="str">
            <v>Station rebuild</v>
          </cell>
        </row>
        <row r="11">
          <cell r="G11" t="str">
            <v>Station rebuild</v>
          </cell>
        </row>
        <row r="12">
          <cell r="G12" t="str">
            <v>Station rebuild</v>
          </cell>
        </row>
        <row r="13">
          <cell r="G13" t="str">
            <v>Station rebuild</v>
          </cell>
        </row>
        <row r="14">
          <cell r="G14" t="str">
            <v>Station rebuild</v>
          </cell>
        </row>
        <row r="15">
          <cell r="G15" t="str">
            <v>Station rebuild</v>
          </cell>
        </row>
        <row r="16">
          <cell r="G16" t="str">
            <v>Station rebuild</v>
          </cell>
        </row>
        <row r="17">
          <cell r="G17" t="str">
            <v>Civil Infrastructure</v>
          </cell>
        </row>
        <row r="18">
          <cell r="G18" t="str">
            <v>Plant</v>
          </cell>
        </row>
        <row r="19">
          <cell r="G19" t="str">
            <v>Plant</v>
          </cell>
        </row>
        <row r="20">
          <cell r="G20" t="str">
            <v>Plant</v>
          </cell>
        </row>
        <row r="21">
          <cell r="G21" t="str">
            <v>Plant</v>
          </cell>
        </row>
        <row r="22">
          <cell r="G22" t="str">
            <v>Plant</v>
          </cell>
        </row>
        <row r="23">
          <cell r="G23" t="str">
            <v>Plant</v>
          </cell>
        </row>
        <row r="24">
          <cell r="G24" t="str">
            <v>Plant</v>
          </cell>
        </row>
        <row r="25">
          <cell r="G25" t="str">
            <v>Plant</v>
          </cell>
        </row>
        <row r="26">
          <cell r="G26" t="str">
            <v>Plant</v>
          </cell>
        </row>
        <row r="27">
          <cell r="G27" t="str">
            <v>Plant</v>
          </cell>
        </row>
        <row r="28">
          <cell r="G28" t="str">
            <v>Poles</v>
          </cell>
        </row>
        <row r="29">
          <cell r="G29" t="str">
            <v>Poles</v>
          </cell>
        </row>
        <row r="30">
          <cell r="G30" t="str">
            <v>Poles</v>
          </cell>
        </row>
        <row r="31">
          <cell r="G31" t="str">
            <v>Poles</v>
          </cell>
        </row>
        <row r="32">
          <cell r="G32" t="str">
            <v>Poles</v>
          </cell>
        </row>
        <row r="33">
          <cell r="G33" t="str">
            <v>Poles</v>
          </cell>
        </row>
        <row r="34">
          <cell r="G34" t="str">
            <v>Poles</v>
          </cell>
        </row>
        <row r="35">
          <cell r="G35" t="str">
            <v>Crossarms</v>
          </cell>
        </row>
        <row r="36">
          <cell r="G36" t="str">
            <v>Crossarms</v>
          </cell>
        </row>
        <row r="37">
          <cell r="G37" t="str">
            <v>Crossarms</v>
          </cell>
        </row>
        <row r="38">
          <cell r="G38" t="str">
            <v>Conductor</v>
          </cell>
        </row>
        <row r="39">
          <cell r="G39" t="str">
            <v>Conductor</v>
          </cell>
        </row>
        <row r="40">
          <cell r="G40" t="str">
            <v>Conductor</v>
          </cell>
        </row>
        <row r="41">
          <cell r="G41" t="str">
            <v>Conductor</v>
          </cell>
        </row>
        <row r="42">
          <cell r="G42" t="str">
            <v>Conductor</v>
          </cell>
        </row>
        <row r="43">
          <cell r="G43" t="str">
            <v>Conductor</v>
          </cell>
        </row>
        <row r="44">
          <cell r="G44" t="str">
            <v>Switches &amp; Other</v>
          </cell>
        </row>
        <row r="45">
          <cell r="G45" t="str">
            <v>Switches &amp; Other</v>
          </cell>
        </row>
        <row r="46">
          <cell r="G46" t="str">
            <v>Switches &amp; Other</v>
          </cell>
        </row>
        <row r="47">
          <cell r="G47" t="str">
            <v>Switches &amp; Other</v>
          </cell>
        </row>
        <row r="48">
          <cell r="G48" t="str">
            <v>Switches &amp; Other</v>
          </cell>
        </row>
        <row r="49">
          <cell r="G49" t="str">
            <v>Switches &amp; Other</v>
          </cell>
        </row>
        <row r="50">
          <cell r="G50" t="str">
            <v>Switches &amp; Other</v>
          </cell>
        </row>
        <row r="51">
          <cell r="G51" t="str">
            <v>Switches &amp; Other</v>
          </cell>
        </row>
        <row r="52">
          <cell r="G52" t="str">
            <v>Switches &amp; Other</v>
          </cell>
        </row>
        <row r="53">
          <cell r="G53" t="str">
            <v>Switches &amp; Other</v>
          </cell>
        </row>
        <row r="54">
          <cell r="G54" t="str">
            <v>Switches &amp; Other</v>
          </cell>
        </row>
        <row r="55">
          <cell r="G55" t="str">
            <v>Switches &amp; Other</v>
          </cell>
        </row>
        <row r="56">
          <cell r="G56" t="str">
            <v>Switches &amp; Other</v>
          </cell>
        </row>
        <row r="57">
          <cell r="G57" t="str">
            <v>Switches &amp; Other</v>
          </cell>
        </row>
        <row r="58">
          <cell r="G58" t="str">
            <v>Substation Protection</v>
          </cell>
        </row>
        <row r="59">
          <cell r="G59" t="str">
            <v>Substation Protection</v>
          </cell>
        </row>
        <row r="60">
          <cell r="G60" t="str">
            <v>Substation Protection</v>
          </cell>
        </row>
        <row r="61">
          <cell r="G61" t="str">
            <v>Infrastructure Security</v>
          </cell>
        </row>
        <row r="62">
          <cell r="G62" t="str">
            <v>Infrastructure Security</v>
          </cell>
        </row>
        <row r="63">
          <cell r="G63" t="str">
            <v>Infrastructure Security</v>
          </cell>
        </row>
        <row r="64">
          <cell r="G64" t="str">
            <v>Infrastructure Security</v>
          </cell>
        </row>
        <row r="65">
          <cell r="G65" t="str">
            <v>Infrastructure Security</v>
          </cell>
        </row>
        <row r="66">
          <cell r="G66" t="str">
            <v>Infrastructure Security</v>
          </cell>
        </row>
        <row r="67">
          <cell r="G67" t="str">
            <v>Comms</v>
          </cell>
        </row>
        <row r="68">
          <cell r="G68" t="str">
            <v>Comms</v>
          </cell>
        </row>
        <row r="69">
          <cell r="G69" t="str">
            <v>Comms</v>
          </cell>
        </row>
        <row r="70">
          <cell r="G70" t="str">
            <v>Environmental</v>
          </cell>
        </row>
        <row r="71">
          <cell r="G71" t="str">
            <v>Environmental</v>
          </cell>
        </row>
        <row r="72">
          <cell r="G72" t="str">
            <v>Safety</v>
          </cell>
        </row>
        <row r="73">
          <cell r="G73" t="str">
            <v>Compliance</v>
          </cell>
        </row>
        <row r="74">
          <cell r="G74" t="str">
            <v>Compliance</v>
          </cell>
        </row>
        <row r="75">
          <cell r="G75" t="str">
            <v>Safety</v>
          </cell>
        </row>
        <row r="76">
          <cell r="G76" t="str">
            <v>Safety</v>
          </cell>
        </row>
        <row r="77">
          <cell r="G77" t="str">
            <v>Safety</v>
          </cell>
        </row>
        <row r="78">
          <cell r="G78" t="str">
            <v>Safety</v>
          </cell>
        </row>
        <row r="79">
          <cell r="G79" t="str">
            <v>Safety</v>
          </cell>
        </row>
        <row r="80">
          <cell r="G80" t="str">
            <v>Safety</v>
          </cell>
        </row>
        <row r="81">
          <cell r="G81" t="str">
            <v>Metering SCS - Repex</v>
          </cell>
        </row>
        <row r="82">
          <cell r="G82" t="str">
            <v>Metering SCS - Repex</v>
          </cell>
        </row>
        <row r="83">
          <cell r="G83" t="str">
            <v>Metering SCS - Repex</v>
          </cell>
        </row>
        <row r="84">
          <cell r="G84" t="str">
            <v>Metering SCS - Repex</v>
          </cell>
        </row>
        <row r="85">
          <cell r="G85" t="str">
            <v>Metering SCS - Repex</v>
          </cell>
        </row>
        <row r="86">
          <cell r="G86" t="str">
            <v>REFCL compliance</v>
          </cell>
        </row>
        <row r="87">
          <cell r="G87" t="str">
            <v>Compliance</v>
          </cell>
        </row>
        <row r="88">
          <cell r="G88" t="str">
            <v>Compliance</v>
          </cell>
        </row>
        <row r="89">
          <cell r="G89" t="str">
            <v>Reliability Improvement</v>
          </cell>
        </row>
        <row r="90">
          <cell r="G90" t="str">
            <v>Demand Driven Augex</v>
          </cell>
        </row>
        <row r="91">
          <cell r="G91" t="str">
            <v>Reliability Improvement</v>
          </cell>
        </row>
        <row r="92">
          <cell r="G92" t="str">
            <v>Reliability Improvement</v>
          </cell>
        </row>
        <row r="93">
          <cell r="G93" t="str">
            <v>Compliance</v>
          </cell>
        </row>
        <row r="94">
          <cell r="G94" t="str">
            <v>Connection Enablement</v>
          </cell>
        </row>
        <row r="95">
          <cell r="G95" t="str">
            <v>Connection Enablement</v>
          </cell>
        </row>
        <row r="96">
          <cell r="G96" t="str">
            <v>Connection Enablement</v>
          </cell>
        </row>
        <row r="97">
          <cell r="G97" t="str">
            <v>Connection Enablement</v>
          </cell>
        </row>
        <row r="98">
          <cell r="G98" t="str">
            <v>Demand Driven Augex</v>
          </cell>
        </row>
        <row r="99">
          <cell r="G99" t="str">
            <v>Demand Driven Augex</v>
          </cell>
        </row>
        <row r="100">
          <cell r="G100" t="str">
            <v>Demand Driven Augex</v>
          </cell>
        </row>
        <row r="101">
          <cell r="G101" t="str">
            <v>Demand Driven Augex</v>
          </cell>
        </row>
        <row r="102">
          <cell r="G102" t="str">
            <v>Demand Driven Augex</v>
          </cell>
        </row>
        <row r="103">
          <cell r="G103" t="str">
            <v>Demand Driven Augex</v>
          </cell>
        </row>
        <row r="104">
          <cell r="G104" t="str">
            <v>Demand Driven Augex</v>
          </cell>
        </row>
        <row r="105">
          <cell r="G105" t="str">
            <v>Demand Driven Augex</v>
          </cell>
        </row>
        <row r="106">
          <cell r="G106" t="str">
            <v>Demand Driven Augex</v>
          </cell>
        </row>
        <row r="107">
          <cell r="G107" t="str">
            <v>DER Integration</v>
          </cell>
        </row>
        <row r="108">
          <cell r="G108" t="str">
            <v>Resilience</v>
          </cell>
        </row>
        <row r="109">
          <cell r="G109" t="str">
            <v>Resilience</v>
          </cell>
        </row>
        <row r="110">
          <cell r="G110" t="str">
            <v>Resilience</v>
          </cell>
        </row>
        <row r="111">
          <cell r="G111" t="str">
            <v>Resilience</v>
          </cell>
        </row>
        <row r="112">
          <cell r="G112" t="str">
            <v>Resilience</v>
          </cell>
        </row>
        <row r="113">
          <cell r="G113" t="str">
            <v>Resilience</v>
          </cell>
        </row>
        <row r="114">
          <cell r="G114" t="str">
            <v>Resilience</v>
          </cell>
        </row>
        <row r="115">
          <cell r="G115" t="str">
            <v>Resilience</v>
          </cell>
        </row>
        <row r="116">
          <cell r="G116" t="str">
            <v>Resilience</v>
          </cell>
        </row>
        <row r="117">
          <cell r="G117" t="str">
            <v>Resilience</v>
          </cell>
        </row>
        <row r="118">
          <cell r="G118" t="str">
            <v>Resilience</v>
          </cell>
        </row>
        <row r="119">
          <cell r="G119" t="str">
            <v>Resilience</v>
          </cell>
        </row>
        <row r="120">
          <cell r="G120" t="str">
            <v>Resilience</v>
          </cell>
        </row>
        <row r="121">
          <cell r="G121" t="str">
            <v>Resilience</v>
          </cell>
        </row>
        <row r="122">
          <cell r="G122" t="str">
            <v>Resilience</v>
          </cell>
        </row>
        <row r="123">
          <cell r="G123" t="str">
            <v>Resilience</v>
          </cell>
        </row>
        <row r="124">
          <cell r="G124" t="str">
            <v>Resilience</v>
          </cell>
        </row>
        <row r="125">
          <cell r="G125" t="str">
            <v>Resilience</v>
          </cell>
        </row>
        <row r="126">
          <cell r="G126" t="str">
            <v>Resilience</v>
          </cell>
        </row>
        <row r="127">
          <cell r="G127" t="str">
            <v>Resilience</v>
          </cell>
        </row>
        <row r="128">
          <cell r="G128" t="str">
            <v>Resilience</v>
          </cell>
        </row>
        <row r="129">
          <cell r="G129" t="str">
            <v>Resilience</v>
          </cell>
        </row>
        <row r="130">
          <cell r="G130" t="str">
            <v>Resilience</v>
          </cell>
        </row>
        <row r="131">
          <cell r="G131" t="str">
            <v>Resilience</v>
          </cell>
        </row>
        <row r="132">
          <cell r="G132" t="str">
            <v>Resilience</v>
          </cell>
        </row>
        <row r="133">
          <cell r="G133" t="str">
            <v>Resilience</v>
          </cell>
        </row>
        <row r="134">
          <cell r="G134" t="str">
            <v>Resilience</v>
          </cell>
        </row>
        <row r="135">
          <cell r="G135" t="str">
            <v>Resilience</v>
          </cell>
        </row>
        <row r="136">
          <cell r="G136" t="str">
            <v>Resilience</v>
          </cell>
        </row>
        <row r="137">
          <cell r="G137" t="str">
            <v>Resilience</v>
          </cell>
        </row>
        <row r="138">
          <cell r="G138" t="str">
            <v>Resilience</v>
          </cell>
        </row>
        <row r="139">
          <cell r="G139" t="str">
            <v>Resilience</v>
          </cell>
        </row>
        <row r="140">
          <cell r="G140" t="str">
            <v>Resilience</v>
          </cell>
        </row>
        <row r="141">
          <cell r="G141" t="str">
            <v>Resilience</v>
          </cell>
        </row>
        <row r="142">
          <cell r="G142" t="str">
            <v>Resilience</v>
          </cell>
        </row>
        <row r="143">
          <cell r="G143" t="str">
            <v>Resilience</v>
          </cell>
        </row>
        <row r="144">
          <cell r="G144" t="str">
            <v>Resilience</v>
          </cell>
        </row>
        <row r="145">
          <cell r="G145" t="str">
            <v>Resilience</v>
          </cell>
        </row>
        <row r="146">
          <cell r="G146" t="str">
            <v>Vehicles</v>
          </cell>
        </row>
        <row r="147">
          <cell r="G147" t="str">
            <v>Resilience</v>
          </cell>
        </row>
        <row r="148">
          <cell r="G148" t="str">
            <v>Resilience</v>
          </cell>
        </row>
        <row r="149">
          <cell r="G149" t="str">
            <v>Resilience</v>
          </cell>
        </row>
        <row r="150">
          <cell r="G150" t="str">
            <v>Innovation</v>
          </cell>
        </row>
        <row r="151">
          <cell r="G151" t="str">
            <v>Innovation</v>
          </cell>
        </row>
        <row r="152">
          <cell r="G152" t="str">
            <v>Innovation</v>
          </cell>
        </row>
        <row r="153">
          <cell r="G153" t="str">
            <v>Innovation</v>
          </cell>
        </row>
        <row r="154">
          <cell r="G154" t="str">
            <v>Innovation</v>
          </cell>
        </row>
        <row r="155">
          <cell r="G155" t="str">
            <v>Innovation</v>
          </cell>
        </row>
        <row r="156">
          <cell r="G156" t="str">
            <v>Innovation</v>
          </cell>
        </row>
        <row r="157">
          <cell r="G157" t="str">
            <v>Innovation</v>
          </cell>
        </row>
        <row r="158">
          <cell r="G158" t="str">
            <v>Digital</v>
          </cell>
        </row>
        <row r="159">
          <cell r="G159" t="str">
            <v>Digital</v>
          </cell>
        </row>
        <row r="160">
          <cell r="G160" t="str">
            <v>Digital</v>
          </cell>
        </row>
        <row r="161">
          <cell r="G161" t="str">
            <v>Digital</v>
          </cell>
        </row>
        <row r="162">
          <cell r="G162" t="str">
            <v>Digital</v>
          </cell>
        </row>
        <row r="163">
          <cell r="G163" t="str">
            <v>Secondary and Protection</v>
          </cell>
        </row>
        <row r="164">
          <cell r="G164" t="str">
            <v>Digital</v>
          </cell>
        </row>
        <row r="165">
          <cell r="G165" t="str">
            <v>Digital</v>
          </cell>
        </row>
        <row r="166">
          <cell r="G166" t="str">
            <v>Digital</v>
          </cell>
        </row>
        <row r="167">
          <cell r="G167" t="str">
            <v>Digital</v>
          </cell>
        </row>
        <row r="168">
          <cell r="G168" t="str">
            <v>Digital</v>
          </cell>
        </row>
        <row r="169">
          <cell r="G169" t="str">
            <v>SCS Metering - IT</v>
          </cell>
        </row>
        <row r="170">
          <cell r="G170" t="str">
            <v>Vehicles</v>
          </cell>
        </row>
        <row r="171">
          <cell r="G171" t="str">
            <v>Vehicles</v>
          </cell>
        </row>
        <row r="172">
          <cell r="G172" t="str">
            <v>Vehicles</v>
          </cell>
        </row>
        <row r="173">
          <cell r="G173" t="str">
            <v>Buildings</v>
          </cell>
        </row>
        <row r="174">
          <cell r="G174" t="str">
            <v>Vehicles</v>
          </cell>
        </row>
        <row r="175">
          <cell r="G175" t="str">
            <v>Other Non-Network</v>
          </cell>
        </row>
        <row r="176">
          <cell r="G176" t="str">
            <v>Other Non-Network</v>
          </cell>
        </row>
        <row r="177">
          <cell r="G177" t="str">
            <v>Buildings</v>
          </cell>
        </row>
        <row r="178">
          <cell r="G178" t="str">
            <v>Land</v>
          </cell>
        </row>
        <row r="179">
          <cell r="G179" t="str">
            <v>Buildings</v>
          </cell>
        </row>
        <row r="180">
          <cell r="G180" t="str">
            <v>Property Leases</v>
          </cell>
        </row>
        <row r="181">
          <cell r="G181" t="str">
            <v>Property Leases</v>
          </cell>
        </row>
        <row r="182">
          <cell r="G182" t="str">
            <v>Buildings</v>
          </cell>
        </row>
        <row r="183">
          <cell r="G183" t="str">
            <v>Property Leases</v>
          </cell>
        </row>
        <row r="184">
          <cell r="G184" t="str">
            <v>Load Connections</v>
          </cell>
        </row>
        <row r="185">
          <cell r="G185" t="str">
            <v>Load Connections</v>
          </cell>
        </row>
        <row r="186">
          <cell r="G186" t="str">
            <v>Load Connections</v>
          </cell>
        </row>
        <row r="187">
          <cell r="G187" t="str">
            <v>Load Connections</v>
          </cell>
        </row>
        <row r="188">
          <cell r="G188" t="str">
            <v>Load Connections</v>
          </cell>
        </row>
        <row r="189">
          <cell r="G189" t="str">
            <v>Load Connections</v>
          </cell>
        </row>
        <row r="190">
          <cell r="G190" t="str">
            <v>Load Connections</v>
          </cell>
        </row>
        <row r="191">
          <cell r="G191" t="str">
            <v>Energy Connections</v>
          </cell>
        </row>
        <row r="192">
          <cell r="G192" t="str">
            <v>Energy Connections</v>
          </cell>
        </row>
        <row r="193">
          <cell r="G193" t="str">
            <v>Energy Connections</v>
          </cell>
        </row>
        <row r="194">
          <cell r="G194" t="str">
            <v>Load Connections</v>
          </cell>
        </row>
        <row r="195">
          <cell r="G195" t="str">
            <v>Load Connections</v>
          </cell>
        </row>
        <row r="196">
          <cell r="G196" t="str">
            <v>Demand Driven Augex</v>
          </cell>
        </row>
        <row r="197">
          <cell r="G197" t="str">
            <v>Construction insurance</v>
          </cell>
        </row>
        <row r="198">
          <cell r="G198" t="str">
            <v>Construction insurance</v>
          </cell>
        </row>
        <row r="199">
          <cell r="G199" t="str">
            <v>Construction insurance</v>
          </cell>
        </row>
      </sheetData>
      <sheetData sheetId="5"/>
      <sheetData sheetId="6">
        <row r="40">
          <cell r="C40">
            <v>54309.841514238178</v>
          </cell>
          <cell r="D40">
            <v>48544.604990724125</v>
          </cell>
          <cell r="E40">
            <v>49600.788789105442</v>
          </cell>
          <cell r="F40">
            <v>50605.17993354096</v>
          </cell>
          <cell r="G40">
            <v>51080.099494138492</v>
          </cell>
          <cell r="H40">
            <v>51695.57723500744</v>
          </cell>
          <cell r="I40">
            <v>52206.490706369186</v>
          </cell>
        </row>
      </sheetData>
      <sheetData sheetId="7"/>
      <sheetData sheetId="8"/>
      <sheetData sheetId="9"/>
      <sheetData sheetId="10"/>
      <sheetData sheetId="11">
        <row r="8">
          <cell r="E8">
            <v>8.7749907641103214E-2</v>
          </cell>
          <cell r="F8">
            <v>7.6529371495482987E-2</v>
          </cell>
          <cell r="G8">
            <v>6.9606064857935093E-2</v>
          </cell>
          <cell r="H8">
            <v>6.8448460003532982E-2</v>
          </cell>
          <cell r="I8">
            <v>6.7852052699625312E-2</v>
          </cell>
        </row>
        <row r="9">
          <cell r="E9">
            <v>0</v>
          </cell>
          <cell r="F9">
            <v>0</v>
          </cell>
          <cell r="G9">
            <v>0</v>
          </cell>
          <cell r="H9">
            <v>0</v>
          </cell>
          <cell r="I9">
            <v>0</v>
          </cell>
        </row>
      </sheetData>
      <sheetData sheetId="12">
        <row r="2">
          <cell r="C2" t="str">
            <v>AER Capex Forecast Model</v>
          </cell>
        </row>
        <row r="3">
          <cell r="C3" t="str">
            <v>Calc| Project Costs</v>
          </cell>
        </row>
        <row r="6">
          <cell r="X6">
            <v>665873.49126152298</v>
          </cell>
          <cell r="Y6">
            <v>701478.35495236889</v>
          </cell>
          <cell r="Z6">
            <v>739994.68255083216</v>
          </cell>
          <cell r="AA6">
            <v>742629.65232504916</v>
          </cell>
          <cell r="AB6">
            <v>753289.09608260903</v>
          </cell>
          <cell r="AF6">
            <v>62653.475599576253</v>
          </cell>
          <cell r="AG6">
            <v>51479.774571182264</v>
          </cell>
          <cell r="AH6">
            <v>48152.770851275476</v>
          </cell>
          <cell r="AI6">
            <v>47279.00340732724</v>
          </cell>
          <cell r="AJ6">
            <v>48398.910267651336</v>
          </cell>
        </row>
        <row r="7">
          <cell r="C7" t="str">
            <v>Project/Program Inputs</v>
          </cell>
        </row>
        <row r="8">
          <cell r="X8">
            <v>0</v>
          </cell>
          <cell r="Y8">
            <v>0</v>
          </cell>
          <cell r="Z8">
            <v>0</v>
          </cell>
          <cell r="AA8">
            <v>0</v>
          </cell>
          <cell r="AB8">
            <v>0</v>
          </cell>
          <cell r="AF8">
            <v>0</v>
          </cell>
          <cell r="AG8">
            <v>0</v>
          </cell>
          <cell r="AH8">
            <v>0</v>
          </cell>
          <cell r="AI8">
            <v>0</v>
          </cell>
          <cell r="AJ8">
            <v>0</v>
          </cell>
        </row>
        <row r="9">
          <cell r="X9" t="str">
            <v>2026-27</v>
          </cell>
          <cell r="Y9" t="str">
            <v>2027-28</v>
          </cell>
          <cell r="Z9" t="str">
            <v>2028-29</v>
          </cell>
          <cell r="AA9" t="str">
            <v>2029-30</v>
          </cell>
          <cell r="AB9" t="str">
            <v>2030-31</v>
          </cell>
          <cell r="AF9" t="str">
            <v>2026-27</v>
          </cell>
          <cell r="AG9" t="str">
            <v>2027-28</v>
          </cell>
          <cell r="AH9" t="str">
            <v>2028-29</v>
          </cell>
          <cell r="AI9" t="str">
            <v>2029-30</v>
          </cell>
          <cell r="AJ9" t="str">
            <v>2030-31</v>
          </cell>
        </row>
        <row r="10">
          <cell r="C10" t="str">
            <v>Watsonia Refurbishment</v>
          </cell>
          <cell r="X10">
            <v>0</v>
          </cell>
          <cell r="Y10">
            <v>3658.2064295694231</v>
          </cell>
          <cell r="Z10">
            <v>9188.6472098303566</v>
          </cell>
          <cell r="AA10">
            <v>11127.166190176358</v>
          </cell>
          <cell r="AB10">
            <v>9351.0553080243099</v>
          </cell>
          <cell r="AF10">
            <v>0</v>
          </cell>
          <cell r="AG10">
            <v>0</v>
          </cell>
          <cell r="AH10">
            <v>0</v>
          </cell>
          <cell r="AI10">
            <v>0</v>
          </cell>
          <cell r="AJ10">
            <v>0</v>
          </cell>
          <cell r="BZ10">
            <v>1</v>
          </cell>
        </row>
        <row r="11">
          <cell r="C11" t="str">
            <v>Thomastown Stage 2 - 22kV upgrade</v>
          </cell>
          <cell r="X11">
            <v>3843.9531008311969</v>
          </cell>
          <cell r="Y11">
            <v>9621.6951146975716</v>
          </cell>
          <cell r="Z11">
            <v>11600.486348266828</v>
          </cell>
          <cell r="AA11">
            <v>7804.3491263594815</v>
          </cell>
          <cell r="AB11">
            <v>0</v>
          </cell>
          <cell r="AF11">
            <v>0</v>
          </cell>
          <cell r="AG11">
            <v>0</v>
          </cell>
          <cell r="AH11">
            <v>0</v>
          </cell>
          <cell r="AI11">
            <v>0</v>
          </cell>
          <cell r="AJ11">
            <v>0</v>
          </cell>
          <cell r="BZ11">
            <v>1</v>
          </cell>
        </row>
        <row r="12">
          <cell r="C12" t="str">
            <v>Traralgon Stage 2 - 22kV switchboard upgrade</v>
          </cell>
          <cell r="X12">
            <v>0</v>
          </cell>
          <cell r="Y12">
            <v>0</v>
          </cell>
          <cell r="Z12">
            <v>2704.1149530634739</v>
          </cell>
          <cell r="AA12">
            <v>8186.4979123063222</v>
          </cell>
          <cell r="AB12">
            <v>2751.9098195760362</v>
          </cell>
          <cell r="AF12">
            <v>0</v>
          </cell>
          <cell r="AG12">
            <v>0</v>
          </cell>
          <cell r="AH12">
            <v>0</v>
          </cell>
          <cell r="AI12">
            <v>0</v>
          </cell>
          <cell r="AJ12">
            <v>0</v>
          </cell>
          <cell r="BZ12">
            <v>1</v>
          </cell>
        </row>
        <row r="13">
          <cell r="C13" t="str">
            <v>Newmeralla Refurbishment</v>
          </cell>
          <cell r="X13">
            <v>0</v>
          </cell>
          <cell r="Y13">
            <v>0</v>
          </cell>
          <cell r="Z13">
            <v>0</v>
          </cell>
          <cell r="AA13">
            <v>2271.8677011173986</v>
          </cell>
          <cell r="AB13">
            <v>11455.40211905083</v>
          </cell>
          <cell r="AF13">
            <v>0</v>
          </cell>
          <cell r="AG13">
            <v>0</v>
          </cell>
          <cell r="AH13">
            <v>0</v>
          </cell>
          <cell r="AI13">
            <v>0</v>
          </cell>
          <cell r="AJ13">
            <v>0</v>
          </cell>
          <cell r="BZ13">
            <v>1</v>
          </cell>
        </row>
        <row r="14">
          <cell r="C14" t="str">
            <v xml:space="preserve">Kilmore South ZSS 22kV Switchroom Replacement </v>
          </cell>
          <cell r="X14">
            <v>2393.1860520725359</v>
          </cell>
          <cell r="Y14">
            <v>3993.5462169243692</v>
          </cell>
          <cell r="Z14">
            <v>1604.9520664273628</v>
          </cell>
          <cell r="AA14">
            <v>0</v>
          </cell>
          <cell r="AB14">
            <v>0</v>
          </cell>
          <cell r="AF14">
            <v>0</v>
          </cell>
          <cell r="AG14">
            <v>0</v>
          </cell>
          <cell r="AH14">
            <v>0</v>
          </cell>
          <cell r="AI14">
            <v>0</v>
          </cell>
          <cell r="AJ14">
            <v>0</v>
          </cell>
          <cell r="BZ14">
            <v>1</v>
          </cell>
        </row>
        <row r="15">
          <cell r="C15" t="str">
            <v>Traralgon ZSS Rebuild Stage 1</v>
          </cell>
          <cell r="X15">
            <v>569.80620287441332</v>
          </cell>
          <cell r="Y15">
            <v>0</v>
          </cell>
          <cell r="Z15">
            <v>0</v>
          </cell>
          <cell r="AA15">
            <v>0</v>
          </cell>
          <cell r="AB15">
            <v>0</v>
          </cell>
          <cell r="AF15">
            <v>0</v>
          </cell>
          <cell r="AG15">
            <v>0</v>
          </cell>
          <cell r="AH15">
            <v>0</v>
          </cell>
          <cell r="AI15">
            <v>0</v>
          </cell>
          <cell r="AJ15">
            <v>0</v>
          </cell>
          <cell r="BZ15">
            <v>1</v>
          </cell>
        </row>
        <row r="16">
          <cell r="C16" t="str">
            <v>Warragul ZSS Rebuild</v>
          </cell>
          <cell r="X16">
            <v>1139.6124057488266</v>
          </cell>
          <cell r="Y16">
            <v>0</v>
          </cell>
          <cell r="Z16">
            <v>0</v>
          </cell>
          <cell r="AA16">
            <v>0</v>
          </cell>
          <cell r="AB16">
            <v>0</v>
          </cell>
          <cell r="AF16">
            <v>0</v>
          </cell>
          <cell r="AG16">
            <v>0</v>
          </cell>
          <cell r="AH16">
            <v>0</v>
          </cell>
          <cell r="AI16">
            <v>0</v>
          </cell>
          <cell r="AJ16">
            <v>0</v>
          </cell>
          <cell r="BZ16">
            <v>1</v>
          </cell>
        </row>
        <row r="17">
          <cell r="C17" t="str">
            <v>Replace roofs, doors, window</v>
          </cell>
          <cell r="X17">
            <v>496.02310616091432</v>
          </cell>
          <cell r="Y17">
            <v>496.63281232995115</v>
          </cell>
          <cell r="Z17">
            <v>498.97498057406528</v>
          </cell>
          <cell r="AA17">
            <v>503.53599454477904</v>
          </cell>
          <cell r="AB17">
            <v>507.7942959521443</v>
          </cell>
          <cell r="AF17">
            <v>0</v>
          </cell>
          <cell r="AG17">
            <v>0</v>
          </cell>
          <cell r="AH17">
            <v>0</v>
          </cell>
          <cell r="AI17">
            <v>0</v>
          </cell>
          <cell r="AJ17">
            <v>0</v>
          </cell>
          <cell r="BZ17">
            <v>1</v>
          </cell>
        </row>
        <row r="18">
          <cell r="C18" t="str">
            <v>Power Transformer Replacement 20 MVA</v>
          </cell>
          <cell r="X18">
            <v>4366.1119111146045</v>
          </cell>
          <cell r="Y18">
            <v>4371.4786880527099</v>
          </cell>
          <cell r="Z18">
            <v>0</v>
          </cell>
          <cell r="AA18">
            <v>0</v>
          </cell>
          <cell r="AB18">
            <v>0</v>
          </cell>
          <cell r="AF18">
            <v>0</v>
          </cell>
          <cell r="AG18">
            <v>0</v>
          </cell>
          <cell r="AH18">
            <v>0</v>
          </cell>
          <cell r="AI18">
            <v>0</v>
          </cell>
          <cell r="AJ18">
            <v>0</v>
          </cell>
          <cell r="BZ18">
            <v>1</v>
          </cell>
        </row>
        <row r="19">
          <cell r="C19" t="str">
            <v>Power Transformer Replacement 10 MVA</v>
          </cell>
          <cell r="X19">
            <v>0</v>
          </cell>
          <cell r="Y19">
            <v>0</v>
          </cell>
          <cell r="Z19">
            <v>3120.7045235989426</v>
          </cell>
          <cell r="AA19">
            <v>3149.2301561150825</v>
          </cell>
          <cell r="AB19">
            <v>3175.8625544961069</v>
          </cell>
          <cell r="AF19">
            <v>0</v>
          </cell>
          <cell r="AG19">
            <v>0</v>
          </cell>
          <cell r="AH19">
            <v>0</v>
          </cell>
          <cell r="AI19">
            <v>0</v>
          </cell>
          <cell r="AJ19">
            <v>0</v>
          </cell>
          <cell r="BZ19">
            <v>1</v>
          </cell>
        </row>
        <row r="20">
          <cell r="C20" t="str">
            <v>PT Bushing</v>
          </cell>
          <cell r="X20">
            <v>1025.6511651739438</v>
          </cell>
          <cell r="Y20">
            <v>1026.9118843519807</v>
          </cell>
          <cell r="Z20">
            <v>1547.6323497692426</v>
          </cell>
          <cell r="AA20">
            <v>1561.7788962768548</v>
          </cell>
          <cell r="AB20">
            <v>1574.9865424909483</v>
          </cell>
          <cell r="AF20">
            <v>0</v>
          </cell>
          <cell r="AG20">
            <v>0</v>
          </cell>
          <cell r="AH20">
            <v>0</v>
          </cell>
          <cell r="AI20">
            <v>0</v>
          </cell>
          <cell r="AJ20">
            <v>0</v>
          </cell>
          <cell r="BZ20">
            <v>1</v>
          </cell>
        </row>
        <row r="21">
          <cell r="C21" t="str">
            <v>66kV Circuit breakers</v>
          </cell>
          <cell r="X21">
            <v>4362.508789162458</v>
          </cell>
          <cell r="Y21">
            <v>3275.9033528868949</v>
          </cell>
          <cell r="Z21">
            <v>4388.4704387548418</v>
          </cell>
          <cell r="AA21">
            <v>4428.5844239454354</v>
          </cell>
          <cell r="AB21">
            <v>7815.563106657979</v>
          </cell>
          <cell r="AF21">
            <v>0</v>
          </cell>
          <cell r="AG21">
            <v>0</v>
          </cell>
          <cell r="AH21">
            <v>0</v>
          </cell>
          <cell r="AI21">
            <v>0</v>
          </cell>
          <cell r="AJ21">
            <v>0</v>
          </cell>
          <cell r="BZ21">
            <v>1</v>
          </cell>
        </row>
        <row r="22">
          <cell r="C22" t="str">
            <v>Instrument transformers - VTs</v>
          </cell>
          <cell r="X22">
            <v>782.62051301960912</v>
          </cell>
          <cell r="Y22">
            <v>644.24467863078985</v>
          </cell>
          <cell r="Z22">
            <v>863.23035248136023</v>
          </cell>
          <cell r="AA22">
            <v>911.200967570741</v>
          </cell>
          <cell r="AB22">
            <v>960.49554921272329</v>
          </cell>
          <cell r="AF22">
            <v>0</v>
          </cell>
          <cell r="AG22">
            <v>0</v>
          </cell>
          <cell r="AH22">
            <v>0</v>
          </cell>
          <cell r="AI22">
            <v>0</v>
          </cell>
          <cell r="AJ22">
            <v>0</v>
          </cell>
          <cell r="BZ22">
            <v>1</v>
          </cell>
        </row>
        <row r="23">
          <cell r="C23" t="str">
            <v>Instrument transformers - CTs - 66kV</v>
          </cell>
          <cell r="X23">
            <v>0</v>
          </cell>
          <cell r="Y23">
            <v>1564.7676189925321</v>
          </cell>
          <cell r="Z23">
            <v>1572.1472140084725</v>
          </cell>
          <cell r="AA23">
            <v>1586.5178451749118</v>
          </cell>
          <cell r="AB23">
            <v>1599.9347036440388</v>
          </cell>
          <cell r="AF23">
            <v>0</v>
          </cell>
          <cell r="AG23">
            <v>0</v>
          </cell>
          <cell r="AH23">
            <v>0</v>
          </cell>
          <cell r="AI23">
            <v>0</v>
          </cell>
          <cell r="AJ23">
            <v>0</v>
          </cell>
          <cell r="BZ23">
            <v>1</v>
          </cell>
        </row>
        <row r="24">
          <cell r="C24" t="str">
            <v>NERs &amp; NEDs</v>
          </cell>
          <cell r="X24">
            <v>112.3545924901962</v>
          </cell>
          <cell r="Y24">
            <v>112.49269752463925</v>
          </cell>
          <cell r="Z24">
            <v>113.02322393629709</v>
          </cell>
          <cell r="AA24">
            <v>114.05634287704132</v>
          </cell>
          <cell r="AB24">
            <v>0</v>
          </cell>
          <cell r="AF24">
            <v>0</v>
          </cell>
          <cell r="AG24">
            <v>0</v>
          </cell>
          <cell r="AH24">
            <v>0</v>
          </cell>
          <cell r="AI24">
            <v>0</v>
          </cell>
          <cell r="AJ24">
            <v>0</v>
          </cell>
          <cell r="BZ24">
            <v>1</v>
          </cell>
        </row>
        <row r="25">
          <cell r="C25" t="str">
            <v>66kV Surge arresters</v>
          </cell>
          <cell r="X25">
            <v>644.72432242834122</v>
          </cell>
          <cell r="Y25">
            <v>645.51681050365517</v>
          </cell>
          <cell r="Z25">
            <v>605.32372137374409</v>
          </cell>
          <cell r="AA25">
            <v>610.85684439088141</v>
          </cell>
          <cell r="AB25">
            <v>616.02273637943733</v>
          </cell>
          <cell r="AF25">
            <v>0</v>
          </cell>
          <cell r="AG25">
            <v>0</v>
          </cell>
          <cell r="AH25">
            <v>0</v>
          </cell>
          <cell r="AI25">
            <v>0</v>
          </cell>
          <cell r="AJ25">
            <v>0</v>
          </cell>
          <cell r="BZ25">
            <v>1</v>
          </cell>
        </row>
        <row r="26">
          <cell r="C26" t="str">
            <v xml:space="preserve">22 kV Surge Arresters </v>
          </cell>
          <cell r="X26">
            <v>302.6225937283242</v>
          </cell>
          <cell r="Y26">
            <v>302.99457410583955</v>
          </cell>
          <cell r="Z26">
            <v>0</v>
          </cell>
          <cell r="AA26">
            <v>0</v>
          </cell>
          <cell r="AB26">
            <v>0</v>
          </cell>
          <cell r="AF26">
            <v>0</v>
          </cell>
          <cell r="AG26">
            <v>0</v>
          </cell>
          <cell r="AH26">
            <v>0</v>
          </cell>
          <cell r="AI26">
            <v>0</v>
          </cell>
          <cell r="AJ26">
            <v>0</v>
          </cell>
          <cell r="BZ26">
            <v>1</v>
          </cell>
        </row>
        <row r="27">
          <cell r="C27" t="str">
            <v>HV switches, earth switches &amp; isolators</v>
          </cell>
          <cell r="X27">
            <v>0</v>
          </cell>
          <cell r="Y27">
            <v>3410.8435930628848</v>
          </cell>
          <cell r="Z27">
            <v>4283.6618255375379</v>
          </cell>
          <cell r="AA27">
            <v>4322.8177796288855</v>
          </cell>
          <cell r="AB27">
            <v>4359.3749696494697</v>
          </cell>
          <cell r="AF27">
            <v>0</v>
          </cell>
          <cell r="AG27">
            <v>0</v>
          </cell>
          <cell r="AH27">
            <v>0</v>
          </cell>
          <cell r="AI27">
            <v>0</v>
          </cell>
          <cell r="AJ27">
            <v>0</v>
          </cell>
          <cell r="BZ27">
            <v>1</v>
          </cell>
        </row>
        <row r="28">
          <cell r="C28" t="str">
            <v>Subtransmission poles - complex 147COM</v>
          </cell>
          <cell r="X28">
            <v>137.86413556857278</v>
          </cell>
          <cell r="Y28">
            <v>165.64031598474693</v>
          </cell>
          <cell r="Z28">
            <v>166.42149169125011</v>
          </cell>
          <cell r="AA28">
            <v>167.9427117487318</v>
          </cell>
          <cell r="AB28">
            <v>169.36296907600169</v>
          </cell>
          <cell r="AF28">
            <v>0</v>
          </cell>
          <cell r="AG28">
            <v>0</v>
          </cell>
          <cell r="AH28">
            <v>0</v>
          </cell>
          <cell r="AI28">
            <v>0</v>
          </cell>
          <cell r="AJ28">
            <v>0</v>
          </cell>
          <cell r="BZ28">
            <v>1</v>
          </cell>
        </row>
        <row r="29">
          <cell r="C29" t="str">
            <v>Subtransmission poles - simple 147SIM</v>
          </cell>
          <cell r="X29">
            <v>2914.3982260671678</v>
          </cell>
          <cell r="Y29">
            <v>2942.2970772149406</v>
          </cell>
          <cell r="Z29">
            <v>3005.0356015256398</v>
          </cell>
          <cell r="AA29">
            <v>3032.5039313911607</v>
          </cell>
          <cell r="AB29">
            <v>3083.012201474985</v>
          </cell>
          <cell r="AF29">
            <v>0</v>
          </cell>
          <cell r="AG29">
            <v>0</v>
          </cell>
          <cell r="AH29">
            <v>0</v>
          </cell>
          <cell r="AI29">
            <v>0</v>
          </cell>
          <cell r="AJ29">
            <v>0</v>
          </cell>
          <cell r="BZ29">
            <v>1</v>
          </cell>
        </row>
        <row r="30">
          <cell r="C30" t="str">
            <v>Distribution poles - HV complex 148HVC</v>
          </cell>
          <cell r="X30">
            <v>7086.5663948154051</v>
          </cell>
          <cell r="Y30">
            <v>7123.4329862126915</v>
          </cell>
          <cell r="Z30">
            <v>7185.3164306087428</v>
          </cell>
          <cell r="AA30">
            <v>7308.0901875687541</v>
          </cell>
          <cell r="AB30">
            <v>7398.6818640542897</v>
          </cell>
          <cell r="AF30">
            <v>0</v>
          </cell>
          <cell r="AG30">
            <v>0</v>
          </cell>
          <cell r="AH30">
            <v>0</v>
          </cell>
          <cell r="AI30">
            <v>0</v>
          </cell>
          <cell r="AJ30">
            <v>0</v>
          </cell>
          <cell r="BZ30">
            <v>1</v>
          </cell>
        </row>
        <row r="31">
          <cell r="C31" t="str">
            <v>Distribution poles - HV simple 148HVS</v>
          </cell>
          <cell r="X31">
            <v>18345.273833482963</v>
          </cell>
          <cell r="Y31">
            <v>17983.002196949183</v>
          </cell>
          <cell r="Z31">
            <v>17651.434214615376</v>
          </cell>
          <cell r="AA31">
            <v>17422.611406128886</v>
          </cell>
          <cell r="AB31">
            <v>17206.74776523322</v>
          </cell>
          <cell r="AF31">
            <v>0</v>
          </cell>
          <cell r="AG31">
            <v>0</v>
          </cell>
          <cell r="AH31">
            <v>0</v>
          </cell>
          <cell r="AI31">
            <v>0</v>
          </cell>
          <cell r="AJ31">
            <v>0</v>
          </cell>
          <cell r="BZ31">
            <v>1</v>
          </cell>
        </row>
        <row r="32">
          <cell r="C32" t="str">
            <v>Distribution poles - LV 148LVP</v>
          </cell>
          <cell r="X32">
            <v>12509.401552390542</v>
          </cell>
          <cell r="Y32">
            <v>12169.10476363735</v>
          </cell>
          <cell r="Z32">
            <v>11907.432402151831</v>
          </cell>
          <cell r="AA32">
            <v>11707.175132220074</v>
          </cell>
          <cell r="AB32">
            <v>11520.442191449454</v>
          </cell>
          <cell r="AF32">
            <v>0</v>
          </cell>
          <cell r="AG32">
            <v>0</v>
          </cell>
          <cell r="AH32">
            <v>0</v>
          </cell>
          <cell r="AI32">
            <v>0</v>
          </cell>
          <cell r="AJ32">
            <v>0</v>
          </cell>
          <cell r="BZ32">
            <v>1</v>
          </cell>
        </row>
        <row r="33">
          <cell r="C33" t="str">
            <v>Distribution poles - street lights 148SIM</v>
          </cell>
          <cell r="X33">
            <v>1543.0465185373089</v>
          </cell>
          <cell r="Y33">
            <v>1615.3966509045995</v>
          </cell>
          <cell r="Z33">
            <v>1698.8568405574752</v>
          </cell>
          <cell r="AA33">
            <v>1790.9207705445071</v>
          </cell>
          <cell r="AB33">
            <v>1888.3940279803114</v>
          </cell>
          <cell r="AF33">
            <v>0</v>
          </cell>
          <cell r="AG33">
            <v>0</v>
          </cell>
          <cell r="AH33">
            <v>0</v>
          </cell>
          <cell r="AI33">
            <v>0</v>
          </cell>
          <cell r="AJ33">
            <v>0</v>
          </cell>
          <cell r="BZ33">
            <v>1</v>
          </cell>
        </row>
        <row r="34">
          <cell r="C34" t="str">
            <v>Pole reinforcement 149FWK</v>
          </cell>
          <cell r="X34">
            <v>677.86994924954604</v>
          </cell>
          <cell r="Y34">
            <v>699.78910359165741</v>
          </cell>
          <cell r="Z34">
            <v>722.95065832220564</v>
          </cell>
          <cell r="AA34">
            <v>748.26562230508875</v>
          </cell>
          <cell r="AB34">
            <v>772.1109026804794</v>
          </cell>
          <cell r="AF34">
            <v>0</v>
          </cell>
          <cell r="AG34">
            <v>0</v>
          </cell>
          <cell r="AH34">
            <v>0</v>
          </cell>
          <cell r="AI34">
            <v>0</v>
          </cell>
          <cell r="AJ34">
            <v>0</v>
          </cell>
          <cell r="BZ34">
            <v>1</v>
          </cell>
        </row>
        <row r="35">
          <cell r="C35" t="str">
            <v>Crossarms - HV</v>
          </cell>
          <cell r="X35">
            <v>5436.5753034016689</v>
          </cell>
          <cell r="Y35">
            <v>5656.6169387852569</v>
          </cell>
          <cell r="Z35">
            <v>5892.4309468924439</v>
          </cell>
          <cell r="AA35">
            <v>6162.6170259610662</v>
          </cell>
          <cell r="AB35">
            <v>6432.8871795008445</v>
          </cell>
          <cell r="AF35">
            <v>0</v>
          </cell>
          <cell r="AG35">
            <v>0</v>
          </cell>
          <cell r="AH35">
            <v>0</v>
          </cell>
          <cell r="AI35">
            <v>0</v>
          </cell>
          <cell r="AJ35">
            <v>0</v>
          </cell>
          <cell r="BZ35">
            <v>1</v>
          </cell>
        </row>
        <row r="36">
          <cell r="C36" t="str">
            <v>Crossarms - LV</v>
          </cell>
          <cell r="X36">
            <v>2407.835660412899</v>
          </cell>
          <cell r="Y36">
            <v>2501.563242682535</v>
          </cell>
          <cell r="Z36">
            <v>2608.2046621104164</v>
          </cell>
          <cell r="AA36">
            <v>2731.4375866173123</v>
          </cell>
          <cell r="AB36">
            <v>2854.7692693794284</v>
          </cell>
          <cell r="AF36">
            <v>0</v>
          </cell>
          <cell r="AG36">
            <v>0</v>
          </cell>
          <cell r="AH36">
            <v>0</v>
          </cell>
          <cell r="AI36">
            <v>0</v>
          </cell>
          <cell r="AJ36">
            <v>0</v>
          </cell>
          <cell r="BZ36">
            <v>1</v>
          </cell>
        </row>
        <row r="37">
          <cell r="C37" t="str">
            <v>Crossarms - Subtransmission</v>
          </cell>
          <cell r="X37">
            <v>682.31179374365968</v>
          </cell>
          <cell r="Y37">
            <v>705.4756631403111</v>
          </cell>
          <cell r="Z37">
            <v>735.71931470626316</v>
          </cell>
          <cell r="AA37">
            <v>765.07985202332327</v>
          </cell>
          <cell r="AB37">
            <v>794.37689897862901</v>
          </cell>
          <cell r="AF37">
            <v>0</v>
          </cell>
          <cell r="AG37">
            <v>0</v>
          </cell>
          <cell r="AH37">
            <v>0</v>
          </cell>
          <cell r="AI37">
            <v>0</v>
          </cell>
          <cell r="AJ37">
            <v>0</v>
          </cell>
          <cell r="BZ37">
            <v>1</v>
          </cell>
        </row>
        <row r="38">
          <cell r="C38" t="str">
            <v>Conductor - Cu HV</v>
          </cell>
          <cell r="X38">
            <v>2325.264625130967</v>
          </cell>
          <cell r="Y38">
            <v>2386.7319827703477</v>
          </cell>
          <cell r="Z38">
            <v>2526.5591639748495</v>
          </cell>
          <cell r="AA38">
            <v>2549.6538522725796</v>
          </cell>
          <cell r="AB38">
            <v>2571.2157559002276</v>
          </cell>
          <cell r="AF38">
            <v>0</v>
          </cell>
          <cell r="AG38">
            <v>0</v>
          </cell>
          <cell r="AH38">
            <v>0</v>
          </cell>
          <cell r="AI38">
            <v>0</v>
          </cell>
          <cell r="AJ38">
            <v>0</v>
          </cell>
          <cell r="BZ38">
            <v>1</v>
          </cell>
        </row>
        <row r="39">
          <cell r="C39" t="str">
            <v>Conductor - Aluminium LV &amp; MV</v>
          </cell>
          <cell r="X39">
            <v>9385.194066023083</v>
          </cell>
          <cell r="Y39">
            <v>9524.6150037687985</v>
          </cell>
          <cell r="Z39">
            <v>9707.1013267730395</v>
          </cell>
          <cell r="AA39">
            <v>9934.6564677515344</v>
          </cell>
          <cell r="AB39">
            <v>10018.671835226032</v>
          </cell>
          <cell r="AF39">
            <v>0</v>
          </cell>
          <cell r="AG39">
            <v>0</v>
          </cell>
          <cell r="AH39">
            <v>0</v>
          </cell>
          <cell r="AI39">
            <v>0</v>
          </cell>
          <cell r="AJ39">
            <v>0</v>
          </cell>
          <cell r="BZ39">
            <v>1</v>
          </cell>
        </row>
        <row r="40">
          <cell r="C40" t="str">
            <v>Conductor - ACSR LV &amp; MV</v>
          </cell>
          <cell r="X40">
            <v>8670.667773926918</v>
          </cell>
          <cell r="Y40">
            <v>8900.9478854495392</v>
          </cell>
          <cell r="Z40">
            <v>9080.4929341699226</v>
          </cell>
          <cell r="AA40">
            <v>9302.3203939137056</v>
          </cell>
          <cell r="AB40">
            <v>9380.9882239284707</v>
          </cell>
          <cell r="AF40">
            <v>0</v>
          </cell>
          <cell r="AG40">
            <v>0</v>
          </cell>
          <cell r="AH40">
            <v>0</v>
          </cell>
          <cell r="AI40">
            <v>0</v>
          </cell>
          <cell r="AJ40">
            <v>0</v>
          </cell>
          <cell r="BZ40">
            <v>1</v>
          </cell>
        </row>
        <row r="41">
          <cell r="C41" t="str">
            <v>Conductor - ACSR HV (Subtr)</v>
          </cell>
          <cell r="X41">
            <v>8.67339465802762</v>
          </cell>
          <cell r="Y41">
            <v>8.6840558997395636</v>
          </cell>
          <cell r="Z41">
            <v>8.7250107449562115</v>
          </cell>
          <cell r="AA41">
            <v>8.8047640341022699</v>
          </cell>
          <cell r="AB41">
            <v>8.8792241312634115</v>
          </cell>
          <cell r="AF41">
            <v>0</v>
          </cell>
          <cell r="AG41">
            <v>0</v>
          </cell>
          <cell r="AH41">
            <v>0</v>
          </cell>
          <cell r="AI41">
            <v>0</v>
          </cell>
          <cell r="AJ41">
            <v>0</v>
          </cell>
          <cell r="BZ41">
            <v>1</v>
          </cell>
        </row>
        <row r="42">
          <cell r="C42" t="str">
            <v>Conductor - Steel</v>
          </cell>
          <cell r="X42">
            <v>4118.1287995145358</v>
          </cell>
          <cell r="Y42">
            <v>4123.190758328079</v>
          </cell>
          <cell r="Z42">
            <v>4142.6361236338353</v>
          </cell>
          <cell r="AA42">
            <v>4180.502994661595</v>
          </cell>
          <cell r="AB42">
            <v>4215.8566575149443</v>
          </cell>
          <cell r="AF42">
            <v>0</v>
          </cell>
          <cell r="AG42">
            <v>0</v>
          </cell>
          <cell r="AH42">
            <v>0</v>
          </cell>
          <cell r="AI42">
            <v>0</v>
          </cell>
          <cell r="AJ42">
            <v>0</v>
          </cell>
          <cell r="BZ42">
            <v>1</v>
          </cell>
        </row>
        <row r="43">
          <cell r="C43" t="str">
            <v>Conductor - SWER (Non Codified)</v>
          </cell>
          <cell r="X43">
            <v>8.4160636647386458</v>
          </cell>
          <cell r="Y43">
            <v>8.4264085980122445</v>
          </cell>
          <cell r="Z43">
            <v>8.4661483537033817</v>
          </cell>
          <cell r="AA43">
            <v>8.5435354420799392</v>
          </cell>
          <cell r="AB43">
            <v>8.615786382213372</v>
          </cell>
          <cell r="AF43">
            <v>0</v>
          </cell>
          <cell r="AG43">
            <v>0</v>
          </cell>
          <cell r="AH43">
            <v>0</v>
          </cell>
          <cell r="AI43">
            <v>0</v>
          </cell>
          <cell r="AJ43">
            <v>0</v>
          </cell>
          <cell r="BZ43">
            <v>1</v>
          </cell>
        </row>
        <row r="44">
          <cell r="C44" t="str">
            <v>Cables</v>
          </cell>
          <cell r="X44">
            <v>3450.7463658952092</v>
          </cell>
          <cell r="Y44">
            <v>5758.3133092189037</v>
          </cell>
          <cell r="Z44">
            <v>9256.752112296479</v>
          </cell>
          <cell r="AA44">
            <v>8173.6951846513293</v>
          </cell>
          <cell r="AB44">
            <v>4710.1819777208157</v>
          </cell>
          <cell r="AF44">
            <v>0</v>
          </cell>
          <cell r="AG44">
            <v>0</v>
          </cell>
          <cell r="AH44">
            <v>0</v>
          </cell>
          <cell r="AI44">
            <v>0</v>
          </cell>
          <cell r="AJ44">
            <v>0</v>
          </cell>
          <cell r="BZ44">
            <v>1</v>
          </cell>
        </row>
        <row r="45">
          <cell r="C45" t="str">
            <v>Distribution subs Pole Top</v>
          </cell>
          <cell r="X45">
            <v>2658.7394130825237</v>
          </cell>
          <cell r="Y45">
            <v>2747.3282598590677</v>
          </cell>
          <cell r="Z45">
            <v>2794.5741786432095</v>
          </cell>
          <cell r="AA45">
            <v>2923.9267811075888</v>
          </cell>
          <cell r="AB45">
            <v>2983.5491463617068</v>
          </cell>
          <cell r="AF45">
            <v>0</v>
          </cell>
          <cell r="AG45">
            <v>0</v>
          </cell>
          <cell r="AH45">
            <v>0</v>
          </cell>
          <cell r="AI45">
            <v>0</v>
          </cell>
          <cell r="AJ45">
            <v>0</v>
          </cell>
          <cell r="BZ45">
            <v>1</v>
          </cell>
        </row>
        <row r="46">
          <cell r="C46" t="str">
            <v>Distribution subs Ground</v>
          </cell>
          <cell r="X46">
            <v>703.03989504798949</v>
          </cell>
          <cell r="Y46">
            <v>703.90406398642347</v>
          </cell>
          <cell r="Z46">
            <v>707.22374344505056</v>
          </cell>
          <cell r="AA46">
            <v>713.68831080785139</v>
          </cell>
          <cell r="AB46">
            <v>719.72382757578498</v>
          </cell>
          <cell r="AF46">
            <v>0</v>
          </cell>
          <cell r="AG46">
            <v>0</v>
          </cell>
          <cell r="AH46">
            <v>0</v>
          </cell>
          <cell r="AI46">
            <v>0</v>
          </cell>
          <cell r="AJ46">
            <v>0</v>
          </cell>
          <cell r="BZ46">
            <v>1</v>
          </cell>
        </row>
        <row r="47">
          <cell r="C47" t="str">
            <v>Services (LV Service Cables)</v>
          </cell>
          <cell r="X47">
            <v>3514.5646593293814</v>
          </cell>
          <cell r="Y47">
            <v>3551.4036000505998</v>
          </cell>
          <cell r="Z47">
            <v>3593.9462344641302</v>
          </cell>
          <cell r="AA47">
            <v>3635.4742085555677</v>
          </cell>
          <cell r="AB47">
            <v>3674.9685991455458</v>
          </cell>
          <cell r="AF47">
            <v>0</v>
          </cell>
          <cell r="AG47">
            <v>0</v>
          </cell>
          <cell r="AH47">
            <v>0</v>
          </cell>
          <cell r="AI47">
            <v>0</v>
          </cell>
          <cell r="AJ47">
            <v>0</v>
          </cell>
          <cell r="BZ47">
            <v>1</v>
          </cell>
        </row>
        <row r="48">
          <cell r="C48" t="str">
            <v>Control Boxes</v>
          </cell>
          <cell r="X48">
            <v>3961.8255786955078</v>
          </cell>
          <cell r="Y48">
            <v>7799.681988515259</v>
          </cell>
          <cell r="Z48">
            <v>8597.7227421992811</v>
          </cell>
          <cell r="AA48">
            <v>11206.903673458159</v>
          </cell>
          <cell r="AB48">
            <v>11620.677157366377</v>
          </cell>
          <cell r="AF48">
            <v>0</v>
          </cell>
          <cell r="AG48">
            <v>0</v>
          </cell>
          <cell r="AH48">
            <v>0</v>
          </cell>
          <cell r="AI48">
            <v>0</v>
          </cell>
          <cell r="AJ48">
            <v>0</v>
          </cell>
          <cell r="BZ48">
            <v>1</v>
          </cell>
        </row>
        <row r="49">
          <cell r="C49" t="str">
            <v>ACRs</v>
          </cell>
          <cell r="X49">
            <v>1449.9136949319034</v>
          </cell>
          <cell r="Y49">
            <v>4718.0117171345355</v>
          </cell>
          <cell r="Z49">
            <v>6077.2593787866936</v>
          </cell>
          <cell r="AA49">
            <v>10057.808711548279</v>
          </cell>
          <cell r="AB49">
            <v>10390.252517174644</v>
          </cell>
          <cell r="AF49">
            <v>0</v>
          </cell>
          <cell r="AG49">
            <v>0</v>
          </cell>
          <cell r="AH49">
            <v>0</v>
          </cell>
          <cell r="AI49">
            <v>0</v>
          </cell>
          <cell r="AJ49">
            <v>0</v>
          </cell>
          <cell r="BZ49">
            <v>1</v>
          </cell>
        </row>
        <row r="50">
          <cell r="C50" t="str">
            <v>MV switches - Manual Gas</v>
          </cell>
          <cell r="X50">
            <v>2047.9221751744683</v>
          </cell>
          <cell r="Y50">
            <v>1065.1633551588709</v>
          </cell>
          <cell r="Z50">
            <v>1257.469452727594</v>
          </cell>
          <cell r="AA50">
            <v>1754.9497810545145</v>
          </cell>
          <cell r="AB50">
            <v>1483.9017132235251</v>
          </cell>
          <cell r="AF50">
            <v>0</v>
          </cell>
          <cell r="AG50">
            <v>0</v>
          </cell>
          <cell r="AH50">
            <v>0</v>
          </cell>
          <cell r="AI50">
            <v>0</v>
          </cell>
          <cell r="AJ50">
            <v>0</v>
          </cell>
          <cell r="BZ50">
            <v>1</v>
          </cell>
        </row>
        <row r="51">
          <cell r="C51" t="str">
            <v>MV Switches - Air Break</v>
          </cell>
          <cell r="X51">
            <v>151.25627533849121</v>
          </cell>
          <cell r="Y51">
            <v>378.6054947384805</v>
          </cell>
          <cell r="Z51">
            <v>786.14147185567947</v>
          </cell>
          <cell r="AA51">
            <v>1689.0196423611353</v>
          </cell>
          <cell r="AB51">
            <v>1212.9584374274386</v>
          </cell>
          <cell r="AF51">
            <v>0</v>
          </cell>
          <cell r="AG51">
            <v>0</v>
          </cell>
          <cell r="AH51">
            <v>0</v>
          </cell>
          <cell r="AI51">
            <v>0</v>
          </cell>
          <cell r="AJ51">
            <v>0</v>
          </cell>
          <cell r="BZ51">
            <v>1</v>
          </cell>
        </row>
        <row r="52">
          <cell r="C52" t="str">
            <v>MV Switches - Ground/Indoor</v>
          </cell>
          <cell r="X52">
            <v>1591.5239514450109</v>
          </cell>
          <cell r="Y52">
            <v>1593.4802352537963</v>
          </cell>
          <cell r="Z52">
            <v>2731.1095300226407</v>
          </cell>
          <cell r="AA52">
            <v>5306.2343589213724</v>
          </cell>
          <cell r="AB52">
            <v>8194.383452900478</v>
          </cell>
          <cell r="AF52">
            <v>0</v>
          </cell>
          <cell r="AG52">
            <v>0</v>
          </cell>
          <cell r="AH52">
            <v>0</v>
          </cell>
          <cell r="AI52">
            <v>0</v>
          </cell>
          <cell r="AJ52">
            <v>0</v>
          </cell>
          <cell r="BZ52">
            <v>1</v>
          </cell>
        </row>
        <row r="53">
          <cell r="C53" t="str">
            <v xml:space="preserve">Fuses </v>
          </cell>
          <cell r="X53">
            <v>2026.8006636242883</v>
          </cell>
          <cell r="Y53">
            <v>2029.2919847999974</v>
          </cell>
          <cell r="Z53">
            <v>2038.8623215293319</v>
          </cell>
          <cell r="AA53">
            <v>2057.4990866876933</v>
          </cell>
          <cell r="AB53">
            <v>2074.8989376445566</v>
          </cell>
          <cell r="AF53">
            <v>0</v>
          </cell>
          <cell r="AG53">
            <v>0</v>
          </cell>
          <cell r="AH53">
            <v>0</v>
          </cell>
          <cell r="AI53">
            <v>0</v>
          </cell>
          <cell r="AJ53">
            <v>0</v>
          </cell>
          <cell r="BZ53">
            <v>1</v>
          </cell>
        </row>
        <row r="54">
          <cell r="C54" t="str">
            <v>Surge arresters</v>
          </cell>
          <cell r="X54">
            <v>956.46871485814995</v>
          </cell>
          <cell r="Y54">
            <v>957.6443957260301</v>
          </cell>
          <cell r="Z54">
            <v>962.16073906287181</v>
          </cell>
          <cell r="AA54">
            <v>970.95562606880765</v>
          </cell>
          <cell r="AB54">
            <v>979.16680015322618</v>
          </cell>
          <cell r="AF54">
            <v>0</v>
          </cell>
          <cell r="AG54">
            <v>0</v>
          </cell>
          <cell r="AH54">
            <v>0</v>
          </cell>
          <cell r="AI54">
            <v>0</v>
          </cell>
          <cell r="AJ54">
            <v>0</v>
          </cell>
          <cell r="BZ54">
            <v>1</v>
          </cell>
        </row>
        <row r="55">
          <cell r="C55" t="str">
            <v>Line voltage regulators</v>
          </cell>
          <cell r="X55">
            <v>611.77074203839118</v>
          </cell>
          <cell r="Y55">
            <v>1225.0454478672759</v>
          </cell>
          <cell r="Z55">
            <v>615.41144017867452</v>
          </cell>
          <cell r="AA55">
            <v>621.03677268164404</v>
          </cell>
          <cell r="AB55">
            <v>626.28875425155479</v>
          </cell>
          <cell r="AF55">
            <v>0</v>
          </cell>
          <cell r="AG55">
            <v>0</v>
          </cell>
          <cell r="AH55">
            <v>0</v>
          </cell>
          <cell r="AI55">
            <v>0</v>
          </cell>
          <cell r="AJ55">
            <v>0</v>
          </cell>
          <cell r="BZ55">
            <v>1</v>
          </cell>
        </row>
        <row r="56">
          <cell r="C56" t="str">
            <v>Pole top capacitors</v>
          </cell>
          <cell r="X56">
            <v>59.387481688382856</v>
          </cell>
          <cell r="Y56">
            <v>59.460480130389357</v>
          </cell>
          <cell r="Z56">
            <v>59.740901489759096</v>
          </cell>
          <cell r="AA56">
            <v>60.286979142799602</v>
          </cell>
          <cell r="AB56">
            <v>60.796813853546887</v>
          </cell>
          <cell r="AF56">
            <v>0</v>
          </cell>
          <cell r="AG56">
            <v>0</v>
          </cell>
          <cell r="AH56">
            <v>0</v>
          </cell>
          <cell r="AI56">
            <v>0</v>
          </cell>
          <cell r="AJ56">
            <v>0</v>
          </cell>
          <cell r="BZ56">
            <v>1</v>
          </cell>
        </row>
        <row r="57">
          <cell r="C57" t="str">
            <v>Insulators</v>
          </cell>
          <cell r="X57">
            <v>3047.0103940760578</v>
          </cell>
          <cell r="Y57">
            <v>3050.7557458778442</v>
          </cell>
          <cell r="Z57">
            <v>3065.1434042265173</v>
          </cell>
          <cell r="AA57">
            <v>3097.2526485266662</v>
          </cell>
          <cell r="AB57">
            <v>3123.4454837064245</v>
          </cell>
          <cell r="AF57">
            <v>0</v>
          </cell>
          <cell r="AG57">
            <v>0</v>
          </cell>
          <cell r="AH57">
            <v>0</v>
          </cell>
          <cell r="AI57">
            <v>0</v>
          </cell>
          <cell r="AJ57">
            <v>0</v>
          </cell>
          <cell r="BZ57">
            <v>1</v>
          </cell>
        </row>
        <row r="58">
          <cell r="C58" t="str">
            <v>Protection &amp; Control Replacements</v>
          </cell>
          <cell r="X58">
            <v>5325.9908689674894</v>
          </cell>
          <cell r="Y58">
            <v>7998.8062779102193</v>
          </cell>
          <cell r="Z58">
            <v>9375.9509897861608</v>
          </cell>
          <cell r="AA58">
            <v>12164.984192514379</v>
          </cell>
          <cell r="AB58">
            <v>12267.860987557386</v>
          </cell>
          <cell r="AF58">
            <v>0</v>
          </cell>
          <cell r="AG58">
            <v>0</v>
          </cell>
          <cell r="AH58">
            <v>0</v>
          </cell>
          <cell r="AI58">
            <v>0</v>
          </cell>
          <cell r="AJ58">
            <v>0</v>
          </cell>
          <cell r="BZ58">
            <v>1</v>
          </cell>
        </row>
        <row r="59">
          <cell r="C59" t="str">
            <v>RTU</v>
          </cell>
          <cell r="X59">
            <v>922.72803720912998</v>
          </cell>
          <cell r="Y59">
            <v>0</v>
          </cell>
          <cell r="Z59">
            <v>0</v>
          </cell>
          <cell r="AA59">
            <v>936.70390378895388</v>
          </cell>
          <cell r="AB59">
            <v>0</v>
          </cell>
          <cell r="AF59">
            <v>0</v>
          </cell>
          <cell r="AG59">
            <v>0</v>
          </cell>
          <cell r="AH59">
            <v>0</v>
          </cell>
          <cell r="AI59">
            <v>0</v>
          </cell>
          <cell r="AJ59">
            <v>0</v>
          </cell>
          <cell r="BZ59">
            <v>1</v>
          </cell>
        </row>
        <row r="60">
          <cell r="C60" t="str">
            <v>Aux Supply</v>
          </cell>
          <cell r="X60">
            <v>3926.2136633813907</v>
          </cell>
          <cell r="Y60">
            <v>5241.3862962822541</v>
          </cell>
          <cell r="Z60">
            <v>5266.1051795970579</v>
          </cell>
          <cell r="AA60">
            <v>5314.2414193495133</v>
          </cell>
          <cell r="AB60">
            <v>6698.9785965994406</v>
          </cell>
          <cell r="AF60">
            <v>0</v>
          </cell>
          <cell r="AG60">
            <v>0</v>
          </cell>
          <cell r="AH60">
            <v>0</v>
          </cell>
          <cell r="AI60">
            <v>0</v>
          </cell>
          <cell r="AJ60">
            <v>0</v>
          </cell>
          <cell r="BZ60">
            <v>1</v>
          </cell>
        </row>
        <row r="61">
          <cell r="C61" t="str">
            <v>Zone substation lighting</v>
          </cell>
          <cell r="X61">
            <v>381.55623550839562</v>
          </cell>
          <cell r="Y61">
            <v>382.02524025380865</v>
          </cell>
          <cell r="Z61">
            <v>575.74036220084463</v>
          </cell>
          <cell r="AA61">
            <v>581.00307062859122</v>
          </cell>
          <cell r="AB61">
            <v>585.91649532939732</v>
          </cell>
          <cell r="AF61">
            <v>0</v>
          </cell>
          <cell r="AG61">
            <v>0</v>
          </cell>
          <cell r="AH61">
            <v>0</v>
          </cell>
          <cell r="AI61">
            <v>0</v>
          </cell>
          <cell r="AJ61">
            <v>0</v>
          </cell>
          <cell r="BZ61">
            <v>1</v>
          </cell>
        </row>
        <row r="62">
          <cell r="C62" t="str">
            <v>ZSS Perimeter CCTV &amp; intruder detection - SOCI</v>
          </cell>
          <cell r="X62">
            <v>5698.0620287441343</v>
          </cell>
          <cell r="Y62">
            <v>3033.9541116576852</v>
          </cell>
          <cell r="Z62">
            <v>3048.2625318788273</v>
          </cell>
          <cell r="AA62">
            <v>0</v>
          </cell>
          <cell r="AB62">
            <v>0</v>
          </cell>
          <cell r="AF62">
            <v>0</v>
          </cell>
          <cell r="AG62">
            <v>0</v>
          </cell>
          <cell r="AH62">
            <v>0</v>
          </cell>
          <cell r="AI62">
            <v>0</v>
          </cell>
          <cell r="AJ62">
            <v>0</v>
          </cell>
          <cell r="BZ62">
            <v>1</v>
          </cell>
        </row>
        <row r="63">
          <cell r="C63" t="str">
            <v>ZSS perimeter fencing upgrades - SOCI</v>
          </cell>
          <cell r="X63">
            <v>0</v>
          </cell>
          <cell r="Y63">
            <v>3246.7530743595121</v>
          </cell>
          <cell r="Z63">
            <v>3262.0650750136147</v>
          </cell>
          <cell r="AA63">
            <v>1324.6198786940731</v>
          </cell>
          <cell r="AB63">
            <v>1335.8219193719524</v>
          </cell>
          <cell r="AF63">
            <v>0</v>
          </cell>
          <cell r="AG63">
            <v>0</v>
          </cell>
          <cell r="AH63">
            <v>0</v>
          </cell>
          <cell r="AI63">
            <v>0</v>
          </cell>
          <cell r="AJ63">
            <v>0</v>
          </cell>
          <cell r="BZ63">
            <v>1</v>
          </cell>
        </row>
        <row r="64">
          <cell r="C64" t="str">
            <v>ZSS Fence replacement - general</v>
          </cell>
          <cell r="X64">
            <v>317.9635295903297</v>
          </cell>
          <cell r="Y64">
            <v>318.35436687817389</v>
          </cell>
          <cell r="Z64">
            <v>319.85575677824704</v>
          </cell>
          <cell r="AA64">
            <v>322.77948368255068</v>
          </cell>
          <cell r="AB64">
            <v>651.01832814377474</v>
          </cell>
          <cell r="AF64">
            <v>0</v>
          </cell>
          <cell r="AG64">
            <v>0</v>
          </cell>
          <cell r="AH64">
            <v>0</v>
          </cell>
          <cell r="AI64">
            <v>0</v>
          </cell>
          <cell r="AJ64">
            <v>0</v>
          </cell>
          <cell r="BZ64">
            <v>1</v>
          </cell>
        </row>
        <row r="65">
          <cell r="C65" t="str">
            <v>Line voltage regulator fence replacement</v>
          </cell>
          <cell r="X65">
            <v>63.592705918065938</v>
          </cell>
          <cell r="Y65">
            <v>127.34174675126953</v>
          </cell>
          <cell r="Z65">
            <v>127.94230271129881</v>
          </cell>
          <cell r="AA65">
            <v>129.11179347302024</v>
          </cell>
          <cell r="AB65">
            <v>130.20366562875495</v>
          </cell>
          <cell r="AF65">
            <v>0</v>
          </cell>
          <cell r="AG65">
            <v>0</v>
          </cell>
          <cell r="AH65">
            <v>0</v>
          </cell>
          <cell r="AI65">
            <v>0</v>
          </cell>
          <cell r="AJ65">
            <v>0</v>
          </cell>
          <cell r="BZ65">
            <v>1</v>
          </cell>
        </row>
        <row r="66">
          <cell r="C66" t="str">
            <v>Ground type distribution sub fence replacement</v>
          </cell>
          <cell r="X66">
            <v>31.796352959032969</v>
          </cell>
          <cell r="Y66">
            <v>31.835436687817381</v>
          </cell>
          <cell r="Z66">
            <v>31.985575677824702</v>
          </cell>
          <cell r="AA66">
            <v>32.277948368255061</v>
          </cell>
          <cell r="AB66">
            <v>32.550916407188737</v>
          </cell>
          <cell r="AF66">
            <v>0</v>
          </cell>
          <cell r="AG66">
            <v>0</v>
          </cell>
          <cell r="AH66">
            <v>0</v>
          </cell>
          <cell r="AI66">
            <v>0</v>
          </cell>
          <cell r="AJ66">
            <v>0</v>
          </cell>
          <cell r="BZ66">
            <v>1</v>
          </cell>
        </row>
        <row r="67">
          <cell r="C67" t="str">
            <v>4G Replacements</v>
          </cell>
          <cell r="X67">
            <v>0</v>
          </cell>
          <cell r="Y67">
            <v>0</v>
          </cell>
          <cell r="Z67">
            <v>0</v>
          </cell>
          <cell r="AA67">
            <v>1549.3415216762432</v>
          </cell>
          <cell r="AB67">
            <v>1562.4439875450594</v>
          </cell>
          <cell r="AF67">
            <v>0</v>
          </cell>
          <cell r="AG67">
            <v>0</v>
          </cell>
          <cell r="AH67">
            <v>0</v>
          </cell>
          <cell r="AI67">
            <v>0</v>
          </cell>
          <cell r="AJ67">
            <v>0</v>
          </cell>
          <cell r="BZ67">
            <v>1</v>
          </cell>
        </row>
        <row r="68">
          <cell r="C68" t="str">
            <v>SDH/PDH and DIC Switch &amp; Serial Server Replacement</v>
          </cell>
          <cell r="X68">
            <v>0</v>
          </cell>
          <cell r="Y68">
            <v>0</v>
          </cell>
          <cell r="Z68">
            <v>0</v>
          </cell>
          <cell r="AA68">
            <v>0</v>
          </cell>
          <cell r="AB68">
            <v>2921.770256709261</v>
          </cell>
          <cell r="AF68">
            <v>0</v>
          </cell>
          <cell r="AG68">
            <v>0</v>
          </cell>
          <cell r="AH68">
            <v>0</v>
          </cell>
          <cell r="AI68">
            <v>0</v>
          </cell>
          <cell r="AJ68">
            <v>0</v>
          </cell>
          <cell r="BZ68">
            <v>1</v>
          </cell>
        </row>
        <row r="69">
          <cell r="C69" t="str">
            <v>Security Enhancement</v>
          </cell>
          <cell r="X69">
            <v>248.01155308045719</v>
          </cell>
          <cell r="Y69">
            <v>248.3164061649756</v>
          </cell>
          <cell r="Z69">
            <v>249.4874902870327</v>
          </cell>
          <cell r="AA69">
            <v>251.76799727238955</v>
          </cell>
          <cell r="AB69">
            <v>253.89714797607218</v>
          </cell>
          <cell r="AF69">
            <v>0</v>
          </cell>
          <cell r="AG69">
            <v>0</v>
          </cell>
          <cell r="AH69">
            <v>0</v>
          </cell>
          <cell r="AI69">
            <v>0</v>
          </cell>
          <cell r="AJ69">
            <v>0</v>
          </cell>
          <cell r="BZ69">
            <v>1</v>
          </cell>
        </row>
        <row r="70">
          <cell r="C70" t="str">
            <v>Upgrade oil control -Distribution Voltage Regulators</v>
          </cell>
          <cell r="X70">
            <v>1213.3488289166978</v>
          </cell>
          <cell r="Y70">
            <v>1214.8402640071113</v>
          </cell>
          <cell r="Z70">
            <v>1830.8543517986857</v>
          </cell>
          <cell r="AA70">
            <v>1847.5897645989196</v>
          </cell>
          <cell r="AB70">
            <v>1863.2144551474828</v>
          </cell>
          <cell r="AF70">
            <v>0</v>
          </cell>
          <cell r="AG70">
            <v>0</v>
          </cell>
          <cell r="AH70">
            <v>0</v>
          </cell>
          <cell r="AI70">
            <v>0</v>
          </cell>
          <cell r="AJ70">
            <v>0</v>
          </cell>
          <cell r="BZ70">
            <v>1</v>
          </cell>
        </row>
        <row r="71">
          <cell r="C71" t="str">
            <v xml:space="preserve">Upgrade oil control -ZSS </v>
          </cell>
          <cell r="X71">
            <v>2246.0434988613547</v>
          </cell>
          <cell r="Y71">
            <v>4497.6086218574392</v>
          </cell>
          <cell r="Z71">
            <v>4518.8197779209058</v>
          </cell>
          <cell r="AA71">
            <v>5700.1565700403708</v>
          </cell>
          <cell r="AB71">
            <v>4598.6893070751221</v>
          </cell>
          <cell r="AF71">
            <v>0</v>
          </cell>
          <cell r="AG71">
            <v>0</v>
          </cell>
          <cell r="AH71">
            <v>0</v>
          </cell>
          <cell r="AI71">
            <v>0</v>
          </cell>
          <cell r="AJ71">
            <v>0</v>
          </cell>
          <cell r="BZ71">
            <v>1</v>
          </cell>
        </row>
        <row r="72">
          <cell r="C72" t="str">
            <v>Proactive Fuses</v>
          </cell>
          <cell r="X72">
            <v>18936.013867093541</v>
          </cell>
          <cell r="Y72">
            <v>8620.8052801862577</v>
          </cell>
          <cell r="Z72">
            <v>7570.638629063742</v>
          </cell>
          <cell r="AA72">
            <v>9096.6124439361774</v>
          </cell>
          <cell r="AB72">
            <v>8317.4907943402759</v>
          </cell>
          <cell r="AF72">
            <v>0</v>
          </cell>
          <cell r="AG72">
            <v>0</v>
          </cell>
          <cell r="AH72">
            <v>0</v>
          </cell>
          <cell r="AI72">
            <v>0</v>
          </cell>
          <cell r="AJ72">
            <v>0</v>
          </cell>
          <cell r="BZ72">
            <v>1</v>
          </cell>
        </row>
        <row r="73">
          <cell r="C73" t="str">
            <v>Low service compliance</v>
          </cell>
          <cell r="X73">
            <v>3419.7489071710788</v>
          </cell>
          <cell r="Y73">
            <v>3423.9524250704708</v>
          </cell>
          <cell r="Z73">
            <v>3440.100114953736</v>
          </cell>
          <cell r="AA73">
            <v>3471.5452681093234</v>
          </cell>
          <cell r="AB73">
            <v>3500.9034197828423</v>
          </cell>
          <cell r="AF73">
            <v>0</v>
          </cell>
          <cell r="AG73">
            <v>0</v>
          </cell>
          <cell r="AH73">
            <v>0</v>
          </cell>
          <cell r="AI73">
            <v>0</v>
          </cell>
          <cell r="AJ73">
            <v>0</v>
          </cell>
          <cell r="BZ73">
            <v>1</v>
          </cell>
        </row>
        <row r="74">
          <cell r="C74" t="str">
            <v>Conductor clearance compliance (3D Model/LiDAR)</v>
          </cell>
          <cell r="X74">
            <v>3195.494673110346</v>
          </cell>
          <cell r="Y74">
            <v>2594.0779226077293</v>
          </cell>
          <cell r="Z74">
            <v>2203.6630417114552</v>
          </cell>
          <cell r="AA74">
            <v>1837.9607259297861</v>
          </cell>
          <cell r="AB74">
            <v>1346.1189369800254</v>
          </cell>
          <cell r="AF74">
            <v>0</v>
          </cell>
          <cell r="AG74">
            <v>0</v>
          </cell>
          <cell r="AH74">
            <v>0</v>
          </cell>
          <cell r="AI74">
            <v>0</v>
          </cell>
          <cell r="AJ74">
            <v>0</v>
          </cell>
          <cell r="BZ74">
            <v>1</v>
          </cell>
        </row>
        <row r="75">
          <cell r="C75" t="str">
            <v>Fall arrest systems</v>
          </cell>
          <cell r="X75">
            <v>1504.5759711203493</v>
          </cell>
          <cell r="Y75">
            <v>1507.724975091802</v>
          </cell>
          <cell r="Z75">
            <v>1516.3919399686304</v>
          </cell>
          <cell r="AA75">
            <v>1532.0949216204483</v>
          </cell>
          <cell r="AB75">
            <v>1794.0370695274394</v>
          </cell>
          <cell r="AF75">
            <v>0</v>
          </cell>
          <cell r="AG75">
            <v>0</v>
          </cell>
          <cell r="AH75">
            <v>0</v>
          </cell>
          <cell r="AI75">
            <v>0</v>
          </cell>
          <cell r="AJ75">
            <v>0</v>
          </cell>
          <cell r="BZ75">
            <v>1</v>
          </cell>
        </row>
        <row r="76">
          <cell r="C76" t="str">
            <v>SWER Earths</v>
          </cell>
          <cell r="X76">
            <v>290.78595161754293</v>
          </cell>
          <cell r="Y76">
            <v>291.14338252422527</v>
          </cell>
          <cell r="Z76">
            <v>292.51644279753481</v>
          </cell>
          <cell r="AA76">
            <v>295.19026740639208</v>
          </cell>
          <cell r="AB76">
            <v>297.68663140967158</v>
          </cell>
          <cell r="AF76">
            <v>0</v>
          </cell>
          <cell r="AG76">
            <v>0</v>
          </cell>
          <cell r="AH76">
            <v>0</v>
          </cell>
          <cell r="AI76">
            <v>0</v>
          </cell>
          <cell r="AJ76">
            <v>0</v>
          </cell>
          <cell r="BZ76">
            <v>1</v>
          </cell>
        </row>
        <row r="77">
          <cell r="C77" t="str">
            <v>Proactive insulation/undergrounding of SWER (Codified areas)</v>
          </cell>
          <cell r="X77">
            <v>0</v>
          </cell>
          <cell r="Y77">
            <v>7758.8897928816323</v>
          </cell>
          <cell r="Z77">
            <v>7795.4814655043338</v>
          </cell>
          <cell r="AA77">
            <v>7866.7381442093429</v>
          </cell>
          <cell r="AB77">
            <v>7933.2655473618124</v>
          </cell>
          <cell r="AF77">
            <v>0</v>
          </cell>
          <cell r="AG77">
            <v>0</v>
          </cell>
          <cell r="AH77">
            <v>0</v>
          </cell>
          <cell r="AI77">
            <v>0</v>
          </cell>
          <cell r="AJ77">
            <v>0</v>
          </cell>
          <cell r="BZ77">
            <v>1</v>
          </cell>
        </row>
        <row r="78">
          <cell r="C78" t="str">
            <v>SWER condition/risk based replacement (Codified Areas)</v>
          </cell>
          <cell r="X78">
            <v>619.9491487273616</v>
          </cell>
          <cell r="Y78">
            <v>620.71118343053047</v>
          </cell>
          <cell r="Z78">
            <v>623.6385172403468</v>
          </cell>
          <cell r="AA78">
            <v>629.33905153674743</v>
          </cell>
          <cell r="AB78">
            <v>634.66124378894517</v>
          </cell>
          <cell r="AF78">
            <v>0</v>
          </cell>
          <cell r="AG78">
            <v>0</v>
          </cell>
          <cell r="AH78">
            <v>0</v>
          </cell>
          <cell r="AI78">
            <v>0</v>
          </cell>
          <cell r="AJ78">
            <v>0</v>
          </cell>
          <cell r="BZ78">
            <v>1</v>
          </cell>
        </row>
        <row r="79">
          <cell r="C79" t="str">
            <v>Bare conductor condition/risk based replacement (Codified Areas)</v>
          </cell>
          <cell r="X79">
            <v>1728.7920195209699</v>
          </cell>
          <cell r="Y79">
            <v>1730.9170317355051</v>
          </cell>
          <cell r="Z79">
            <v>1739.0802034073638</v>
          </cell>
          <cell r="AA79">
            <v>1754.9767301125842</v>
          </cell>
          <cell r="AB79">
            <v>1769.8182110805692</v>
          </cell>
          <cell r="AF79">
            <v>0</v>
          </cell>
          <cell r="AG79">
            <v>0</v>
          </cell>
          <cell r="AH79">
            <v>0</v>
          </cell>
          <cell r="AI79">
            <v>0</v>
          </cell>
          <cell r="AJ79">
            <v>0</v>
          </cell>
          <cell r="BZ79">
            <v>1</v>
          </cell>
        </row>
        <row r="80">
          <cell r="C80" t="str">
            <v>Early fault detection/broken conductor detection (High consequence areas)</v>
          </cell>
          <cell r="X80">
            <v>4387.1573022000903</v>
          </cell>
          <cell r="Y80">
            <v>5861.7858773485641</v>
          </cell>
          <cell r="Z80">
            <v>3154.0826594487303</v>
          </cell>
          <cell r="AA80">
            <v>578.20244280643556</v>
          </cell>
          <cell r="AB80">
            <v>469.7548524581361</v>
          </cell>
          <cell r="AF80">
            <v>0</v>
          </cell>
          <cell r="AG80">
            <v>0</v>
          </cell>
          <cell r="AH80">
            <v>0</v>
          </cell>
          <cell r="AI80">
            <v>0</v>
          </cell>
          <cell r="AJ80">
            <v>0</v>
          </cell>
          <cell r="BZ80">
            <v>1</v>
          </cell>
        </row>
        <row r="81">
          <cell r="C81" t="str">
            <v>AMI Mesh Access Point and Relay device new installs (New conns network growth and augmentation - additional pole top Mesh infrastructure cost)</v>
          </cell>
          <cell r="X81">
            <v>1467.7666567207248</v>
          </cell>
          <cell r="Y81">
            <v>1205.6728761752775</v>
          </cell>
          <cell r="Z81">
            <v>112.43303011040183</v>
          </cell>
          <cell r="AA81">
            <v>113.46075422697623</v>
          </cell>
          <cell r="AB81">
            <v>59.593885217081862</v>
          </cell>
          <cell r="AF81">
            <v>0</v>
          </cell>
          <cell r="AG81">
            <v>0</v>
          </cell>
          <cell r="AH81">
            <v>0</v>
          </cell>
          <cell r="AI81">
            <v>0</v>
          </cell>
          <cell r="AJ81">
            <v>0</v>
          </cell>
          <cell r="BZ81">
            <v>1</v>
          </cell>
        </row>
        <row r="82">
          <cell r="C82" t="str">
            <v>AMI Mesh Access Point and Relay device replacements fault replacement</v>
          </cell>
          <cell r="X82">
            <v>733.1003775537705</v>
          </cell>
          <cell r="Y82">
            <v>749.8830974477188</v>
          </cell>
          <cell r="Z82">
            <v>751.99272242690631</v>
          </cell>
          <cell r="AA82">
            <v>784.20182256432281</v>
          </cell>
          <cell r="AB82">
            <v>816.21643090843281</v>
          </cell>
          <cell r="AF82">
            <v>0</v>
          </cell>
          <cell r="AG82">
            <v>0</v>
          </cell>
          <cell r="AH82">
            <v>0</v>
          </cell>
          <cell r="AI82">
            <v>0</v>
          </cell>
          <cell r="AJ82">
            <v>0</v>
          </cell>
          <cell r="BZ82">
            <v>1</v>
          </cell>
        </row>
        <row r="83">
          <cell r="C83" t="str">
            <v>Metering (BAU Meters + BAU Replacements (1021 + 1022)</v>
          </cell>
          <cell r="X83">
            <v>995.37031680304574</v>
          </cell>
          <cell r="Y83">
            <v>1048.8432234612269</v>
          </cell>
          <cell r="Z83">
            <v>1116.1404092071507</v>
          </cell>
          <cell r="AA83">
            <v>1198.1940475570209</v>
          </cell>
          <cell r="AB83">
            <v>1277.6278734051473</v>
          </cell>
          <cell r="AF83">
            <v>0</v>
          </cell>
          <cell r="AG83">
            <v>0</v>
          </cell>
          <cell r="AH83">
            <v>0</v>
          </cell>
          <cell r="AI83">
            <v>0</v>
          </cell>
          <cell r="AJ83">
            <v>0</v>
          </cell>
          <cell r="BZ83">
            <v>1</v>
          </cell>
        </row>
        <row r="84">
          <cell r="C84" t="str">
            <v>AMI Meter lifecylle asset upgrade (meter end of life)</v>
          </cell>
          <cell r="X84">
            <v>49.208488052588017</v>
          </cell>
          <cell r="Y84">
            <v>49.680782198175919</v>
          </cell>
          <cell r="Z84">
            <v>2161.6890856640084</v>
          </cell>
          <cell r="AA84">
            <v>4376.3507301384352</v>
          </cell>
          <cell r="AB84">
            <v>4733.0488016714526</v>
          </cell>
          <cell r="AF84">
            <v>0</v>
          </cell>
          <cell r="AG84">
            <v>0</v>
          </cell>
          <cell r="AH84">
            <v>0</v>
          </cell>
          <cell r="AI84">
            <v>0</v>
          </cell>
          <cell r="AJ84">
            <v>0</v>
          </cell>
          <cell r="BZ84">
            <v>1</v>
          </cell>
        </row>
        <row r="85">
          <cell r="C85" t="str">
            <v>AMI mesh Pole top metering – Voltage regulation monitoring AS3000 POEL voltage variation monitor</v>
          </cell>
          <cell r="X85">
            <v>256.75078515907734</v>
          </cell>
          <cell r="Y85">
            <v>299.24733884176874</v>
          </cell>
          <cell r="Z85">
            <v>303.60141585872617</v>
          </cell>
          <cell r="AA85">
            <v>0</v>
          </cell>
          <cell r="AB85">
            <v>0</v>
          </cell>
          <cell r="AF85">
            <v>0</v>
          </cell>
          <cell r="AG85">
            <v>0</v>
          </cell>
          <cell r="AH85">
            <v>0</v>
          </cell>
          <cell r="AI85">
            <v>0</v>
          </cell>
          <cell r="AJ85">
            <v>0</v>
          </cell>
          <cell r="BZ85">
            <v>1</v>
          </cell>
        </row>
        <row r="86">
          <cell r="C86" t="str">
            <v xml:space="preserve">REFCL Driven Augmentation </v>
          </cell>
          <cell r="X86">
            <v>0</v>
          </cell>
          <cell r="Y86">
            <v>0</v>
          </cell>
          <cell r="Z86">
            <v>14162.973390486044</v>
          </cell>
          <cell r="AA86">
            <v>28619.275841123374</v>
          </cell>
          <cell r="AB86">
            <v>33704.910663871269</v>
          </cell>
          <cell r="AF86">
            <v>0</v>
          </cell>
          <cell r="AG86">
            <v>0</v>
          </cell>
          <cell r="AH86">
            <v>0</v>
          </cell>
          <cell r="AI86">
            <v>0</v>
          </cell>
          <cell r="AJ86">
            <v>0</v>
          </cell>
          <cell r="BZ86">
            <v>1</v>
          </cell>
        </row>
        <row r="87">
          <cell r="C87" t="str">
            <v xml:space="preserve">Steady-State Voltage Compliance Program </v>
          </cell>
          <cell r="X87">
            <v>6283.6888442970048</v>
          </cell>
          <cell r="Y87">
            <v>4007.0801895937452</v>
          </cell>
          <cell r="Z87">
            <v>6102.7446316728492</v>
          </cell>
          <cell r="AA87">
            <v>3257.4785510221723</v>
          </cell>
          <cell r="AB87">
            <v>7275.3282774453837</v>
          </cell>
          <cell r="AF87">
            <v>0</v>
          </cell>
          <cell r="AG87">
            <v>0</v>
          </cell>
          <cell r="AH87">
            <v>0</v>
          </cell>
          <cell r="AI87">
            <v>0</v>
          </cell>
          <cell r="AJ87">
            <v>0</v>
          </cell>
          <cell r="BZ87">
            <v>1</v>
          </cell>
        </row>
        <row r="88">
          <cell r="C88" t="str">
            <v>Supply improvement</v>
          </cell>
          <cell r="X88">
            <v>1803.9899427536311</v>
          </cell>
          <cell r="Y88">
            <v>1815.7797659130515</v>
          </cell>
          <cell r="Z88">
            <v>1684.587810591958</v>
          </cell>
          <cell r="AA88">
            <v>1546.1389265387384</v>
          </cell>
          <cell r="AB88">
            <v>1506.7386892594718</v>
          </cell>
          <cell r="AF88">
            <v>0</v>
          </cell>
          <cell r="AG88">
            <v>0</v>
          </cell>
          <cell r="AH88">
            <v>0</v>
          </cell>
          <cell r="AI88">
            <v>0</v>
          </cell>
          <cell r="AJ88">
            <v>0</v>
          </cell>
          <cell r="BZ88">
            <v>1</v>
          </cell>
        </row>
        <row r="89">
          <cell r="C89" t="str">
            <v>Reliability Improvements Projects (10 worst feeders)</v>
          </cell>
          <cell r="X89">
            <v>19156.498390012013</v>
          </cell>
          <cell r="Y89">
            <v>4505.5810584534393</v>
          </cell>
          <cell r="Z89">
            <v>0</v>
          </cell>
          <cell r="AA89">
            <v>0</v>
          </cell>
          <cell r="AB89">
            <v>0</v>
          </cell>
          <cell r="AF89">
            <v>0</v>
          </cell>
          <cell r="AG89">
            <v>0</v>
          </cell>
          <cell r="AH89">
            <v>0</v>
          </cell>
          <cell r="AI89">
            <v>0</v>
          </cell>
          <cell r="AJ89">
            <v>0</v>
          </cell>
          <cell r="BZ89">
            <v>1</v>
          </cell>
        </row>
        <row r="90">
          <cell r="C90" t="str">
            <v xml:space="preserve"> FY27-31 Summer / Winter Network Readiness Program - LV Network Capacity (overloads)</v>
          </cell>
          <cell r="X90">
            <v>1188.1884360125248</v>
          </cell>
          <cell r="Y90">
            <v>1190.6752563364273</v>
          </cell>
          <cell r="Z90">
            <v>1197.5197013093893</v>
          </cell>
          <cell r="AA90">
            <v>1209.9206046653783</v>
          </cell>
          <cell r="AB90">
            <v>1221.362616391154</v>
          </cell>
          <cell r="AF90">
            <v>0</v>
          </cell>
          <cell r="AG90">
            <v>0</v>
          </cell>
          <cell r="AH90">
            <v>0</v>
          </cell>
          <cell r="AI90">
            <v>0</v>
          </cell>
          <cell r="AJ90">
            <v>0</v>
          </cell>
          <cell r="BZ90">
            <v>1</v>
          </cell>
        </row>
        <row r="91">
          <cell r="C91" t="str">
            <v xml:space="preserve">Regional Reliability Allowance </v>
          </cell>
          <cell r="X91">
            <v>5712.4444039063674</v>
          </cell>
          <cell r="Y91">
            <v>5724.4002708482067</v>
          </cell>
          <cell r="Z91">
            <v>17271.918768885422</v>
          </cell>
          <cell r="AA91">
            <v>29957.16881743605</v>
          </cell>
          <cell r="AB91">
            <v>30240.468626992515</v>
          </cell>
          <cell r="AF91">
            <v>0</v>
          </cell>
          <cell r="AG91">
            <v>0</v>
          </cell>
          <cell r="AH91">
            <v>0</v>
          </cell>
          <cell r="AI91">
            <v>0</v>
          </cell>
          <cell r="AJ91">
            <v>0</v>
          </cell>
          <cell r="BZ91">
            <v>1</v>
          </cell>
        </row>
        <row r="92">
          <cell r="C92" t="str">
            <v>Reliability Improvement at Euroa - BN11 Expressfeeder</v>
          </cell>
          <cell r="X92">
            <v>14871.068275534875</v>
          </cell>
          <cell r="Y92">
            <v>9934.7951297417221</v>
          </cell>
          <cell r="Z92">
            <v>0</v>
          </cell>
          <cell r="AA92">
            <v>0</v>
          </cell>
          <cell r="AB92">
            <v>0</v>
          </cell>
          <cell r="AF92">
            <v>0</v>
          </cell>
          <cell r="AG92">
            <v>0</v>
          </cell>
          <cell r="AH92">
            <v>0</v>
          </cell>
          <cell r="AI92">
            <v>0</v>
          </cell>
          <cell r="AJ92">
            <v>0</v>
          </cell>
          <cell r="BZ92">
            <v>1</v>
          </cell>
        </row>
        <row r="93">
          <cell r="C93" t="str">
            <v>System security - Implement UFLS</v>
          </cell>
          <cell r="X93">
            <v>0</v>
          </cell>
          <cell r="Y93">
            <v>0</v>
          </cell>
          <cell r="Z93">
            <v>4091.4999008088821</v>
          </cell>
          <cell r="AA93">
            <v>8267.4160094496765</v>
          </cell>
          <cell r="AB93">
            <v>8345.5995452595744</v>
          </cell>
          <cell r="AF93">
            <v>0</v>
          </cell>
          <cell r="AG93">
            <v>0</v>
          </cell>
          <cell r="AH93">
            <v>0</v>
          </cell>
          <cell r="AI93">
            <v>0</v>
          </cell>
          <cell r="AJ93">
            <v>0</v>
          </cell>
          <cell r="BZ93">
            <v>1</v>
          </cell>
        </row>
        <row r="94">
          <cell r="C94" t="str">
            <v>MWTS East 66kV Loop - Stage 1: MWTS-TGN Lines Upgrade</v>
          </cell>
          <cell r="X94">
            <v>1718.3032766950355</v>
          </cell>
          <cell r="Y94">
            <v>0</v>
          </cell>
          <cell r="Z94">
            <v>0</v>
          </cell>
          <cell r="AA94">
            <v>0</v>
          </cell>
          <cell r="AB94">
            <v>0</v>
          </cell>
          <cell r="AF94">
            <v>0</v>
          </cell>
          <cell r="AG94">
            <v>0</v>
          </cell>
          <cell r="AH94">
            <v>0</v>
          </cell>
          <cell r="AI94">
            <v>0</v>
          </cell>
          <cell r="AJ94">
            <v>0</v>
          </cell>
          <cell r="BZ94">
            <v>1</v>
          </cell>
        </row>
        <row r="95">
          <cell r="C95" t="str">
            <v>MWTS East 66kV Loop - Stage 2: MWTS-SLE-MFA Lines Upgrade</v>
          </cell>
          <cell r="X95">
            <v>187.36817644812888</v>
          </cell>
          <cell r="Y95">
            <v>1934.8472915466941</v>
          </cell>
          <cell r="Z95">
            <v>5847.1202338933454</v>
          </cell>
          <cell r="AA95">
            <v>3586.7165617147703</v>
          </cell>
          <cell r="AB95">
            <v>3587.7526856490149</v>
          </cell>
          <cell r="AF95">
            <v>0</v>
          </cell>
          <cell r="AG95">
            <v>0</v>
          </cell>
          <cell r="AH95">
            <v>0</v>
          </cell>
          <cell r="AI95">
            <v>0</v>
          </cell>
          <cell r="AJ95">
            <v>0</v>
          </cell>
          <cell r="BZ95">
            <v>1</v>
          </cell>
        </row>
        <row r="96">
          <cell r="C96" t="str">
            <v>WOTS 66kV Loop: Build new WO-BWA 2nd 66kV Line</v>
          </cell>
          <cell r="X96">
            <v>8719.4751381226797</v>
          </cell>
          <cell r="Y96">
            <v>26367.732527581014</v>
          </cell>
          <cell r="Z96">
            <v>0</v>
          </cell>
          <cell r="AA96">
            <v>0</v>
          </cell>
          <cell r="AB96">
            <v>0</v>
          </cell>
          <cell r="AF96">
            <v>0</v>
          </cell>
          <cell r="AG96">
            <v>0</v>
          </cell>
          <cell r="AH96">
            <v>0</v>
          </cell>
          <cell r="AI96">
            <v>0</v>
          </cell>
          <cell r="AJ96">
            <v>0</v>
          </cell>
          <cell r="BZ96">
            <v>1</v>
          </cell>
        </row>
        <row r="97">
          <cell r="C97" t="str">
            <v>MWTS South 66kV Loop: MWTS-LGA Lines Upgrade</v>
          </cell>
          <cell r="X97">
            <v>9556.9194877353548</v>
          </cell>
          <cell r="Y97">
            <v>22692.667553696465</v>
          </cell>
          <cell r="Z97">
            <v>23841.00520731818</v>
          </cell>
          <cell r="AA97">
            <v>30111.899048609605</v>
          </cell>
          <cell r="AB97">
            <v>42277.936721232254</v>
          </cell>
          <cell r="AF97">
            <v>0</v>
          </cell>
          <cell r="AG97">
            <v>0</v>
          </cell>
          <cell r="AH97">
            <v>0</v>
          </cell>
          <cell r="AI97">
            <v>0</v>
          </cell>
          <cell r="AJ97">
            <v>0</v>
          </cell>
          <cell r="BZ97">
            <v>1</v>
          </cell>
        </row>
        <row r="98">
          <cell r="C98" t="str">
            <v>Augment Eastern Cranbourne 66kV Loop</v>
          </cell>
          <cell r="X98">
            <v>1439.5359897844048</v>
          </cell>
          <cell r="Y98">
            <v>12891.349409950162</v>
          </cell>
          <cell r="Z98">
            <v>24480.066201766938</v>
          </cell>
          <cell r="AA98">
            <v>0</v>
          </cell>
          <cell r="AB98">
            <v>0</v>
          </cell>
          <cell r="AF98">
            <v>0</v>
          </cell>
          <cell r="AG98">
            <v>0</v>
          </cell>
          <cell r="AH98">
            <v>0</v>
          </cell>
          <cell r="AI98">
            <v>0</v>
          </cell>
          <cell r="AJ98">
            <v>0</v>
          </cell>
          <cell r="BZ98">
            <v>1</v>
          </cell>
        </row>
        <row r="99">
          <cell r="C99" t="str">
            <v>Augment East Gippsland 66kV Loop</v>
          </cell>
          <cell r="X99">
            <v>0</v>
          </cell>
          <cell r="Y99">
            <v>0</v>
          </cell>
          <cell r="Z99">
            <v>15228.075047900647</v>
          </cell>
          <cell r="AA99">
            <v>15385.769227595798</v>
          </cell>
          <cell r="AB99">
            <v>0</v>
          </cell>
          <cell r="AF99">
            <v>0</v>
          </cell>
          <cell r="AG99">
            <v>0</v>
          </cell>
          <cell r="AH99">
            <v>0</v>
          </cell>
          <cell r="AI99">
            <v>0</v>
          </cell>
          <cell r="AJ99">
            <v>0</v>
          </cell>
          <cell r="BZ99">
            <v>1</v>
          </cell>
        </row>
        <row r="100">
          <cell r="C100" t="str">
            <v>New Wollert ZSS</v>
          </cell>
          <cell r="X100">
            <v>28278.190606638873</v>
          </cell>
          <cell r="Y100">
            <v>17915.778710970604</v>
          </cell>
          <cell r="Z100">
            <v>0</v>
          </cell>
          <cell r="AA100">
            <v>0</v>
          </cell>
          <cell r="AB100">
            <v>0</v>
          </cell>
          <cell r="AF100">
            <v>0</v>
          </cell>
          <cell r="AG100">
            <v>0</v>
          </cell>
          <cell r="AH100">
            <v>0</v>
          </cell>
          <cell r="AI100">
            <v>0</v>
          </cell>
          <cell r="AJ100">
            <v>0</v>
          </cell>
          <cell r="BZ100">
            <v>1</v>
          </cell>
        </row>
        <row r="101">
          <cell r="C101" t="str">
            <v>New Pakenham South ZSS</v>
          </cell>
          <cell r="X101">
            <v>1688.7260538243377</v>
          </cell>
          <cell r="Y101">
            <v>18735.740972312633</v>
          </cell>
          <cell r="Z101">
            <v>36106.464351711213</v>
          </cell>
          <cell r="AA101">
            <v>0</v>
          </cell>
          <cell r="AB101">
            <v>0</v>
          </cell>
          <cell r="AF101">
            <v>0</v>
          </cell>
          <cell r="AG101">
            <v>0</v>
          </cell>
          <cell r="AH101">
            <v>0</v>
          </cell>
          <cell r="AI101">
            <v>0</v>
          </cell>
          <cell r="AJ101">
            <v>0</v>
          </cell>
          <cell r="BZ101">
            <v>1</v>
          </cell>
        </row>
        <row r="102">
          <cell r="C102" t="str">
            <v>WGI new Tx</v>
          </cell>
          <cell r="X102">
            <v>0</v>
          </cell>
          <cell r="Y102">
            <v>0</v>
          </cell>
          <cell r="Z102">
            <v>4145.2605045325017</v>
          </cell>
          <cell r="AA102">
            <v>4188.1867084570786</v>
          </cell>
          <cell r="AB102">
            <v>4227.7936721232254</v>
          </cell>
          <cell r="AF102">
            <v>0</v>
          </cell>
          <cell r="AG102">
            <v>0</v>
          </cell>
          <cell r="AH102">
            <v>0</v>
          </cell>
          <cell r="AI102">
            <v>0</v>
          </cell>
          <cell r="AJ102">
            <v>0</v>
          </cell>
          <cell r="BZ102">
            <v>1</v>
          </cell>
        </row>
        <row r="103">
          <cell r="C103" t="str">
            <v>Install a new 22kV distribution feeder (WOTS21)</v>
          </cell>
          <cell r="X103">
            <v>0</v>
          </cell>
          <cell r="Y103">
            <v>0</v>
          </cell>
          <cell r="Z103">
            <v>0</v>
          </cell>
          <cell r="AA103">
            <v>2182.5106291848556</v>
          </cell>
          <cell r="AB103">
            <v>5139.1180858920097</v>
          </cell>
          <cell r="AF103">
            <v>0</v>
          </cell>
          <cell r="AG103">
            <v>0</v>
          </cell>
          <cell r="AH103">
            <v>0</v>
          </cell>
          <cell r="AI103">
            <v>0</v>
          </cell>
          <cell r="AJ103">
            <v>0</v>
          </cell>
          <cell r="BZ103">
            <v>1</v>
          </cell>
        </row>
        <row r="104">
          <cell r="C104" t="str">
            <v>Install a new 22kV distribution feeders (SMR11)</v>
          </cell>
          <cell r="X104">
            <v>0</v>
          </cell>
          <cell r="Y104">
            <v>0</v>
          </cell>
          <cell r="Z104">
            <v>0</v>
          </cell>
          <cell r="AA104">
            <v>4270.0773924593832</v>
          </cell>
          <cell r="AB104">
            <v>10057.737941588694</v>
          </cell>
          <cell r="AF104">
            <v>0</v>
          </cell>
          <cell r="AG104">
            <v>0</v>
          </cell>
          <cell r="AH104">
            <v>0</v>
          </cell>
          <cell r="AI104">
            <v>0</v>
          </cell>
          <cell r="AJ104">
            <v>0</v>
          </cell>
          <cell r="BZ104">
            <v>1</v>
          </cell>
        </row>
        <row r="105">
          <cell r="C105" t="str">
            <v>Install a new 22kV distribution feeder (WGL31)</v>
          </cell>
          <cell r="X105">
            <v>0</v>
          </cell>
          <cell r="Y105">
            <v>0</v>
          </cell>
          <cell r="Z105">
            <v>0</v>
          </cell>
          <cell r="AA105">
            <v>5690.1169975176599</v>
          </cell>
          <cell r="AB105">
            <v>13402.105940630623</v>
          </cell>
          <cell r="AF105">
            <v>0</v>
          </cell>
          <cell r="AG105">
            <v>0</v>
          </cell>
          <cell r="AH105">
            <v>0</v>
          </cell>
          <cell r="AI105">
            <v>0</v>
          </cell>
          <cell r="AJ105">
            <v>0</v>
          </cell>
          <cell r="BZ105">
            <v>1</v>
          </cell>
        </row>
        <row r="106">
          <cell r="C106" t="str">
            <v>LV Augex (Electrification &amp; Flexible Services)</v>
          </cell>
          <cell r="X106">
            <v>21508.8757243974</v>
          </cell>
          <cell r="Y106">
            <v>23507.152533560638</v>
          </cell>
          <cell r="Z106">
            <v>22151.942236551986</v>
          </cell>
          <cell r="AA106">
            <v>28981.160281007575</v>
          </cell>
          <cell r="AB106">
            <v>42313.258938074796</v>
          </cell>
          <cell r="AF106">
            <v>0</v>
          </cell>
          <cell r="AG106">
            <v>0</v>
          </cell>
          <cell r="AH106">
            <v>0</v>
          </cell>
          <cell r="AI106">
            <v>0</v>
          </cell>
          <cell r="AJ106">
            <v>0</v>
          </cell>
          <cell r="BZ106">
            <v>1</v>
          </cell>
        </row>
        <row r="107">
          <cell r="C107" t="str">
            <v>CER Enablement</v>
          </cell>
          <cell r="X107">
            <v>9482.6577104845692</v>
          </cell>
          <cell r="Y107">
            <v>7327.232346685706</v>
          </cell>
          <cell r="Z107">
            <v>0</v>
          </cell>
          <cell r="AA107">
            <v>23574.255935227786</v>
          </cell>
          <cell r="AB107">
            <v>0</v>
          </cell>
          <cell r="AF107">
            <v>0</v>
          </cell>
          <cell r="AG107">
            <v>0</v>
          </cell>
          <cell r="AH107">
            <v>0</v>
          </cell>
          <cell r="AI107">
            <v>0</v>
          </cell>
          <cell r="AJ107">
            <v>0</v>
          </cell>
          <cell r="BZ107">
            <v>1</v>
          </cell>
        </row>
        <row r="108">
          <cell r="C108" t="str">
            <v>Pole Replacements - high bushfire risk, high storm risk, high sea level rise storm event risk</v>
          </cell>
          <cell r="X108">
            <v>6609.7519533431951</v>
          </cell>
          <cell r="Y108">
            <v>17320.580449403406</v>
          </cell>
          <cell r="Z108">
            <v>20635.097996923236</v>
          </cell>
          <cell r="AA108">
            <v>23854.726549058334</v>
          </cell>
          <cell r="AB108">
            <v>6953.2739209230003</v>
          </cell>
          <cell r="AF108">
            <v>0</v>
          </cell>
          <cell r="AG108">
            <v>0</v>
          </cell>
          <cell r="AH108">
            <v>0</v>
          </cell>
          <cell r="AI108">
            <v>0</v>
          </cell>
          <cell r="AJ108">
            <v>0</v>
          </cell>
          <cell r="BZ108">
            <v>1</v>
          </cell>
        </row>
        <row r="109">
          <cell r="C109" t="str">
            <v>Overhead cable replacement - Covered Conductor</v>
          </cell>
          <cell r="X109">
            <v>1030.6504927477158</v>
          </cell>
          <cell r="Y109">
            <v>5394.3475521274322</v>
          </cell>
          <cell r="Z109">
            <v>5314.1473885222222</v>
          </cell>
          <cell r="AA109">
            <v>4071.4898668423425</v>
          </cell>
          <cell r="AB109">
            <v>18340.826123225692</v>
          </cell>
          <cell r="AF109">
            <v>0</v>
          </cell>
          <cell r="AG109">
            <v>0</v>
          </cell>
          <cell r="AH109">
            <v>0</v>
          </cell>
          <cell r="AI109">
            <v>0</v>
          </cell>
          <cell r="AJ109">
            <v>0</v>
          </cell>
          <cell r="BZ109">
            <v>1</v>
          </cell>
        </row>
        <row r="110">
          <cell r="C110" t="str">
            <v>Overhead cable replacement - Underground cable</v>
          </cell>
          <cell r="X110">
            <v>2678.4230517111932</v>
          </cell>
          <cell r="Y110">
            <v>17689.725543725901</v>
          </cell>
          <cell r="Z110">
            <v>41558.664411694583</v>
          </cell>
          <cell r="AA110">
            <v>23736.161017471641</v>
          </cell>
          <cell r="AB110">
            <v>21948.154293264157</v>
          </cell>
          <cell r="AF110">
            <v>0</v>
          </cell>
          <cell r="AG110">
            <v>0</v>
          </cell>
          <cell r="AH110">
            <v>0</v>
          </cell>
          <cell r="AI110">
            <v>0</v>
          </cell>
          <cell r="AJ110">
            <v>0</v>
          </cell>
          <cell r="BZ110">
            <v>1</v>
          </cell>
        </row>
        <row r="111">
          <cell r="C111" t="str">
            <v>Additional Auto Circuit Reclosers</v>
          </cell>
          <cell r="X111">
            <v>4176.436032503786</v>
          </cell>
          <cell r="Y111">
            <v>4306.5343947386218</v>
          </cell>
          <cell r="Z111">
            <v>4331.2899588877008</v>
          </cell>
          <cell r="AA111">
            <v>4376.1425889765442</v>
          </cell>
          <cell r="AB111">
            <v>4417.5270191810232</v>
          </cell>
          <cell r="AF111">
            <v>0</v>
          </cell>
          <cell r="AG111">
            <v>0</v>
          </cell>
          <cell r="AH111">
            <v>0</v>
          </cell>
          <cell r="AI111">
            <v>0</v>
          </cell>
          <cell r="AJ111">
            <v>0</v>
          </cell>
          <cell r="BZ111">
            <v>1</v>
          </cell>
        </row>
        <row r="112">
          <cell r="C112" t="str">
            <v>SAPS - Binginwarri- FTR12</v>
          </cell>
          <cell r="X112">
            <v>3683.5178228378782</v>
          </cell>
          <cell r="Y112">
            <v>0</v>
          </cell>
          <cell r="Z112">
            <v>0</v>
          </cell>
          <cell r="AA112">
            <v>0</v>
          </cell>
          <cell r="AB112">
            <v>0</v>
          </cell>
          <cell r="AF112">
            <v>0</v>
          </cell>
          <cell r="AG112">
            <v>0</v>
          </cell>
          <cell r="AH112">
            <v>0</v>
          </cell>
          <cell r="AI112">
            <v>0</v>
          </cell>
          <cell r="AJ112">
            <v>0</v>
          </cell>
          <cell r="BZ112">
            <v>1</v>
          </cell>
        </row>
        <row r="113">
          <cell r="C113" t="str">
            <v>SAPS - Jack River - FTR12</v>
          </cell>
          <cell r="X113">
            <v>0</v>
          </cell>
          <cell r="Y113">
            <v>2839.4055735455863</v>
          </cell>
          <cell r="Z113">
            <v>0</v>
          </cell>
          <cell r="AA113">
            <v>0</v>
          </cell>
          <cell r="AB113">
            <v>0</v>
          </cell>
          <cell r="AF113">
            <v>0</v>
          </cell>
          <cell r="AG113">
            <v>0</v>
          </cell>
          <cell r="AH113">
            <v>0</v>
          </cell>
          <cell r="AI113">
            <v>0</v>
          </cell>
          <cell r="AJ113">
            <v>0</v>
          </cell>
          <cell r="BZ113">
            <v>1</v>
          </cell>
        </row>
        <row r="114">
          <cell r="C114" t="str">
            <v>SAPS - The Gurdies - LLG13</v>
          </cell>
          <cell r="X114">
            <v>0</v>
          </cell>
          <cell r="Y114">
            <v>0</v>
          </cell>
          <cell r="Z114">
            <v>285.57275346350036</v>
          </cell>
          <cell r="AA114">
            <v>0</v>
          </cell>
          <cell r="AB114">
            <v>0</v>
          </cell>
          <cell r="AF114">
            <v>0</v>
          </cell>
          <cell r="AG114">
            <v>0</v>
          </cell>
          <cell r="AH114">
            <v>0</v>
          </cell>
          <cell r="AI114">
            <v>0</v>
          </cell>
          <cell r="AJ114">
            <v>0</v>
          </cell>
          <cell r="BZ114">
            <v>1</v>
          </cell>
        </row>
        <row r="115">
          <cell r="C115" t="str">
            <v>SAPS - Hilldene - SMR23</v>
          </cell>
          <cell r="X115">
            <v>0</v>
          </cell>
          <cell r="Y115">
            <v>0</v>
          </cell>
          <cell r="Z115">
            <v>285.57275346350036</v>
          </cell>
          <cell r="AA115">
            <v>0</v>
          </cell>
          <cell r="AB115">
            <v>0</v>
          </cell>
          <cell r="AF115">
            <v>0</v>
          </cell>
          <cell r="AG115">
            <v>0</v>
          </cell>
          <cell r="AH115">
            <v>0</v>
          </cell>
          <cell r="AI115">
            <v>0</v>
          </cell>
          <cell r="AJ115">
            <v>0</v>
          </cell>
          <cell r="BZ115">
            <v>1</v>
          </cell>
        </row>
        <row r="116">
          <cell r="C116" t="str">
            <v>Community Resilience Hubs - BDL33 - Bairnsdale</v>
          </cell>
          <cell r="X116">
            <v>342.74666423438208</v>
          </cell>
          <cell r="Y116">
            <v>0</v>
          </cell>
          <cell r="Z116">
            <v>0</v>
          </cell>
          <cell r="AA116">
            <v>0</v>
          </cell>
          <cell r="AB116">
            <v>0</v>
          </cell>
          <cell r="AF116">
            <v>0</v>
          </cell>
          <cell r="AG116">
            <v>0</v>
          </cell>
          <cell r="AH116">
            <v>0</v>
          </cell>
          <cell r="AI116">
            <v>0</v>
          </cell>
          <cell r="AJ116">
            <v>0</v>
          </cell>
          <cell r="BZ116">
            <v>1</v>
          </cell>
        </row>
        <row r="117">
          <cell r="C117" t="str">
            <v>Community Resilience Hubs - BGE13 - Belgrave</v>
          </cell>
          <cell r="X117">
            <v>342.74666423438208</v>
          </cell>
          <cell r="Y117">
            <v>0</v>
          </cell>
          <cell r="Z117">
            <v>0</v>
          </cell>
          <cell r="AA117">
            <v>0</v>
          </cell>
          <cell r="AB117">
            <v>0</v>
          </cell>
          <cell r="AF117">
            <v>0</v>
          </cell>
          <cell r="AG117">
            <v>0</v>
          </cell>
          <cell r="AH117">
            <v>0</v>
          </cell>
          <cell r="AI117">
            <v>0</v>
          </cell>
          <cell r="AJ117">
            <v>0</v>
          </cell>
          <cell r="BZ117">
            <v>1</v>
          </cell>
        </row>
        <row r="118">
          <cell r="C118" t="str">
            <v>Community Resilience Hubs - MWL25 - Churchill</v>
          </cell>
          <cell r="X118">
            <v>342.74666423438208</v>
          </cell>
          <cell r="Y118">
            <v>0</v>
          </cell>
          <cell r="Z118">
            <v>0</v>
          </cell>
          <cell r="AA118">
            <v>0</v>
          </cell>
          <cell r="AB118">
            <v>0</v>
          </cell>
          <cell r="AF118">
            <v>0</v>
          </cell>
          <cell r="AG118">
            <v>0</v>
          </cell>
          <cell r="AH118">
            <v>0</v>
          </cell>
          <cell r="AI118">
            <v>0</v>
          </cell>
          <cell r="AJ118">
            <v>0</v>
          </cell>
          <cell r="BZ118">
            <v>1</v>
          </cell>
        </row>
        <row r="119">
          <cell r="C119" t="str">
            <v>Community Resilience Hubs - PHI13 - Cowes</v>
          </cell>
          <cell r="X119">
            <v>342.74666423438208</v>
          </cell>
          <cell r="Y119">
            <v>0</v>
          </cell>
          <cell r="Z119">
            <v>0</v>
          </cell>
          <cell r="AA119">
            <v>0</v>
          </cell>
          <cell r="AB119">
            <v>0</v>
          </cell>
          <cell r="AF119">
            <v>0</v>
          </cell>
          <cell r="AG119">
            <v>0</v>
          </cell>
          <cell r="AH119">
            <v>0</v>
          </cell>
          <cell r="AI119">
            <v>0</v>
          </cell>
          <cell r="AJ119">
            <v>0</v>
          </cell>
          <cell r="BZ119">
            <v>1</v>
          </cell>
        </row>
        <row r="120">
          <cell r="C120" t="str">
            <v>Community Resilience Hubs - FTR21 - Foster</v>
          </cell>
          <cell r="X120">
            <v>342.74666423438208</v>
          </cell>
          <cell r="Y120">
            <v>0</v>
          </cell>
          <cell r="Z120">
            <v>0</v>
          </cell>
          <cell r="AA120">
            <v>0</v>
          </cell>
          <cell r="AB120">
            <v>0</v>
          </cell>
          <cell r="AF120">
            <v>0</v>
          </cell>
          <cell r="AG120">
            <v>0</v>
          </cell>
          <cell r="AH120">
            <v>0</v>
          </cell>
          <cell r="AI120">
            <v>0</v>
          </cell>
          <cell r="AJ120">
            <v>0</v>
          </cell>
          <cell r="BZ120">
            <v>1</v>
          </cell>
        </row>
        <row r="121">
          <cell r="C121" t="str">
            <v>Community Resilience Hubs - KMS12 - Kilmore</v>
          </cell>
          <cell r="X121">
            <v>342.74666423438208</v>
          </cell>
          <cell r="Y121">
            <v>0</v>
          </cell>
          <cell r="Z121">
            <v>0</v>
          </cell>
          <cell r="AA121">
            <v>0</v>
          </cell>
          <cell r="AB121">
            <v>0</v>
          </cell>
          <cell r="AF121">
            <v>0</v>
          </cell>
          <cell r="AG121">
            <v>0</v>
          </cell>
          <cell r="AH121">
            <v>0</v>
          </cell>
          <cell r="AI121">
            <v>0</v>
          </cell>
          <cell r="AJ121">
            <v>0</v>
          </cell>
          <cell r="BZ121">
            <v>1</v>
          </cell>
        </row>
        <row r="122">
          <cell r="C122" t="str">
            <v>Community Resilience Hubs - NLA34 - Lakes Entrance</v>
          </cell>
          <cell r="X122">
            <v>0</v>
          </cell>
          <cell r="Y122">
            <v>343.46401625089243</v>
          </cell>
          <cell r="Z122">
            <v>0</v>
          </cell>
          <cell r="AA122">
            <v>0</v>
          </cell>
          <cell r="AB122">
            <v>0</v>
          </cell>
          <cell r="AF122">
            <v>0</v>
          </cell>
          <cell r="AG122">
            <v>0</v>
          </cell>
          <cell r="AH122">
            <v>0</v>
          </cell>
          <cell r="AI122">
            <v>0</v>
          </cell>
          <cell r="AJ122">
            <v>0</v>
          </cell>
          <cell r="BZ122">
            <v>1</v>
          </cell>
        </row>
        <row r="123">
          <cell r="C123" t="str">
            <v>Community Resilience Hubs - SLE31 - Longford</v>
          </cell>
          <cell r="X123">
            <v>0</v>
          </cell>
          <cell r="Y123">
            <v>343.46401625089243</v>
          </cell>
          <cell r="Z123">
            <v>0</v>
          </cell>
          <cell r="AA123">
            <v>0</v>
          </cell>
          <cell r="AB123">
            <v>0</v>
          </cell>
          <cell r="AF123">
            <v>0</v>
          </cell>
          <cell r="AG123">
            <v>0</v>
          </cell>
          <cell r="AH123">
            <v>0</v>
          </cell>
          <cell r="AI123">
            <v>0</v>
          </cell>
          <cell r="AJ123">
            <v>0</v>
          </cell>
          <cell r="BZ123">
            <v>1</v>
          </cell>
        </row>
        <row r="124">
          <cell r="C124" t="str">
            <v>Community Resilience Hubs - MSD1 - Mansfield</v>
          </cell>
          <cell r="X124">
            <v>0</v>
          </cell>
          <cell r="Y124">
            <v>343.46401625089243</v>
          </cell>
          <cell r="Z124">
            <v>0</v>
          </cell>
          <cell r="AA124">
            <v>0</v>
          </cell>
          <cell r="AB124">
            <v>0</v>
          </cell>
          <cell r="AF124">
            <v>0</v>
          </cell>
          <cell r="AG124">
            <v>0</v>
          </cell>
          <cell r="AH124">
            <v>0</v>
          </cell>
          <cell r="AI124">
            <v>0</v>
          </cell>
          <cell r="AJ124">
            <v>0</v>
          </cell>
          <cell r="BZ124">
            <v>1</v>
          </cell>
        </row>
        <row r="125">
          <cell r="C125" t="str">
            <v>Community Resilience Hubs - BDL32 - Metung</v>
          </cell>
          <cell r="X125">
            <v>0</v>
          </cell>
          <cell r="Y125">
            <v>343.46401625089243</v>
          </cell>
          <cell r="Z125">
            <v>0</v>
          </cell>
          <cell r="AA125">
            <v>0</v>
          </cell>
          <cell r="AB125">
            <v>0</v>
          </cell>
          <cell r="AF125">
            <v>0</v>
          </cell>
          <cell r="AG125">
            <v>0</v>
          </cell>
          <cell r="AH125">
            <v>0</v>
          </cell>
          <cell r="AI125">
            <v>0</v>
          </cell>
          <cell r="AJ125">
            <v>0</v>
          </cell>
          <cell r="BZ125">
            <v>1</v>
          </cell>
        </row>
        <row r="126">
          <cell r="C126" t="str">
            <v>Community Resilience Hubs - ELM34 - Montmorency</v>
          </cell>
          <cell r="X126">
            <v>0</v>
          </cell>
          <cell r="Y126">
            <v>343.46401625089243</v>
          </cell>
          <cell r="Z126">
            <v>0</v>
          </cell>
          <cell r="AA126">
            <v>0</v>
          </cell>
          <cell r="AB126">
            <v>0</v>
          </cell>
          <cell r="AF126">
            <v>0</v>
          </cell>
          <cell r="AG126">
            <v>0</v>
          </cell>
          <cell r="AH126">
            <v>0</v>
          </cell>
          <cell r="AI126">
            <v>0</v>
          </cell>
          <cell r="AJ126">
            <v>0</v>
          </cell>
          <cell r="BZ126">
            <v>1</v>
          </cell>
        </row>
        <row r="127">
          <cell r="C127" t="str">
            <v>Community Resilience Hubs - LDL11 - Montrose</v>
          </cell>
          <cell r="X127">
            <v>0</v>
          </cell>
          <cell r="Y127">
            <v>343.46401625089243</v>
          </cell>
          <cell r="Z127">
            <v>0</v>
          </cell>
          <cell r="AA127">
            <v>0</v>
          </cell>
          <cell r="AB127">
            <v>0</v>
          </cell>
          <cell r="AF127">
            <v>0</v>
          </cell>
          <cell r="AG127">
            <v>0</v>
          </cell>
          <cell r="AH127">
            <v>0</v>
          </cell>
          <cell r="AI127">
            <v>0</v>
          </cell>
          <cell r="AJ127">
            <v>0</v>
          </cell>
          <cell r="BZ127">
            <v>1</v>
          </cell>
        </row>
        <row r="128">
          <cell r="C128" t="str">
            <v>Community Resilience Hubs - LDL24 - Mooroolbark</v>
          </cell>
          <cell r="X128">
            <v>0</v>
          </cell>
          <cell r="Y128">
            <v>0</v>
          </cell>
          <cell r="Z128">
            <v>345.43837537770844</v>
          </cell>
          <cell r="AA128">
            <v>0</v>
          </cell>
          <cell r="AB128">
            <v>0</v>
          </cell>
          <cell r="AF128">
            <v>0</v>
          </cell>
          <cell r="AG128">
            <v>0</v>
          </cell>
          <cell r="AH128">
            <v>0</v>
          </cell>
          <cell r="AI128">
            <v>0</v>
          </cell>
          <cell r="AJ128">
            <v>0</v>
          </cell>
          <cell r="BZ128">
            <v>1</v>
          </cell>
        </row>
        <row r="129">
          <cell r="C129" t="str">
            <v>Community Resilience Hubs - MWL11 - Morwell</v>
          </cell>
          <cell r="X129">
            <v>0</v>
          </cell>
          <cell r="Y129">
            <v>0</v>
          </cell>
          <cell r="Z129">
            <v>345.43837537770844</v>
          </cell>
          <cell r="AA129">
            <v>0</v>
          </cell>
          <cell r="AB129">
            <v>0</v>
          </cell>
          <cell r="AF129">
            <v>0</v>
          </cell>
          <cell r="AG129">
            <v>0</v>
          </cell>
          <cell r="AH129">
            <v>0</v>
          </cell>
          <cell r="AI129">
            <v>0</v>
          </cell>
          <cell r="AJ129">
            <v>0</v>
          </cell>
          <cell r="BZ129">
            <v>1</v>
          </cell>
        </row>
        <row r="130">
          <cell r="C130" t="str">
            <v>Community Resilience Hubs - LDL13 - Mount Evelyn</v>
          </cell>
          <cell r="X130">
            <v>0</v>
          </cell>
          <cell r="Y130">
            <v>0</v>
          </cell>
          <cell r="Z130">
            <v>345.43837537770844</v>
          </cell>
          <cell r="AA130">
            <v>0</v>
          </cell>
          <cell r="AB130">
            <v>0</v>
          </cell>
          <cell r="AF130">
            <v>0</v>
          </cell>
          <cell r="AG130">
            <v>0</v>
          </cell>
          <cell r="AH130">
            <v>0</v>
          </cell>
          <cell r="AI130">
            <v>0</v>
          </cell>
          <cell r="AJ130">
            <v>0</v>
          </cell>
          <cell r="BZ130">
            <v>1</v>
          </cell>
        </row>
        <row r="131">
          <cell r="C131" t="str">
            <v>Community Resilience Hubs - BDL41 - Nicholson</v>
          </cell>
          <cell r="X131">
            <v>0</v>
          </cell>
          <cell r="Y131">
            <v>0</v>
          </cell>
          <cell r="Z131">
            <v>345.43837537770844</v>
          </cell>
          <cell r="AA131">
            <v>0</v>
          </cell>
          <cell r="AB131">
            <v>0</v>
          </cell>
          <cell r="AF131">
            <v>0</v>
          </cell>
          <cell r="AG131">
            <v>0</v>
          </cell>
          <cell r="AH131">
            <v>0</v>
          </cell>
          <cell r="AI131">
            <v>0</v>
          </cell>
          <cell r="AJ131">
            <v>0</v>
          </cell>
          <cell r="BZ131">
            <v>1</v>
          </cell>
        </row>
        <row r="132">
          <cell r="C132" t="str">
            <v>Community Resilience Hubs - NLA32 - Orbost</v>
          </cell>
          <cell r="X132">
            <v>0</v>
          </cell>
          <cell r="Y132">
            <v>0</v>
          </cell>
          <cell r="Z132">
            <v>345.43837537770844</v>
          </cell>
          <cell r="AA132">
            <v>0</v>
          </cell>
          <cell r="AB132">
            <v>0</v>
          </cell>
          <cell r="AF132">
            <v>0</v>
          </cell>
          <cell r="AG132">
            <v>0</v>
          </cell>
          <cell r="AH132">
            <v>0</v>
          </cell>
          <cell r="AI132">
            <v>0</v>
          </cell>
          <cell r="AJ132">
            <v>0</v>
          </cell>
          <cell r="BZ132">
            <v>1</v>
          </cell>
        </row>
        <row r="133">
          <cell r="C133" t="str">
            <v>Community Resilience Hubs - SLE31 - Paradise Beach</v>
          </cell>
          <cell r="X133">
            <v>0</v>
          </cell>
          <cell r="Y133">
            <v>0</v>
          </cell>
          <cell r="Z133">
            <v>345.43837537770844</v>
          </cell>
          <cell r="AA133">
            <v>0</v>
          </cell>
          <cell r="AB133">
            <v>0</v>
          </cell>
          <cell r="AF133">
            <v>0</v>
          </cell>
          <cell r="AG133">
            <v>0</v>
          </cell>
          <cell r="AH133">
            <v>0</v>
          </cell>
          <cell r="AI133">
            <v>0</v>
          </cell>
          <cell r="AJ133">
            <v>0</v>
          </cell>
          <cell r="BZ133">
            <v>1</v>
          </cell>
        </row>
        <row r="134">
          <cell r="C134" t="str">
            <v>Community Resilience Hubs - SLE31 - Sale</v>
          </cell>
          <cell r="X134">
            <v>0</v>
          </cell>
          <cell r="Y134">
            <v>0</v>
          </cell>
          <cell r="Z134">
            <v>0</v>
          </cell>
          <cell r="AA134">
            <v>349.01555903808998</v>
          </cell>
          <cell r="AB134">
            <v>0</v>
          </cell>
          <cell r="AF134">
            <v>0</v>
          </cell>
          <cell r="AG134">
            <v>0</v>
          </cell>
          <cell r="AH134">
            <v>0</v>
          </cell>
          <cell r="AI134">
            <v>0</v>
          </cell>
          <cell r="AJ134">
            <v>0</v>
          </cell>
          <cell r="BZ134">
            <v>1</v>
          </cell>
        </row>
        <row r="135">
          <cell r="C135" t="str">
            <v>Community Resilience Hubs - FTR21 - Sandy Point</v>
          </cell>
          <cell r="X135">
            <v>0</v>
          </cell>
          <cell r="Y135">
            <v>0</v>
          </cell>
          <cell r="Z135">
            <v>0</v>
          </cell>
          <cell r="AA135">
            <v>349.01555903808998</v>
          </cell>
          <cell r="AB135">
            <v>0</v>
          </cell>
          <cell r="AF135">
            <v>0</v>
          </cell>
          <cell r="AG135">
            <v>0</v>
          </cell>
          <cell r="AH135">
            <v>0</v>
          </cell>
          <cell r="AI135">
            <v>0</v>
          </cell>
          <cell r="AJ135">
            <v>0</v>
          </cell>
          <cell r="BZ135">
            <v>1</v>
          </cell>
        </row>
        <row r="136">
          <cell r="C136" t="str">
            <v>Community Resilience Hubs - SLE31 - Seaspray</v>
          </cell>
          <cell r="X136">
            <v>0</v>
          </cell>
          <cell r="Y136">
            <v>0</v>
          </cell>
          <cell r="Z136">
            <v>0</v>
          </cell>
          <cell r="AA136">
            <v>349.01555903808998</v>
          </cell>
          <cell r="AB136">
            <v>0</v>
          </cell>
          <cell r="AF136">
            <v>0</v>
          </cell>
          <cell r="AG136">
            <v>0</v>
          </cell>
          <cell r="AH136">
            <v>0</v>
          </cell>
          <cell r="AI136">
            <v>0</v>
          </cell>
          <cell r="AJ136">
            <v>0</v>
          </cell>
          <cell r="BZ136">
            <v>1</v>
          </cell>
        </row>
        <row r="137">
          <cell r="C137" t="str">
            <v>Community Resilience Hubs - FGY24 - The Basin</v>
          </cell>
          <cell r="X137">
            <v>0</v>
          </cell>
          <cell r="Y137">
            <v>0</v>
          </cell>
          <cell r="Z137">
            <v>0</v>
          </cell>
          <cell r="AA137">
            <v>349.01555903808998</v>
          </cell>
          <cell r="AB137">
            <v>0</v>
          </cell>
          <cell r="AF137">
            <v>0</v>
          </cell>
          <cell r="AG137">
            <v>0</v>
          </cell>
          <cell r="AH137">
            <v>0</v>
          </cell>
          <cell r="AI137">
            <v>0</v>
          </cell>
          <cell r="AJ137">
            <v>0</v>
          </cell>
          <cell r="BZ137">
            <v>1</v>
          </cell>
        </row>
        <row r="138">
          <cell r="C138" t="str">
            <v>Community Resilience Hubs - TT5 - Thomastown</v>
          </cell>
          <cell r="X138">
            <v>0</v>
          </cell>
          <cell r="Y138">
            <v>0</v>
          </cell>
          <cell r="Z138">
            <v>0</v>
          </cell>
          <cell r="AA138">
            <v>349.01555903808998</v>
          </cell>
          <cell r="AB138">
            <v>0</v>
          </cell>
          <cell r="AF138">
            <v>0</v>
          </cell>
          <cell r="AG138">
            <v>0</v>
          </cell>
          <cell r="AH138">
            <v>0</v>
          </cell>
          <cell r="AI138">
            <v>0</v>
          </cell>
          <cell r="AJ138">
            <v>0</v>
          </cell>
          <cell r="BZ138">
            <v>1</v>
          </cell>
        </row>
        <row r="139">
          <cell r="C139" t="str">
            <v>Community Resilience Hubs - PHI12 - Ventnor</v>
          </cell>
          <cell r="X139">
            <v>0</v>
          </cell>
          <cell r="Y139">
            <v>0</v>
          </cell>
          <cell r="Z139">
            <v>0</v>
          </cell>
          <cell r="AA139">
            <v>349.01555903808998</v>
          </cell>
          <cell r="AB139">
            <v>0</v>
          </cell>
          <cell r="AF139">
            <v>0</v>
          </cell>
          <cell r="AG139">
            <v>0</v>
          </cell>
          <cell r="AH139">
            <v>0</v>
          </cell>
          <cell r="AI139">
            <v>0</v>
          </cell>
          <cell r="AJ139">
            <v>0</v>
          </cell>
          <cell r="BZ139">
            <v>1</v>
          </cell>
        </row>
        <row r="140">
          <cell r="C140" t="str">
            <v>Community Resilience Hubs - WGI24 - Venus Bay</v>
          </cell>
          <cell r="X140">
            <v>0</v>
          </cell>
          <cell r="Y140">
            <v>0</v>
          </cell>
          <cell r="Z140">
            <v>0</v>
          </cell>
          <cell r="AA140">
            <v>0</v>
          </cell>
          <cell r="AB140">
            <v>352.31613934360212</v>
          </cell>
          <cell r="AF140">
            <v>0</v>
          </cell>
          <cell r="AG140">
            <v>0</v>
          </cell>
          <cell r="AH140">
            <v>0</v>
          </cell>
          <cell r="AI140">
            <v>0</v>
          </cell>
          <cell r="AJ140">
            <v>0</v>
          </cell>
          <cell r="BZ140">
            <v>1</v>
          </cell>
        </row>
        <row r="141">
          <cell r="C141" t="str">
            <v>Community Resilience Hubs - LDL23 - Wandin North</v>
          </cell>
          <cell r="X141">
            <v>0</v>
          </cell>
          <cell r="Y141">
            <v>0</v>
          </cell>
          <cell r="Z141">
            <v>0</v>
          </cell>
          <cell r="AA141">
            <v>0</v>
          </cell>
          <cell r="AB141">
            <v>352.31613934360212</v>
          </cell>
          <cell r="AF141">
            <v>0</v>
          </cell>
          <cell r="AG141">
            <v>0</v>
          </cell>
          <cell r="AH141">
            <v>0</v>
          </cell>
          <cell r="AI141">
            <v>0</v>
          </cell>
          <cell r="AJ141">
            <v>0</v>
          </cell>
          <cell r="BZ141">
            <v>1</v>
          </cell>
        </row>
        <row r="142">
          <cell r="C142" t="str">
            <v>Community Resilience Hubs - RWN31 - Warranwood</v>
          </cell>
          <cell r="X142">
            <v>0</v>
          </cell>
          <cell r="Y142">
            <v>0</v>
          </cell>
          <cell r="Z142">
            <v>0</v>
          </cell>
          <cell r="AA142">
            <v>0</v>
          </cell>
          <cell r="AB142">
            <v>352.31613934360212</v>
          </cell>
          <cell r="AF142">
            <v>0</v>
          </cell>
          <cell r="AG142">
            <v>0</v>
          </cell>
          <cell r="AH142">
            <v>0</v>
          </cell>
          <cell r="AI142">
            <v>0</v>
          </cell>
          <cell r="AJ142">
            <v>0</v>
          </cell>
          <cell r="BZ142">
            <v>1</v>
          </cell>
        </row>
        <row r="143">
          <cell r="C143" t="str">
            <v>Community Resilience Hubs - WYK23 - Woori Yallock</v>
          </cell>
          <cell r="X143">
            <v>0</v>
          </cell>
          <cell r="Y143">
            <v>0</v>
          </cell>
          <cell r="Z143">
            <v>0</v>
          </cell>
          <cell r="AA143">
            <v>0</v>
          </cell>
          <cell r="AB143">
            <v>352.31613934360212</v>
          </cell>
          <cell r="AF143">
            <v>0</v>
          </cell>
          <cell r="AG143">
            <v>0</v>
          </cell>
          <cell r="AH143">
            <v>0</v>
          </cell>
          <cell r="AI143">
            <v>0</v>
          </cell>
          <cell r="AJ143">
            <v>0</v>
          </cell>
          <cell r="BZ143">
            <v>1</v>
          </cell>
        </row>
        <row r="144">
          <cell r="C144" t="str">
            <v>Community Resilience Hubs - WYK23 - Yarra Junction</v>
          </cell>
          <cell r="X144">
            <v>0</v>
          </cell>
          <cell r="Y144">
            <v>0</v>
          </cell>
          <cell r="Z144">
            <v>0</v>
          </cell>
          <cell r="AA144">
            <v>0</v>
          </cell>
          <cell r="AB144">
            <v>352.31613934360212</v>
          </cell>
          <cell r="AF144">
            <v>0</v>
          </cell>
          <cell r="AG144">
            <v>0</v>
          </cell>
          <cell r="AH144">
            <v>0</v>
          </cell>
          <cell r="AI144">
            <v>0</v>
          </cell>
          <cell r="AJ144">
            <v>0</v>
          </cell>
          <cell r="BZ144">
            <v>1</v>
          </cell>
        </row>
        <row r="145">
          <cell r="C145" t="str">
            <v>Community Resilience Hubs - FTR12 - Yarram</v>
          </cell>
          <cell r="X145">
            <v>0</v>
          </cell>
          <cell r="Y145">
            <v>0</v>
          </cell>
          <cell r="Z145">
            <v>0</v>
          </cell>
          <cell r="AA145">
            <v>0</v>
          </cell>
          <cell r="AB145">
            <v>352.31613934360212</v>
          </cell>
          <cell r="AF145">
            <v>0</v>
          </cell>
          <cell r="AG145">
            <v>0</v>
          </cell>
          <cell r="AH145">
            <v>0</v>
          </cell>
          <cell r="AI145">
            <v>0</v>
          </cell>
          <cell r="AJ145">
            <v>0</v>
          </cell>
          <cell r="BZ145">
            <v>1</v>
          </cell>
        </row>
        <row r="146">
          <cell r="C146" t="str">
            <v>Emergency Response Vehicles</v>
          </cell>
          <cell r="X146">
            <v>267.93386850152905</v>
          </cell>
          <cell r="Y146">
            <v>267.93386850152905</v>
          </cell>
          <cell r="Z146">
            <v>267.93386850152905</v>
          </cell>
          <cell r="AA146">
            <v>267.93386850152905</v>
          </cell>
          <cell r="AB146">
            <v>0</v>
          </cell>
          <cell r="AF146">
            <v>0</v>
          </cell>
          <cell r="AG146">
            <v>0</v>
          </cell>
          <cell r="AH146">
            <v>0</v>
          </cell>
          <cell r="AI146">
            <v>0</v>
          </cell>
          <cell r="AJ146">
            <v>0</v>
          </cell>
          <cell r="BZ146">
            <v>1</v>
          </cell>
        </row>
        <row r="147">
          <cell r="C147" t="str">
            <v>Mobile generation (HV Diesel Generation replacement)</v>
          </cell>
          <cell r="X147">
            <v>468.42044112032221</v>
          </cell>
          <cell r="Y147">
            <v>469.40082220955304</v>
          </cell>
          <cell r="Z147">
            <v>472.09911301620156</v>
          </cell>
          <cell r="AA147">
            <v>476.98793068538959</v>
          </cell>
          <cell r="AB147">
            <v>0</v>
          </cell>
          <cell r="AF147">
            <v>0</v>
          </cell>
          <cell r="AG147">
            <v>0</v>
          </cell>
          <cell r="AH147">
            <v>0</v>
          </cell>
          <cell r="AI147">
            <v>0</v>
          </cell>
          <cell r="AJ147">
            <v>0</v>
          </cell>
          <cell r="BZ147">
            <v>1</v>
          </cell>
        </row>
        <row r="148">
          <cell r="C148" t="str">
            <v>Mobile generation (Battery)</v>
          </cell>
          <cell r="X148">
            <v>1080.7944812190849</v>
          </cell>
          <cell r="Y148">
            <v>0</v>
          </cell>
          <cell r="Z148">
            <v>0</v>
          </cell>
          <cell r="AA148">
            <v>0</v>
          </cell>
          <cell r="AB148">
            <v>0</v>
          </cell>
          <cell r="AF148">
            <v>0</v>
          </cell>
          <cell r="AG148">
            <v>0</v>
          </cell>
          <cell r="AH148">
            <v>0</v>
          </cell>
          <cell r="AI148">
            <v>0</v>
          </cell>
          <cell r="AJ148">
            <v>0</v>
          </cell>
          <cell r="BZ148">
            <v>1</v>
          </cell>
        </row>
        <row r="149">
          <cell r="C149" t="str">
            <v>Mobile generation (Portable station (Tx/Trailer/Switch gear))</v>
          </cell>
          <cell r="X149">
            <v>493.55519649751022</v>
          </cell>
          <cell r="Y149">
            <v>0</v>
          </cell>
          <cell r="Z149">
            <v>0</v>
          </cell>
          <cell r="AA149">
            <v>0</v>
          </cell>
          <cell r="AB149">
            <v>0</v>
          </cell>
          <cell r="AF149">
            <v>0</v>
          </cell>
          <cell r="AG149">
            <v>0</v>
          </cell>
          <cell r="AH149">
            <v>0</v>
          </cell>
          <cell r="AI149">
            <v>0</v>
          </cell>
          <cell r="AJ149">
            <v>0</v>
          </cell>
          <cell r="BZ149">
            <v>1</v>
          </cell>
        </row>
        <row r="150">
          <cell r="C150" t="str">
            <v>Data Driven Network Modelling to enable electrification</v>
          </cell>
          <cell r="X150">
            <v>212.66944070188308</v>
          </cell>
          <cell r="Y150">
            <v>213.8880316737874</v>
          </cell>
          <cell r="Z150">
            <v>215.39563565600687</v>
          </cell>
          <cell r="AA150">
            <v>217.21354033715653</v>
          </cell>
          <cell r="AB150">
            <v>218.74432725925413</v>
          </cell>
          <cell r="AF150">
            <v>0</v>
          </cell>
          <cell r="AG150">
            <v>0</v>
          </cell>
          <cell r="AH150">
            <v>0</v>
          </cell>
          <cell r="AI150">
            <v>0</v>
          </cell>
          <cell r="AJ150">
            <v>0</v>
          </cell>
          <cell r="BZ150">
            <v>1</v>
          </cell>
        </row>
        <row r="151">
          <cell r="C151" t="str">
            <v xml:space="preserve"> Open Energy API</v>
          </cell>
          <cell r="X151">
            <v>283.55925426917747</v>
          </cell>
          <cell r="Y151">
            <v>285.18404223171655</v>
          </cell>
          <cell r="Z151">
            <v>287.19418087467585</v>
          </cell>
          <cell r="AA151">
            <v>289.61805378287539</v>
          </cell>
          <cell r="AB151">
            <v>291.6591030123389</v>
          </cell>
          <cell r="AF151">
            <v>0</v>
          </cell>
          <cell r="AG151">
            <v>0</v>
          </cell>
          <cell r="AH151">
            <v>0</v>
          </cell>
          <cell r="AI151">
            <v>0</v>
          </cell>
          <cell r="AJ151">
            <v>0</v>
          </cell>
          <cell r="BZ151">
            <v>1</v>
          </cell>
        </row>
        <row r="152">
          <cell r="C152" t="str">
            <v>Alternative Energy Storage Technologies and Operation Models</v>
          </cell>
          <cell r="X152">
            <v>445.57066350469671</v>
          </cell>
          <cell r="Y152">
            <v>446.50322112616021</v>
          </cell>
          <cell r="Z152">
            <v>449.06988799102095</v>
          </cell>
          <cell r="AA152">
            <v>453.72022674951688</v>
          </cell>
          <cell r="AB152">
            <v>458.01098114668275</v>
          </cell>
          <cell r="AF152">
            <v>0</v>
          </cell>
          <cell r="AG152">
            <v>0</v>
          </cell>
          <cell r="AH152">
            <v>0</v>
          </cell>
          <cell r="AI152">
            <v>0</v>
          </cell>
          <cell r="AJ152">
            <v>0</v>
          </cell>
          <cell r="BZ152">
            <v>1</v>
          </cell>
        </row>
        <row r="153">
          <cell r="C153" t="str">
            <v xml:space="preserve"> Flexible Demand/ Flexibility Services</v>
          </cell>
          <cell r="X153">
            <v>354.44906783647184</v>
          </cell>
          <cell r="Y153">
            <v>356.4800527896457</v>
          </cell>
          <cell r="Z153">
            <v>358.99272609334486</v>
          </cell>
          <cell r="AA153">
            <v>362.02256722859426</v>
          </cell>
          <cell r="AB153">
            <v>364.57387876542361</v>
          </cell>
          <cell r="AF153">
            <v>0</v>
          </cell>
          <cell r="AG153">
            <v>0</v>
          </cell>
          <cell r="AH153">
            <v>0</v>
          </cell>
          <cell r="AI153">
            <v>0</v>
          </cell>
          <cell r="AJ153">
            <v>0</v>
          </cell>
          <cell r="BZ153">
            <v>1</v>
          </cell>
        </row>
        <row r="154">
          <cell r="C154" t="str">
            <v>Tariff Trial</v>
          </cell>
          <cell r="X154">
            <v>212.66944070188308</v>
          </cell>
          <cell r="Y154">
            <v>213.8880316737874</v>
          </cell>
          <cell r="Z154">
            <v>215.39563565600687</v>
          </cell>
          <cell r="AA154">
            <v>217.21354033715653</v>
          </cell>
          <cell r="AB154">
            <v>218.74432725925413</v>
          </cell>
          <cell r="AF154">
            <v>0</v>
          </cell>
          <cell r="AG154">
            <v>0</v>
          </cell>
          <cell r="AH154">
            <v>0</v>
          </cell>
          <cell r="AI154">
            <v>0</v>
          </cell>
          <cell r="AJ154">
            <v>0</v>
          </cell>
          <cell r="BZ154">
            <v>1</v>
          </cell>
        </row>
        <row r="155">
          <cell r="C155" t="str">
            <v xml:space="preserve"> Customer CER and Electrification Toolbox</v>
          </cell>
          <cell r="X155">
            <v>141.77962713458874</v>
          </cell>
          <cell r="Y155">
            <v>142.59202111585827</v>
          </cell>
          <cell r="Z155">
            <v>143.59709043733793</v>
          </cell>
          <cell r="AA155">
            <v>144.8090268914377</v>
          </cell>
          <cell r="AB155">
            <v>145.82955150616945</v>
          </cell>
          <cell r="AF155">
            <v>0</v>
          </cell>
          <cell r="AG155">
            <v>0</v>
          </cell>
          <cell r="AH155">
            <v>0</v>
          </cell>
          <cell r="AI155">
            <v>0</v>
          </cell>
          <cell r="AJ155">
            <v>0</v>
          </cell>
          <cell r="BZ155">
            <v>1</v>
          </cell>
        </row>
        <row r="156">
          <cell r="C156" t="str">
            <v>V2G for Community resilience</v>
          </cell>
          <cell r="X156">
            <v>354.44906783647184</v>
          </cell>
          <cell r="Y156">
            <v>356.4800527896457</v>
          </cell>
          <cell r="Z156">
            <v>358.99272609334486</v>
          </cell>
          <cell r="AA156">
            <v>362.02256722859426</v>
          </cell>
          <cell r="AB156">
            <v>364.57387876542361</v>
          </cell>
          <cell r="AF156">
            <v>0</v>
          </cell>
          <cell r="AG156">
            <v>0</v>
          </cell>
          <cell r="AH156">
            <v>0</v>
          </cell>
          <cell r="AI156">
            <v>0</v>
          </cell>
          <cell r="AJ156">
            <v>0</v>
          </cell>
          <cell r="BZ156">
            <v>1</v>
          </cell>
        </row>
        <row r="157">
          <cell r="C157" t="str">
            <v>Smart Energy management system for electrified customers</v>
          </cell>
          <cell r="X157">
            <v>141.77962713458874</v>
          </cell>
          <cell r="Y157">
            <v>142.59202111585827</v>
          </cell>
          <cell r="Z157">
            <v>143.59709043733793</v>
          </cell>
          <cell r="AA157">
            <v>144.8090268914377</v>
          </cell>
          <cell r="AB157">
            <v>145.82955150616945</v>
          </cell>
          <cell r="AF157">
            <v>0</v>
          </cell>
          <cell r="AG157">
            <v>0</v>
          </cell>
          <cell r="AH157">
            <v>0</v>
          </cell>
          <cell r="AI157">
            <v>0</v>
          </cell>
          <cell r="AJ157">
            <v>0</v>
          </cell>
          <cell r="BZ157">
            <v>1</v>
          </cell>
        </row>
        <row r="158">
          <cell r="C158" t="str">
            <v>04 Business Systems (TAM - Systems)</v>
          </cell>
          <cell r="X158">
            <v>8300.6518624719611</v>
          </cell>
          <cell r="Y158">
            <v>10476.126105212017</v>
          </cell>
          <cell r="Z158">
            <v>17818.189737266908</v>
          </cell>
          <cell r="AA158">
            <v>15094.67018004517</v>
          </cell>
          <cell r="AB158">
            <v>15655.363237077698</v>
          </cell>
          <cell r="AF158">
            <v>0</v>
          </cell>
          <cell r="AG158">
            <v>0</v>
          </cell>
          <cell r="AH158">
            <v>0</v>
          </cell>
          <cell r="AI158">
            <v>0</v>
          </cell>
          <cell r="AJ158">
            <v>0</v>
          </cell>
          <cell r="BZ158">
            <v>1</v>
          </cell>
        </row>
        <row r="159">
          <cell r="C159" t="str">
            <v>05 Hardware (TAM -Infrastructure)</v>
          </cell>
          <cell r="X159">
            <v>7178.0843993209437</v>
          </cell>
          <cell r="Y159">
            <v>6473.3487001496969</v>
          </cell>
          <cell r="Z159">
            <v>5853.459243427239</v>
          </cell>
          <cell r="AA159">
            <v>6459.8192980678878</v>
          </cell>
          <cell r="AB159">
            <v>6757.7414167958914</v>
          </cell>
          <cell r="AF159">
            <v>0</v>
          </cell>
          <cell r="AG159">
            <v>0</v>
          </cell>
          <cell r="AH159">
            <v>0</v>
          </cell>
          <cell r="AI159">
            <v>0</v>
          </cell>
          <cell r="AJ159">
            <v>0</v>
          </cell>
          <cell r="BZ159">
            <v>1</v>
          </cell>
        </row>
        <row r="160">
          <cell r="C160" t="str">
            <v>13 Market systems</v>
          </cell>
          <cell r="X160">
            <v>8179.5938731493507</v>
          </cell>
          <cell r="Y160">
            <v>12065.478709803392</v>
          </cell>
          <cell r="Z160">
            <v>0</v>
          </cell>
          <cell r="AA160">
            <v>0</v>
          </cell>
          <cell r="AB160">
            <v>0</v>
          </cell>
          <cell r="AF160">
            <v>0</v>
          </cell>
          <cell r="AG160">
            <v>0</v>
          </cell>
          <cell r="AH160">
            <v>0</v>
          </cell>
          <cell r="AI160">
            <v>0</v>
          </cell>
          <cell r="AJ160">
            <v>0</v>
          </cell>
          <cell r="BZ160">
            <v>1</v>
          </cell>
        </row>
        <row r="161">
          <cell r="C161" t="str">
            <v>07 Customer engagement platform</v>
          </cell>
          <cell r="X161">
            <v>9815.5126477792201</v>
          </cell>
          <cell r="Y161">
            <v>9871.7553080209564</v>
          </cell>
          <cell r="Z161">
            <v>9941.3370302772419</v>
          </cell>
          <cell r="AA161">
            <v>4455.66236589039</v>
          </cell>
          <cell r="AB161">
            <v>11217.657808166879</v>
          </cell>
          <cell r="AF161">
            <v>0</v>
          </cell>
          <cell r="AG161">
            <v>0</v>
          </cell>
          <cell r="AH161">
            <v>0</v>
          </cell>
          <cell r="AI161">
            <v>0</v>
          </cell>
          <cell r="AJ161">
            <v>0</v>
          </cell>
          <cell r="BZ161">
            <v>1</v>
          </cell>
        </row>
        <row r="162">
          <cell r="C162" t="str">
            <v>14 DSO/Future Service provider hub</v>
          </cell>
          <cell r="X162">
            <v>11451.43142240909</v>
          </cell>
          <cell r="Y162">
            <v>11517.047859357783</v>
          </cell>
          <cell r="Z162">
            <v>4418.372013456551</v>
          </cell>
          <cell r="AA162">
            <v>10025.240323253378</v>
          </cell>
          <cell r="AB162">
            <v>3365.2973424500642</v>
          </cell>
          <cell r="AF162">
            <v>0</v>
          </cell>
          <cell r="AG162">
            <v>0</v>
          </cell>
          <cell r="AH162">
            <v>0</v>
          </cell>
          <cell r="AI162">
            <v>0</v>
          </cell>
          <cell r="AJ162">
            <v>0</v>
          </cell>
          <cell r="BZ162">
            <v>1</v>
          </cell>
        </row>
        <row r="163">
          <cell r="C163" t="str">
            <v>10 ADMS Energy Management (SCADA/OT portion)</v>
          </cell>
          <cell r="X163">
            <v>7977.2868402417862</v>
          </cell>
          <cell r="Y163">
            <v>7987.0924338487384</v>
          </cell>
          <cell r="Z163">
            <v>8024.7603321368133</v>
          </cell>
          <cell r="AA163">
            <v>8098.1127955096181</v>
          </cell>
          <cell r="AB163">
            <v>8166.5968869901026</v>
          </cell>
          <cell r="AF163">
            <v>0</v>
          </cell>
          <cell r="AG163">
            <v>0</v>
          </cell>
          <cell r="AH163">
            <v>0</v>
          </cell>
          <cell r="AI163">
            <v>0</v>
          </cell>
          <cell r="AJ163">
            <v>0</v>
          </cell>
          <cell r="BZ163">
            <v>1</v>
          </cell>
        </row>
        <row r="164">
          <cell r="C164" t="str">
            <v>10 ADMS Energy Management (IT portion)</v>
          </cell>
          <cell r="X164">
            <v>7901.4878177888368</v>
          </cell>
          <cell r="Y164">
            <v>9317.1721602950493</v>
          </cell>
          <cell r="Z164">
            <v>8289.7121535591941</v>
          </cell>
          <cell r="AA164">
            <v>1670.8733872088965</v>
          </cell>
          <cell r="AB164">
            <v>729.14775753084723</v>
          </cell>
          <cell r="AF164">
            <v>0</v>
          </cell>
          <cell r="AG164">
            <v>0</v>
          </cell>
          <cell r="AH164">
            <v>0</v>
          </cell>
          <cell r="AI164">
            <v>0</v>
          </cell>
          <cell r="AJ164">
            <v>0</v>
          </cell>
          <cell r="BZ164">
            <v>1</v>
          </cell>
        </row>
        <row r="165">
          <cell r="C165" t="str">
            <v>11 Field Enablement ERP</v>
          </cell>
          <cell r="X165">
            <v>10531.499764808894</v>
          </cell>
          <cell r="Y165">
            <v>3251.5094045794026</v>
          </cell>
          <cell r="Z165">
            <v>1656.889505046207</v>
          </cell>
          <cell r="AA165">
            <v>3341.7467744177929</v>
          </cell>
          <cell r="AB165">
            <v>0</v>
          </cell>
          <cell r="AF165">
            <v>0</v>
          </cell>
          <cell r="AG165">
            <v>0</v>
          </cell>
          <cell r="AH165">
            <v>0</v>
          </cell>
          <cell r="AI165">
            <v>0</v>
          </cell>
          <cell r="AJ165">
            <v>0</v>
          </cell>
          <cell r="BZ165">
            <v>1</v>
          </cell>
        </row>
        <row r="166">
          <cell r="C166" t="str">
            <v xml:space="preserve">12 Network Model Management Geospatial and asset model tools </v>
          </cell>
          <cell r="X166">
            <v>15876.346183640131</v>
          </cell>
          <cell r="Y166">
            <v>7656.8900340615564</v>
          </cell>
          <cell r="Z166">
            <v>11957.219261416793</v>
          </cell>
          <cell r="AA166">
            <v>2924.0284276155689</v>
          </cell>
          <cell r="AB166">
            <v>4290.7541116238308</v>
          </cell>
          <cell r="AF166">
            <v>0</v>
          </cell>
          <cell r="AG166">
            <v>0</v>
          </cell>
          <cell r="AH166">
            <v>0</v>
          </cell>
          <cell r="AI166">
            <v>0</v>
          </cell>
          <cell r="AJ166">
            <v>0</v>
          </cell>
          <cell r="BZ166">
            <v>1</v>
          </cell>
        </row>
        <row r="167">
          <cell r="C167" t="str">
            <v>06 Asset Risk Management</v>
          </cell>
          <cell r="X167">
            <v>3380.8988009017312</v>
          </cell>
          <cell r="Y167">
            <v>18756.335085239818</v>
          </cell>
          <cell r="Z167">
            <v>17231.65085248055</v>
          </cell>
          <cell r="AA167">
            <v>22166.92027030469</v>
          </cell>
          <cell r="AB167">
            <v>17723.899336903673</v>
          </cell>
          <cell r="AF167">
            <v>0</v>
          </cell>
          <cell r="AG167">
            <v>0</v>
          </cell>
          <cell r="AH167">
            <v>0</v>
          </cell>
          <cell r="AI167">
            <v>0</v>
          </cell>
          <cell r="AJ167">
            <v>0</v>
          </cell>
          <cell r="BZ167">
            <v>1</v>
          </cell>
        </row>
        <row r="168">
          <cell r="C168" t="str">
            <v>08 Cyber security</v>
          </cell>
          <cell r="X168">
            <v>5431.250331771168</v>
          </cell>
          <cell r="Y168">
            <v>5462.3712704382624</v>
          </cell>
          <cell r="Z168">
            <v>5500.8731567534069</v>
          </cell>
          <cell r="AA168">
            <v>5547.299645533536</v>
          </cell>
          <cell r="AB168">
            <v>5586.3935884671064</v>
          </cell>
          <cell r="AF168">
            <v>0</v>
          </cell>
          <cell r="AG168">
            <v>0</v>
          </cell>
          <cell r="AH168">
            <v>0</v>
          </cell>
          <cell r="AI168">
            <v>0</v>
          </cell>
          <cell r="AJ168">
            <v>0</v>
          </cell>
          <cell r="BZ168">
            <v>1</v>
          </cell>
        </row>
        <row r="169">
          <cell r="C169" t="str">
            <v>17 Metering systems</v>
          </cell>
          <cell r="X169">
            <v>0</v>
          </cell>
          <cell r="Y169">
            <v>1645.2925513368261</v>
          </cell>
          <cell r="Z169">
            <v>2540.5639077375172</v>
          </cell>
          <cell r="AA169">
            <v>891.13247317807816</v>
          </cell>
          <cell r="AB169">
            <v>0</v>
          </cell>
          <cell r="AF169">
            <v>0</v>
          </cell>
          <cell r="AG169">
            <v>0</v>
          </cell>
          <cell r="AH169">
            <v>0</v>
          </cell>
          <cell r="AI169">
            <v>0</v>
          </cell>
          <cell r="AJ169">
            <v>0</v>
          </cell>
          <cell r="BZ169">
            <v>1</v>
          </cell>
        </row>
        <row r="170">
          <cell r="C170" t="str">
            <v>Light vehicle purchases from Downer</v>
          </cell>
          <cell r="X170">
            <v>0</v>
          </cell>
          <cell r="Y170">
            <v>1564.606255527523</v>
          </cell>
          <cell r="Z170">
            <v>0</v>
          </cell>
          <cell r="AA170">
            <v>0</v>
          </cell>
          <cell r="AB170">
            <v>1885.6949883333334</v>
          </cell>
          <cell r="AF170">
            <v>0</v>
          </cell>
          <cell r="AG170">
            <v>0</v>
          </cell>
          <cell r="AH170">
            <v>0</v>
          </cell>
          <cell r="AI170">
            <v>0</v>
          </cell>
          <cell r="AJ170">
            <v>0</v>
          </cell>
          <cell r="BZ170">
            <v>1</v>
          </cell>
        </row>
        <row r="171">
          <cell r="C171" t="str">
            <v>Heavy vehicles and plant purchases from Downer</v>
          </cell>
          <cell r="X171">
            <v>6467.9235856269115</v>
          </cell>
          <cell r="Y171">
            <v>3210.7025689643042</v>
          </cell>
          <cell r="Z171">
            <v>9887.4426172640779</v>
          </cell>
          <cell r="AA171">
            <v>11874.601997912121</v>
          </cell>
          <cell r="AB171">
            <v>9670.2298025025393</v>
          </cell>
          <cell r="AF171">
            <v>0</v>
          </cell>
          <cell r="AG171">
            <v>0</v>
          </cell>
          <cell r="AH171">
            <v>0</v>
          </cell>
          <cell r="AI171">
            <v>0</v>
          </cell>
          <cell r="AJ171">
            <v>0</v>
          </cell>
          <cell r="BZ171">
            <v>1</v>
          </cell>
        </row>
        <row r="172">
          <cell r="C172" t="str">
            <v>FLEET LEASE COSTS CAPITALISED</v>
          </cell>
          <cell r="X172">
            <v>14479.60320249198</v>
          </cell>
          <cell r="Y172">
            <v>16257.027131634733</v>
          </cell>
          <cell r="Z172">
            <v>15930.938994886532</v>
          </cell>
          <cell r="AA172">
            <v>16516.866217765972</v>
          </cell>
          <cell r="AB172">
            <v>15540.308718559441</v>
          </cell>
          <cell r="AF172">
            <v>0</v>
          </cell>
          <cell r="AG172">
            <v>0</v>
          </cell>
          <cell r="AH172">
            <v>0</v>
          </cell>
          <cell r="AI172">
            <v>0</v>
          </cell>
          <cell r="AJ172">
            <v>0</v>
          </cell>
          <cell r="BZ172">
            <v>1</v>
          </cell>
        </row>
        <row r="173">
          <cell r="C173" t="str">
            <v>DEPOT &amp; STATIONS UPGRADES / IMPROVEMENTSPROJECTS (Capital Allocation - BAU)</v>
          </cell>
          <cell r="X173">
            <v>9430.2364429247136</v>
          </cell>
          <cell r="Y173">
            <v>2676.3589105478063</v>
          </cell>
          <cell r="Z173">
            <v>1736.6656830967945</v>
          </cell>
          <cell r="AA173">
            <v>1129.416554521978</v>
          </cell>
          <cell r="AB173">
            <v>5354.968814746082</v>
          </cell>
          <cell r="AF173">
            <v>0</v>
          </cell>
          <cell r="AG173">
            <v>0</v>
          </cell>
          <cell r="AH173">
            <v>0</v>
          </cell>
          <cell r="AI173">
            <v>0</v>
          </cell>
          <cell r="AJ173">
            <v>0</v>
          </cell>
          <cell r="BZ173">
            <v>1</v>
          </cell>
        </row>
        <row r="174">
          <cell r="C174" t="str">
            <v>MOTOR VEHICLE  &amp; MOBILE PLANT FLEET REPLACEMENTS/ACQUISITION REQUIREMENTS</v>
          </cell>
          <cell r="X174">
            <v>3973.459269877676</v>
          </cell>
          <cell r="Y174">
            <v>3973.459269877676</v>
          </cell>
          <cell r="Z174">
            <v>3973.459269877676</v>
          </cell>
          <cell r="AA174">
            <v>3973.459269877676</v>
          </cell>
          <cell r="AB174">
            <v>3973.459269877676</v>
          </cell>
          <cell r="AF174">
            <v>0</v>
          </cell>
          <cell r="AG174">
            <v>0</v>
          </cell>
          <cell r="AH174">
            <v>0</v>
          </cell>
          <cell r="AI174">
            <v>0</v>
          </cell>
          <cell r="AJ174">
            <v>0</v>
          </cell>
          <cell r="BZ174">
            <v>1</v>
          </cell>
        </row>
        <row r="175">
          <cell r="C175" t="str">
            <v>BAU MINOR TOOLS &amp; EQUIPMENT</v>
          </cell>
          <cell r="X175">
            <v>125.94808094514181</v>
          </cell>
          <cell r="Y175">
            <v>127.20756175459323</v>
          </cell>
          <cell r="Z175">
            <v>128.47963737213917</v>
          </cell>
          <cell r="AA175">
            <v>129.76443374586057</v>
          </cell>
          <cell r="AB175">
            <v>131.06207808331916</v>
          </cell>
          <cell r="AF175">
            <v>0</v>
          </cell>
          <cell r="AG175">
            <v>0</v>
          </cell>
          <cell r="AH175">
            <v>0</v>
          </cell>
          <cell r="AI175">
            <v>0</v>
          </cell>
          <cell r="AJ175">
            <v>0</v>
          </cell>
          <cell r="BZ175">
            <v>1</v>
          </cell>
        </row>
        <row r="176">
          <cell r="C176" t="str">
            <v>1036 DCAPEX General Equipment</v>
          </cell>
          <cell r="X176">
            <v>769.83838847552443</v>
          </cell>
          <cell r="Y176">
            <v>777.53677236027966</v>
          </cell>
          <cell r="Z176">
            <v>785.31214008388258</v>
          </cell>
          <cell r="AA176">
            <v>793.16526148472133</v>
          </cell>
          <cell r="AB176">
            <v>801.09691409956861</v>
          </cell>
          <cell r="AF176">
            <v>0</v>
          </cell>
          <cell r="AG176">
            <v>0</v>
          </cell>
          <cell r="AH176">
            <v>0</v>
          </cell>
          <cell r="AI176">
            <v>0</v>
          </cell>
          <cell r="AJ176">
            <v>0</v>
          </cell>
          <cell r="BZ176">
            <v>1</v>
          </cell>
        </row>
        <row r="177">
          <cell r="C177" t="str">
            <v>Depot purchases/upgrades</v>
          </cell>
          <cell r="X177">
            <v>27072.536569572068</v>
          </cell>
          <cell r="Y177">
            <v>18990.429163122193</v>
          </cell>
          <cell r="Z177">
            <v>3501.0537948800211</v>
          </cell>
          <cell r="AA177">
            <v>17209.345029577726</v>
          </cell>
          <cell r="AB177">
            <v>15193.184544446569</v>
          </cell>
          <cell r="AF177">
            <v>0</v>
          </cell>
          <cell r="AG177">
            <v>0</v>
          </cell>
          <cell r="AH177">
            <v>0</v>
          </cell>
          <cell r="AI177">
            <v>0</v>
          </cell>
          <cell r="AJ177">
            <v>0</v>
          </cell>
          <cell r="BZ177">
            <v>1</v>
          </cell>
        </row>
        <row r="178">
          <cell r="C178" t="str">
            <v>Depot purchases/upgrades</v>
          </cell>
          <cell r="X178">
            <v>35088.830061440771</v>
          </cell>
          <cell r="Y178">
            <v>0</v>
          </cell>
          <cell r="Z178">
            <v>0</v>
          </cell>
          <cell r="AA178">
            <v>0</v>
          </cell>
          <cell r="AB178">
            <v>0</v>
          </cell>
          <cell r="AF178">
            <v>0</v>
          </cell>
          <cell r="AG178">
            <v>0</v>
          </cell>
          <cell r="AH178">
            <v>0</v>
          </cell>
          <cell r="AI178">
            <v>0</v>
          </cell>
          <cell r="AJ178">
            <v>0</v>
          </cell>
          <cell r="BZ178">
            <v>1</v>
          </cell>
        </row>
        <row r="179">
          <cell r="C179" t="str">
            <v>Sth Morang (training center) - D portion</v>
          </cell>
          <cell r="X179">
            <v>0</v>
          </cell>
          <cell r="Y179">
            <v>0</v>
          </cell>
          <cell r="Z179">
            <v>14331.014337496859</v>
          </cell>
          <cell r="AA179">
            <v>0</v>
          </cell>
          <cell r="AB179">
            <v>0</v>
          </cell>
          <cell r="AF179">
            <v>0</v>
          </cell>
          <cell r="AG179">
            <v>0</v>
          </cell>
          <cell r="AH179">
            <v>0</v>
          </cell>
          <cell r="AI179">
            <v>0</v>
          </cell>
          <cell r="AJ179">
            <v>0</v>
          </cell>
          <cell r="BZ179">
            <v>1</v>
          </cell>
        </row>
        <row r="180">
          <cell r="C180" t="str">
            <v>FWP Lease renewal (5 years)</v>
          </cell>
          <cell r="X180">
            <v>0</v>
          </cell>
          <cell r="Y180">
            <v>0</v>
          </cell>
          <cell r="Z180">
            <v>0</v>
          </cell>
          <cell r="AA180">
            <v>0</v>
          </cell>
          <cell r="AB180">
            <v>9812.8189267172384</v>
          </cell>
          <cell r="AF180">
            <v>0</v>
          </cell>
          <cell r="AG180">
            <v>0</v>
          </cell>
          <cell r="AH180">
            <v>0</v>
          </cell>
          <cell r="AI180">
            <v>0</v>
          </cell>
          <cell r="AJ180">
            <v>0</v>
          </cell>
          <cell r="BZ180">
            <v>1</v>
          </cell>
        </row>
        <row r="181">
          <cell r="C181" t="str">
            <v>General Capex CEOT - Flinders St lease renewal</v>
          </cell>
          <cell r="X181">
            <v>0</v>
          </cell>
          <cell r="Y181">
            <v>7547.4198971655987</v>
          </cell>
          <cell r="Z181">
            <v>0</v>
          </cell>
          <cell r="AA181">
            <v>0</v>
          </cell>
          <cell r="AB181">
            <v>0</v>
          </cell>
          <cell r="AF181">
            <v>0</v>
          </cell>
          <cell r="AG181">
            <v>0</v>
          </cell>
          <cell r="AH181">
            <v>0</v>
          </cell>
          <cell r="AI181">
            <v>0</v>
          </cell>
          <cell r="AJ181">
            <v>0</v>
          </cell>
          <cell r="BZ181">
            <v>1</v>
          </cell>
        </row>
        <row r="182">
          <cell r="C182" t="str">
            <v>fitout of Flinders St for CEOT - in-situ refurbishment</v>
          </cell>
          <cell r="X182">
            <v>2390.0638838876148</v>
          </cell>
          <cell r="Y182">
            <v>0</v>
          </cell>
          <cell r="Z182">
            <v>0</v>
          </cell>
          <cell r="AA182">
            <v>0</v>
          </cell>
          <cell r="AB182">
            <v>0</v>
          </cell>
          <cell r="AF182">
            <v>0</v>
          </cell>
          <cell r="AG182">
            <v>0</v>
          </cell>
          <cell r="AH182">
            <v>0</v>
          </cell>
          <cell r="AI182">
            <v>0</v>
          </cell>
          <cell r="AJ182">
            <v>0</v>
          </cell>
          <cell r="BZ182">
            <v>1</v>
          </cell>
        </row>
        <row r="183">
          <cell r="C183" t="str">
            <v>Property leases - Downer transfers</v>
          </cell>
          <cell r="X183">
            <v>0</v>
          </cell>
          <cell r="Y183">
            <v>1650.9984035300211</v>
          </cell>
          <cell r="Z183">
            <v>0</v>
          </cell>
          <cell r="AA183">
            <v>355.88005394686388</v>
          </cell>
          <cell r="AB183">
            <v>271.8850630129063</v>
          </cell>
          <cell r="AF183">
            <v>0</v>
          </cell>
          <cell r="AG183">
            <v>0</v>
          </cell>
          <cell r="AH183">
            <v>0</v>
          </cell>
          <cell r="AI183">
            <v>0</v>
          </cell>
          <cell r="AJ183">
            <v>0</v>
          </cell>
          <cell r="BZ183">
            <v>1</v>
          </cell>
        </row>
        <row r="184">
          <cell r="C184" t="str">
            <v>MEDIUM DENSITY HOUSING - SUBDIVISION</v>
          </cell>
          <cell r="X184">
            <v>18549.879544337335</v>
          </cell>
          <cell r="Y184">
            <v>18563.274435503004</v>
          </cell>
          <cell r="Z184">
            <v>18665.52801287378</v>
          </cell>
          <cell r="AA184">
            <v>18870.937964672685</v>
          </cell>
          <cell r="AB184">
            <v>19042.343557552565</v>
          </cell>
          <cell r="AF184">
            <v>2367.3033700197734</v>
          </cell>
          <cell r="AG184">
            <v>2369.0128027372061</v>
          </cell>
          <cell r="AH184">
            <v>2382.0622264667695</v>
          </cell>
          <cell r="AI184">
            <v>2408.2762873164311</v>
          </cell>
          <cell r="AJ184">
            <v>2430.1507710129376</v>
          </cell>
          <cell r="BZ184">
            <v>1</v>
          </cell>
        </row>
        <row r="185">
          <cell r="C185" t="str">
            <v>UNDERGROUND SERVICE INSTALLATION</v>
          </cell>
          <cell r="X185">
            <v>15110.596003438464</v>
          </cell>
          <cell r="Y185">
            <v>15354.47376601906</v>
          </cell>
          <cell r="Z185">
            <v>15428.023943780428</v>
          </cell>
          <cell r="AA185">
            <v>15590.433511302968</v>
          </cell>
          <cell r="AB185">
            <v>15738.524795196041</v>
          </cell>
          <cell r="AF185">
            <v>10241.667361060217</v>
          </cell>
          <cell r="AG185">
            <v>10406.962953672295</v>
          </cell>
          <cell r="AH185">
            <v>10456.813830157073</v>
          </cell>
          <cell r="AI185">
            <v>10566.891868537625</v>
          </cell>
          <cell r="AJ185">
            <v>10667.265253436542</v>
          </cell>
          <cell r="BZ185">
            <v>1</v>
          </cell>
        </row>
        <row r="186">
          <cell r="C186" t="str">
            <v>BUSINESS SUPPLY PROJECTS</v>
          </cell>
          <cell r="X186">
            <v>31249.294272136452</v>
          </cell>
          <cell r="Y186">
            <v>31255.802491939168</v>
          </cell>
          <cell r="Z186">
            <v>31381.090519285615</v>
          </cell>
          <cell r="AA186">
            <v>31650.290441715046</v>
          </cell>
          <cell r="AB186">
            <v>31905.551260266759</v>
          </cell>
          <cell r="AF186">
            <v>9356.3506943600751</v>
          </cell>
          <cell r="AG186">
            <v>9358.2993203463102</v>
          </cell>
          <cell r="AH186">
            <v>9395.8118065947783</v>
          </cell>
          <cell r="AI186">
            <v>9476.4129510305465</v>
          </cell>
          <cell r="AJ186">
            <v>9552.8405885989523</v>
          </cell>
          <cell r="BZ186">
            <v>1</v>
          </cell>
        </row>
        <row r="187">
          <cell r="C187" t="str">
            <v>COMPLEX RESIDENTIAL SUPPLY PROJECTS</v>
          </cell>
          <cell r="X187">
            <v>11566.146261959599</v>
          </cell>
          <cell r="Y187">
            <v>11748.403231015031</v>
          </cell>
          <cell r="Z187">
            <v>11799.285610905563</v>
          </cell>
          <cell r="AA187">
            <v>11917.058844594201</v>
          </cell>
          <cell r="AB187">
            <v>12024.898469199661</v>
          </cell>
          <cell r="AF187">
            <v>8746.3268967575932</v>
          </cell>
          <cell r="AG187">
            <v>8884.1497285346632</v>
          </cell>
          <cell r="AH187">
            <v>8922.6270154138092</v>
          </cell>
          <cell r="AI187">
            <v>9011.6872069589353</v>
          </cell>
          <cell r="AJ187">
            <v>9093.2355972231253</v>
          </cell>
          <cell r="BZ187">
            <v>1</v>
          </cell>
        </row>
        <row r="188">
          <cell r="C188" t="str">
            <v>LOW DENSITY HOUSING - SUBDIVISION</v>
          </cell>
          <cell r="X188">
            <v>2662.8460084141902</v>
          </cell>
          <cell r="Y188">
            <v>2705.530536626814</v>
          </cell>
          <cell r="Z188">
            <v>2718.1330238278269</v>
          </cell>
          <cell r="AA188">
            <v>2746.3201053649486</v>
          </cell>
          <cell r="AB188">
            <v>2772.0519493087882</v>
          </cell>
          <cell r="AF188">
            <v>2052.69690160663</v>
          </cell>
          <cell r="AG188">
            <v>2085.6009443232324</v>
          </cell>
          <cell r="AH188">
            <v>2095.3157706212282</v>
          </cell>
          <cell r="AI188">
            <v>2117.0442276006247</v>
          </cell>
          <cell r="AJ188">
            <v>2136.8800259041091</v>
          </cell>
          <cell r="BZ188">
            <v>1</v>
          </cell>
        </row>
        <row r="189">
          <cell r="C189" t="str">
            <v>COGENERATION PROJECTS</v>
          </cell>
          <cell r="X189">
            <v>874.08812858181841</v>
          </cell>
          <cell r="Y189">
            <v>874.98636878760919</v>
          </cell>
          <cell r="Z189">
            <v>0</v>
          </cell>
          <cell r="AA189">
            <v>0</v>
          </cell>
          <cell r="AB189">
            <v>0</v>
          </cell>
          <cell r="AF189">
            <v>261.7107124905724</v>
          </cell>
          <cell r="AG189">
            <v>261.97965457611082</v>
          </cell>
          <cell r="AH189">
            <v>0</v>
          </cell>
          <cell r="AI189">
            <v>0</v>
          </cell>
          <cell r="AJ189">
            <v>0</v>
          </cell>
          <cell r="BZ189">
            <v>1</v>
          </cell>
        </row>
        <row r="190">
          <cell r="C190" t="str">
            <v>PRIVATE ELECTRIC LINE REPLACEMENT - RESIDENTIAL</v>
          </cell>
          <cell r="X190">
            <v>700.51533019993963</v>
          </cell>
          <cell r="Y190">
            <v>704.70013483885236</v>
          </cell>
          <cell r="Z190">
            <v>711.73983716064276</v>
          </cell>
          <cell r="AA190">
            <v>701.22664212372013</v>
          </cell>
          <cell r="AB190">
            <v>690.36448952143962</v>
          </cell>
          <cell r="AF190">
            <v>1.7313131842749618</v>
          </cell>
          <cell r="AG190">
            <v>1.7416558664870649</v>
          </cell>
          <cell r="AH190">
            <v>1.7590543857166272</v>
          </cell>
          <cell r="AI190">
            <v>1.733071181079145</v>
          </cell>
          <cell r="AJ190">
            <v>1.7062255330266363</v>
          </cell>
          <cell r="BZ190">
            <v>1</v>
          </cell>
        </row>
        <row r="191">
          <cell r="C191" t="str">
            <v xml:space="preserve">BESS and hybrid generation facilities &gt;1.5 MW </v>
          </cell>
          <cell r="X191">
            <v>25470.684174354566</v>
          </cell>
          <cell r="Y191">
            <v>12293.855199877898</v>
          </cell>
          <cell r="Z191">
            <v>7443.2524336529586</v>
          </cell>
          <cell r="AA191">
            <v>8237.9953750380664</v>
          </cell>
          <cell r="AB191">
            <v>13156.668769795637</v>
          </cell>
          <cell r="AF191">
            <v>21515.842862561432</v>
          </cell>
          <cell r="AG191">
            <v>9276.8386091638622</v>
          </cell>
          <cell r="AH191">
            <v>4586.2255935614994</v>
          </cell>
          <cell r="AI191">
            <v>4382.2312230329326</v>
          </cell>
          <cell r="AJ191">
            <v>6994.8337901141458</v>
          </cell>
          <cell r="BZ191">
            <v>1</v>
          </cell>
        </row>
        <row r="192">
          <cell r="C192" t="str">
            <v>Data centre - 66/22kV line works incl. a new 66kV line</v>
          </cell>
          <cell r="X192">
            <v>10182.053816840256</v>
          </cell>
          <cell r="Y192">
            <v>10105.51035870429</v>
          </cell>
          <cell r="Z192">
            <v>10005.706446447874</v>
          </cell>
          <cell r="AA192">
            <v>4934.8646924483573</v>
          </cell>
          <cell r="AB192">
            <v>0</v>
          </cell>
          <cell r="AF192">
            <v>3876.5081936614733</v>
          </cell>
          <cell r="AG192">
            <v>3807.6347464438827</v>
          </cell>
          <cell r="AH192">
            <v>3745.7558451839095</v>
          </cell>
          <cell r="AI192">
            <v>1845.4266395789111</v>
          </cell>
          <cell r="AJ192">
            <v>0</v>
          </cell>
          <cell r="BZ192">
            <v>1</v>
          </cell>
        </row>
        <row r="193">
          <cell r="C193" t="str">
            <v>Data centre - Switching station</v>
          </cell>
          <cell r="X193">
            <v>0</v>
          </cell>
          <cell r="Y193">
            <v>0</v>
          </cell>
          <cell r="Z193">
            <v>2223.4903214328601</v>
          </cell>
          <cell r="AA193">
            <v>2193.2731966437141</v>
          </cell>
          <cell r="AB193">
            <v>0</v>
          </cell>
          <cell r="AF193">
            <v>0</v>
          </cell>
          <cell r="AG193">
            <v>0</v>
          </cell>
          <cell r="AH193">
            <v>832.39018781864672</v>
          </cell>
          <cell r="AI193">
            <v>820.18961759062722</v>
          </cell>
          <cell r="AJ193">
            <v>0</v>
          </cell>
          <cell r="BZ193">
            <v>1</v>
          </cell>
        </row>
        <row r="194">
          <cell r="C194" t="str">
            <v>EV charging stations</v>
          </cell>
          <cell r="X194">
            <v>3234.0951935624676</v>
          </cell>
          <cell r="Y194">
            <v>4448.1957900886637</v>
          </cell>
          <cell r="Z194">
            <v>5509.0639824008213</v>
          </cell>
          <cell r="AA194">
            <v>6869.0617617125044</v>
          </cell>
          <cell r="AB194">
            <v>8165.1309341517644</v>
          </cell>
          <cell r="AF194">
            <v>2106.9888957971725</v>
          </cell>
          <cell r="AG194">
            <v>2897.9663785729922</v>
          </cell>
          <cell r="AH194">
            <v>3589.1140929493108</v>
          </cell>
          <cell r="AI194">
            <v>4475.142502076651</v>
          </cell>
          <cell r="AJ194">
            <v>5319.5219006640127</v>
          </cell>
          <cell r="BZ194">
            <v>1</v>
          </cell>
        </row>
        <row r="195">
          <cell r="C195" t="str">
            <v>DoT Bus depot EV connections</v>
          </cell>
          <cell r="X195">
            <v>6867.7536178551354</v>
          </cell>
          <cell r="Y195">
            <v>6935.1415100052309</v>
          </cell>
          <cell r="Z195">
            <v>7005.3557293347394</v>
          </cell>
          <cell r="AA195">
            <v>7106.649900965208</v>
          </cell>
          <cell r="AB195">
            <v>7201.0109255808193</v>
          </cell>
          <cell r="AF195">
            <v>2056.2740000310309</v>
          </cell>
          <cell r="AG195">
            <v>2076.4506077335673</v>
          </cell>
          <cell r="AH195">
            <v>2097.4734460113377</v>
          </cell>
          <cell r="AI195">
            <v>2127.8019323066087</v>
          </cell>
          <cell r="AJ195">
            <v>2156.0545651659054</v>
          </cell>
          <cell r="BZ195">
            <v>1</v>
          </cell>
        </row>
        <row r="196">
          <cell r="C196" t="str">
            <v>Feeder augmentation - customer growth</v>
          </cell>
          <cell r="X196">
            <v>6082.0727541401193</v>
          </cell>
          <cell r="Y196">
            <v>6046.8079467299531</v>
          </cell>
          <cell r="Z196">
            <v>6050.03341685142</v>
          </cell>
          <cell r="AA196">
            <v>6102.4689305426036</v>
          </cell>
          <cell r="AB196">
            <v>6158.3147874570604</v>
          </cell>
          <cell r="AF196">
            <v>0</v>
          </cell>
          <cell r="AG196">
            <v>0</v>
          </cell>
          <cell r="AH196">
            <v>0</v>
          </cell>
          <cell r="AI196">
            <v>0</v>
          </cell>
          <cell r="AJ196">
            <v>0</v>
          </cell>
          <cell r="BZ196">
            <v>1</v>
          </cell>
        </row>
        <row r="197">
          <cell r="C197" t="str">
            <v>Construction insurance costs - Augex</v>
          </cell>
          <cell r="X197">
            <v>353.54194267488276</v>
          </cell>
          <cell r="Y197">
            <v>348.20373162538391</v>
          </cell>
          <cell r="Z197">
            <v>343.3448504147824</v>
          </cell>
          <cell r="AA197">
            <v>365.5756386274611</v>
          </cell>
          <cell r="AB197">
            <v>393.25241358855214</v>
          </cell>
          <cell r="AF197">
            <v>0</v>
          </cell>
          <cell r="AG197">
            <v>0</v>
          </cell>
          <cell r="AH197">
            <v>0</v>
          </cell>
          <cell r="AI197">
            <v>0</v>
          </cell>
          <cell r="AJ197">
            <v>0</v>
          </cell>
          <cell r="BZ197">
            <v>1</v>
          </cell>
        </row>
        <row r="198">
          <cell r="C198" t="str">
            <v>Construction insurance costs - Repex major projects</v>
          </cell>
          <cell r="X198">
            <v>230.67280217857081</v>
          </cell>
          <cell r="Y198">
            <v>279.31009879719232</v>
          </cell>
          <cell r="Z198">
            <v>314.41591281630468</v>
          </cell>
          <cell r="AA198">
            <v>320.87950846834627</v>
          </cell>
          <cell r="AB198">
            <v>321.19896246580942</v>
          </cell>
          <cell r="AF198">
            <v>0</v>
          </cell>
          <cell r="AG198">
            <v>0</v>
          </cell>
          <cell r="AH198">
            <v>0</v>
          </cell>
          <cell r="AI198">
            <v>0</v>
          </cell>
          <cell r="AJ198">
            <v>0</v>
          </cell>
          <cell r="BZ198">
            <v>1</v>
          </cell>
        </row>
        <row r="199">
          <cell r="C199" t="str">
            <v>Construction insurance costs - Net connections</v>
          </cell>
          <cell r="X199">
            <v>140.29339106220419</v>
          </cell>
          <cell r="Y199">
            <v>118.06438583817383</v>
          </cell>
          <cell r="Z199">
            <v>111.21418332680209</v>
          </cell>
          <cell r="AA199">
            <v>109.79271886707639</v>
          </cell>
          <cell r="AB199">
            <v>109.27012789960715</v>
          </cell>
          <cell r="AF199">
            <v>70.074398046013599</v>
          </cell>
          <cell r="AG199">
            <v>53.137169211656271</v>
          </cell>
          <cell r="AH199">
            <v>47.421982111403572</v>
          </cell>
          <cell r="AI199">
            <v>46.165880116269037</v>
          </cell>
          <cell r="AJ199">
            <v>46.421549998583586</v>
          </cell>
          <cell r="BZ199">
            <v>1</v>
          </cell>
        </row>
        <row r="200">
          <cell r="C200" t="str">
            <v/>
          </cell>
          <cell r="X200">
            <v>0</v>
          </cell>
          <cell r="Y200">
            <v>0</v>
          </cell>
          <cell r="Z200">
            <v>0</v>
          </cell>
          <cell r="AA200">
            <v>0</v>
          </cell>
          <cell r="AB200">
            <v>0</v>
          </cell>
          <cell r="AF200">
            <v>0</v>
          </cell>
          <cell r="AG200">
            <v>0</v>
          </cell>
          <cell r="AH200">
            <v>0</v>
          </cell>
          <cell r="AI200">
            <v>0</v>
          </cell>
          <cell r="AJ200">
            <v>0</v>
          </cell>
          <cell r="BZ200" t="str">
            <v/>
          </cell>
        </row>
        <row r="201">
          <cell r="C201" t="str">
            <v/>
          </cell>
          <cell r="X201">
            <v>0</v>
          </cell>
          <cell r="Y201">
            <v>0</v>
          </cell>
          <cell r="Z201">
            <v>0</v>
          </cell>
          <cell r="AA201">
            <v>0</v>
          </cell>
          <cell r="AB201">
            <v>0</v>
          </cell>
          <cell r="AF201">
            <v>0</v>
          </cell>
          <cell r="AG201">
            <v>0</v>
          </cell>
          <cell r="AH201">
            <v>0</v>
          </cell>
          <cell r="AI201">
            <v>0</v>
          </cell>
          <cell r="AJ201">
            <v>0</v>
          </cell>
          <cell r="BZ201" t="str">
            <v/>
          </cell>
        </row>
        <row r="202">
          <cell r="C202" t="str">
            <v/>
          </cell>
          <cell r="X202">
            <v>0</v>
          </cell>
          <cell r="Y202">
            <v>0</v>
          </cell>
          <cell r="Z202">
            <v>0</v>
          </cell>
          <cell r="AA202">
            <v>0</v>
          </cell>
          <cell r="AB202">
            <v>0</v>
          </cell>
          <cell r="AF202">
            <v>0</v>
          </cell>
          <cell r="AG202">
            <v>0</v>
          </cell>
          <cell r="AH202">
            <v>0</v>
          </cell>
          <cell r="AI202">
            <v>0</v>
          </cell>
          <cell r="AJ202">
            <v>0</v>
          </cell>
          <cell r="BZ202" t="str">
            <v/>
          </cell>
        </row>
        <row r="203">
          <cell r="C203" t="str">
            <v/>
          </cell>
          <cell r="X203">
            <v>0</v>
          </cell>
          <cell r="Y203">
            <v>0</v>
          </cell>
          <cell r="Z203">
            <v>0</v>
          </cell>
          <cell r="AA203">
            <v>0</v>
          </cell>
          <cell r="AB203">
            <v>0</v>
          </cell>
          <cell r="AF203">
            <v>0</v>
          </cell>
          <cell r="AG203">
            <v>0</v>
          </cell>
          <cell r="AH203">
            <v>0</v>
          </cell>
          <cell r="AI203">
            <v>0</v>
          </cell>
          <cell r="AJ203">
            <v>0</v>
          </cell>
          <cell r="BZ203" t="str">
            <v/>
          </cell>
        </row>
        <row r="204">
          <cell r="C204" t="str">
            <v/>
          </cell>
          <cell r="X204">
            <v>0</v>
          </cell>
          <cell r="Y204">
            <v>0</v>
          </cell>
          <cell r="Z204">
            <v>0</v>
          </cell>
          <cell r="AA204">
            <v>0</v>
          </cell>
          <cell r="AB204">
            <v>0</v>
          </cell>
          <cell r="AF204">
            <v>0</v>
          </cell>
          <cell r="AG204">
            <v>0</v>
          </cell>
          <cell r="AH204">
            <v>0</v>
          </cell>
          <cell r="AI204">
            <v>0</v>
          </cell>
          <cell r="AJ204">
            <v>0</v>
          </cell>
          <cell r="BZ204" t="str">
            <v/>
          </cell>
        </row>
        <row r="205">
          <cell r="C205" t="str">
            <v/>
          </cell>
          <cell r="X205">
            <v>0</v>
          </cell>
          <cell r="Y205">
            <v>0</v>
          </cell>
          <cell r="Z205">
            <v>0</v>
          </cell>
          <cell r="AA205">
            <v>0</v>
          </cell>
          <cell r="AB205">
            <v>0</v>
          </cell>
          <cell r="AF205">
            <v>0</v>
          </cell>
          <cell r="AG205">
            <v>0</v>
          </cell>
          <cell r="AH205">
            <v>0</v>
          </cell>
          <cell r="AI205">
            <v>0</v>
          </cell>
          <cell r="AJ205">
            <v>0</v>
          </cell>
          <cell r="BZ205" t="str">
            <v/>
          </cell>
        </row>
        <row r="206">
          <cell r="C206" t="str">
            <v/>
          </cell>
          <cell r="X206">
            <v>0</v>
          </cell>
          <cell r="Y206">
            <v>0</v>
          </cell>
          <cell r="Z206">
            <v>0</v>
          </cell>
          <cell r="AA206">
            <v>0</v>
          </cell>
          <cell r="AB206">
            <v>0</v>
          </cell>
          <cell r="AF206">
            <v>0</v>
          </cell>
          <cell r="AG206">
            <v>0</v>
          </cell>
          <cell r="AH206">
            <v>0</v>
          </cell>
          <cell r="AI206">
            <v>0</v>
          </cell>
          <cell r="AJ206">
            <v>0</v>
          </cell>
          <cell r="BZ206" t="str">
            <v/>
          </cell>
        </row>
        <row r="207">
          <cell r="C207" t="str">
            <v/>
          </cell>
          <cell r="X207">
            <v>0</v>
          </cell>
          <cell r="Y207">
            <v>0</v>
          </cell>
          <cell r="Z207">
            <v>0</v>
          </cell>
          <cell r="AA207">
            <v>0</v>
          </cell>
          <cell r="AB207">
            <v>0</v>
          </cell>
          <cell r="AF207">
            <v>0</v>
          </cell>
          <cell r="AG207">
            <v>0</v>
          </cell>
          <cell r="AH207">
            <v>0</v>
          </cell>
          <cell r="AI207">
            <v>0</v>
          </cell>
          <cell r="AJ207">
            <v>0</v>
          </cell>
          <cell r="BZ207" t="str">
            <v/>
          </cell>
        </row>
        <row r="208">
          <cell r="C208" t="str">
            <v/>
          </cell>
          <cell r="X208">
            <v>0</v>
          </cell>
          <cell r="Y208">
            <v>0</v>
          </cell>
          <cell r="Z208">
            <v>0</v>
          </cell>
          <cell r="AA208">
            <v>0</v>
          </cell>
          <cell r="AB208">
            <v>0</v>
          </cell>
          <cell r="AF208">
            <v>0</v>
          </cell>
          <cell r="AG208">
            <v>0</v>
          </cell>
          <cell r="AH208">
            <v>0</v>
          </cell>
          <cell r="AI208">
            <v>0</v>
          </cell>
          <cell r="AJ208">
            <v>0</v>
          </cell>
          <cell r="BZ208" t="str">
            <v/>
          </cell>
        </row>
        <row r="209">
          <cell r="C209" t="str">
            <v/>
          </cell>
          <cell r="X209">
            <v>0</v>
          </cell>
          <cell r="Y209">
            <v>0</v>
          </cell>
          <cell r="Z209">
            <v>0</v>
          </cell>
          <cell r="AA209">
            <v>0</v>
          </cell>
          <cell r="AB209">
            <v>0</v>
          </cell>
          <cell r="AF209">
            <v>0</v>
          </cell>
          <cell r="AG209">
            <v>0</v>
          </cell>
          <cell r="AH209">
            <v>0</v>
          </cell>
          <cell r="AI209">
            <v>0</v>
          </cell>
          <cell r="AJ209">
            <v>0</v>
          </cell>
          <cell r="BZ209" t="str">
            <v/>
          </cell>
        </row>
        <row r="210">
          <cell r="C210" t="str">
            <v/>
          </cell>
          <cell r="X210">
            <v>0</v>
          </cell>
          <cell r="Y210">
            <v>0</v>
          </cell>
          <cell r="Z210">
            <v>0</v>
          </cell>
          <cell r="AA210">
            <v>0</v>
          </cell>
          <cell r="AB210">
            <v>0</v>
          </cell>
          <cell r="AF210">
            <v>0</v>
          </cell>
          <cell r="AG210">
            <v>0</v>
          </cell>
          <cell r="AH210">
            <v>0</v>
          </cell>
          <cell r="AI210">
            <v>0</v>
          </cell>
          <cell r="AJ210">
            <v>0</v>
          </cell>
          <cell r="BZ210" t="str">
            <v/>
          </cell>
        </row>
        <row r="211">
          <cell r="C211" t="str">
            <v/>
          </cell>
          <cell r="X211">
            <v>0</v>
          </cell>
          <cell r="Y211">
            <v>0</v>
          </cell>
          <cell r="Z211">
            <v>0</v>
          </cell>
          <cell r="AA211">
            <v>0</v>
          </cell>
          <cell r="AB211">
            <v>0</v>
          </cell>
          <cell r="AF211">
            <v>0</v>
          </cell>
          <cell r="AG211">
            <v>0</v>
          </cell>
          <cell r="AH211">
            <v>0</v>
          </cell>
          <cell r="AI211">
            <v>0</v>
          </cell>
          <cell r="AJ211">
            <v>0</v>
          </cell>
          <cell r="BZ211" t="str">
            <v/>
          </cell>
        </row>
        <row r="212">
          <cell r="C212" t="str">
            <v/>
          </cell>
          <cell r="X212">
            <v>0</v>
          </cell>
          <cell r="Y212">
            <v>0</v>
          </cell>
          <cell r="Z212">
            <v>0</v>
          </cell>
          <cell r="AA212">
            <v>0</v>
          </cell>
          <cell r="AB212">
            <v>0</v>
          </cell>
          <cell r="AF212">
            <v>0</v>
          </cell>
          <cell r="AG212">
            <v>0</v>
          </cell>
          <cell r="AH212">
            <v>0</v>
          </cell>
          <cell r="AI212">
            <v>0</v>
          </cell>
          <cell r="AJ212">
            <v>0</v>
          </cell>
          <cell r="BZ212" t="str">
            <v/>
          </cell>
        </row>
        <row r="213">
          <cell r="C213" t="str">
            <v/>
          </cell>
          <cell r="X213">
            <v>0</v>
          </cell>
          <cell r="Y213">
            <v>0</v>
          </cell>
          <cell r="Z213">
            <v>0</v>
          </cell>
          <cell r="AA213">
            <v>0</v>
          </cell>
          <cell r="AB213">
            <v>0</v>
          </cell>
          <cell r="AF213">
            <v>0</v>
          </cell>
          <cell r="AG213">
            <v>0</v>
          </cell>
          <cell r="AH213">
            <v>0</v>
          </cell>
          <cell r="AI213">
            <v>0</v>
          </cell>
          <cell r="AJ213">
            <v>0</v>
          </cell>
          <cell r="BZ213" t="str">
            <v/>
          </cell>
        </row>
        <row r="214">
          <cell r="C214" t="str">
            <v/>
          </cell>
          <cell r="X214">
            <v>0</v>
          </cell>
          <cell r="Y214">
            <v>0</v>
          </cell>
          <cell r="Z214">
            <v>0</v>
          </cell>
          <cell r="AA214">
            <v>0</v>
          </cell>
          <cell r="AB214">
            <v>0</v>
          </cell>
          <cell r="AF214">
            <v>0</v>
          </cell>
          <cell r="AG214">
            <v>0</v>
          </cell>
          <cell r="AH214">
            <v>0</v>
          </cell>
          <cell r="AI214">
            <v>0</v>
          </cell>
          <cell r="AJ214">
            <v>0</v>
          </cell>
          <cell r="BZ214" t="str">
            <v/>
          </cell>
        </row>
        <row r="215">
          <cell r="C215" t="str">
            <v/>
          </cell>
          <cell r="X215">
            <v>0</v>
          </cell>
          <cell r="Y215">
            <v>0</v>
          </cell>
          <cell r="Z215">
            <v>0</v>
          </cell>
          <cell r="AA215">
            <v>0</v>
          </cell>
          <cell r="AB215">
            <v>0</v>
          </cell>
          <cell r="AF215">
            <v>0</v>
          </cell>
          <cell r="AG215">
            <v>0</v>
          </cell>
          <cell r="AH215">
            <v>0</v>
          </cell>
          <cell r="AI215">
            <v>0</v>
          </cell>
          <cell r="AJ215">
            <v>0</v>
          </cell>
          <cell r="BZ215" t="str">
            <v/>
          </cell>
        </row>
        <row r="216">
          <cell r="C216" t="str">
            <v/>
          </cell>
          <cell r="X216">
            <v>0</v>
          </cell>
          <cell r="Y216">
            <v>0</v>
          </cell>
          <cell r="Z216">
            <v>0</v>
          </cell>
          <cell r="AA216">
            <v>0</v>
          </cell>
          <cell r="AB216">
            <v>0</v>
          </cell>
          <cell r="AF216">
            <v>0</v>
          </cell>
          <cell r="AG216">
            <v>0</v>
          </cell>
          <cell r="AH216">
            <v>0</v>
          </cell>
          <cell r="AI216">
            <v>0</v>
          </cell>
          <cell r="AJ216">
            <v>0</v>
          </cell>
          <cell r="BZ216" t="str">
            <v/>
          </cell>
        </row>
        <row r="217">
          <cell r="C217" t="str">
            <v/>
          </cell>
          <cell r="X217">
            <v>0</v>
          </cell>
          <cell r="Y217">
            <v>0</v>
          </cell>
          <cell r="Z217">
            <v>0</v>
          </cell>
          <cell r="AA217">
            <v>0</v>
          </cell>
          <cell r="AB217">
            <v>0</v>
          </cell>
          <cell r="AF217">
            <v>0</v>
          </cell>
          <cell r="AG217">
            <v>0</v>
          </cell>
          <cell r="AH217">
            <v>0</v>
          </cell>
          <cell r="AI217">
            <v>0</v>
          </cell>
          <cell r="AJ217">
            <v>0</v>
          </cell>
          <cell r="BZ217" t="str">
            <v/>
          </cell>
        </row>
        <row r="218">
          <cell r="C218" t="str">
            <v/>
          </cell>
          <cell r="X218">
            <v>0</v>
          </cell>
          <cell r="Y218">
            <v>0</v>
          </cell>
          <cell r="Z218">
            <v>0</v>
          </cell>
          <cell r="AA218">
            <v>0</v>
          </cell>
          <cell r="AB218">
            <v>0</v>
          </cell>
          <cell r="AF218">
            <v>0</v>
          </cell>
          <cell r="AG218">
            <v>0</v>
          </cell>
          <cell r="AH218">
            <v>0</v>
          </cell>
          <cell r="AI218">
            <v>0</v>
          </cell>
          <cell r="AJ218">
            <v>0</v>
          </cell>
          <cell r="BZ218" t="str">
            <v/>
          </cell>
        </row>
        <row r="219">
          <cell r="C219" t="str">
            <v/>
          </cell>
          <cell r="X219">
            <v>0</v>
          </cell>
          <cell r="Y219">
            <v>0</v>
          </cell>
          <cell r="Z219">
            <v>0</v>
          </cell>
          <cell r="AA219">
            <v>0</v>
          </cell>
          <cell r="AB219">
            <v>0</v>
          </cell>
          <cell r="AF219">
            <v>0</v>
          </cell>
          <cell r="AG219">
            <v>0</v>
          </cell>
          <cell r="AH219">
            <v>0</v>
          </cell>
          <cell r="AI219">
            <v>0</v>
          </cell>
          <cell r="AJ219">
            <v>0</v>
          </cell>
          <cell r="BZ219" t="str">
            <v/>
          </cell>
        </row>
        <row r="220">
          <cell r="C220" t="str">
            <v/>
          </cell>
          <cell r="X220">
            <v>0</v>
          </cell>
          <cell r="Y220">
            <v>0</v>
          </cell>
          <cell r="Z220">
            <v>0</v>
          </cell>
          <cell r="AA220">
            <v>0</v>
          </cell>
          <cell r="AB220">
            <v>0</v>
          </cell>
          <cell r="AF220">
            <v>0</v>
          </cell>
          <cell r="AG220">
            <v>0</v>
          </cell>
          <cell r="AH220">
            <v>0</v>
          </cell>
          <cell r="AI220">
            <v>0</v>
          </cell>
          <cell r="AJ220">
            <v>0</v>
          </cell>
          <cell r="BZ220" t="str">
            <v/>
          </cell>
        </row>
        <row r="221">
          <cell r="C221" t="str">
            <v/>
          </cell>
          <cell r="X221">
            <v>0</v>
          </cell>
          <cell r="Y221">
            <v>0</v>
          </cell>
          <cell r="Z221">
            <v>0</v>
          </cell>
          <cell r="AA221">
            <v>0</v>
          </cell>
          <cell r="AB221">
            <v>0</v>
          </cell>
          <cell r="AF221">
            <v>0</v>
          </cell>
          <cell r="AG221">
            <v>0</v>
          </cell>
          <cell r="AH221">
            <v>0</v>
          </cell>
          <cell r="AI221">
            <v>0</v>
          </cell>
          <cell r="AJ221">
            <v>0</v>
          </cell>
          <cell r="BZ221" t="str">
            <v/>
          </cell>
        </row>
        <row r="222">
          <cell r="C222" t="str">
            <v/>
          </cell>
          <cell r="X222">
            <v>0</v>
          </cell>
          <cell r="Y222">
            <v>0</v>
          </cell>
          <cell r="Z222">
            <v>0</v>
          </cell>
          <cell r="AA222">
            <v>0</v>
          </cell>
          <cell r="AB222">
            <v>0</v>
          </cell>
          <cell r="AF222">
            <v>0</v>
          </cell>
          <cell r="AG222">
            <v>0</v>
          </cell>
          <cell r="AH222">
            <v>0</v>
          </cell>
          <cell r="AI222">
            <v>0</v>
          </cell>
          <cell r="AJ222">
            <v>0</v>
          </cell>
          <cell r="BZ222" t="str">
            <v/>
          </cell>
        </row>
        <row r="223">
          <cell r="C223" t="str">
            <v/>
          </cell>
          <cell r="X223">
            <v>0</v>
          </cell>
          <cell r="Y223">
            <v>0</v>
          </cell>
          <cell r="Z223">
            <v>0</v>
          </cell>
          <cell r="AA223">
            <v>0</v>
          </cell>
          <cell r="AB223">
            <v>0</v>
          </cell>
          <cell r="AF223">
            <v>0</v>
          </cell>
          <cell r="AG223">
            <v>0</v>
          </cell>
          <cell r="AH223">
            <v>0</v>
          </cell>
          <cell r="AI223">
            <v>0</v>
          </cell>
          <cell r="AJ223">
            <v>0</v>
          </cell>
          <cell r="BZ223" t="str">
            <v/>
          </cell>
        </row>
        <row r="224">
          <cell r="C224" t="str">
            <v/>
          </cell>
          <cell r="X224">
            <v>0</v>
          </cell>
          <cell r="Y224">
            <v>0</v>
          </cell>
          <cell r="Z224">
            <v>0</v>
          </cell>
          <cell r="AA224">
            <v>0</v>
          </cell>
          <cell r="AB224">
            <v>0</v>
          </cell>
          <cell r="AF224">
            <v>0</v>
          </cell>
          <cell r="AG224">
            <v>0</v>
          </cell>
          <cell r="AH224">
            <v>0</v>
          </cell>
          <cell r="AI224">
            <v>0</v>
          </cell>
          <cell r="AJ224">
            <v>0</v>
          </cell>
          <cell r="BZ224" t="str">
            <v/>
          </cell>
        </row>
        <row r="225">
          <cell r="C225" t="str">
            <v/>
          </cell>
          <cell r="X225">
            <v>0</v>
          </cell>
          <cell r="Y225">
            <v>0</v>
          </cell>
          <cell r="Z225">
            <v>0</v>
          </cell>
          <cell r="AA225">
            <v>0</v>
          </cell>
          <cell r="AB225">
            <v>0</v>
          </cell>
          <cell r="AF225">
            <v>0</v>
          </cell>
          <cell r="AG225">
            <v>0</v>
          </cell>
          <cell r="AH225">
            <v>0</v>
          </cell>
          <cell r="AI225">
            <v>0</v>
          </cell>
          <cell r="AJ225">
            <v>0</v>
          </cell>
          <cell r="BZ225" t="str">
            <v/>
          </cell>
        </row>
        <row r="226">
          <cell r="C226" t="str">
            <v/>
          </cell>
          <cell r="X226">
            <v>0</v>
          </cell>
          <cell r="Y226">
            <v>0</v>
          </cell>
          <cell r="Z226">
            <v>0</v>
          </cell>
          <cell r="AA226">
            <v>0</v>
          </cell>
          <cell r="AB226">
            <v>0</v>
          </cell>
          <cell r="AF226">
            <v>0</v>
          </cell>
          <cell r="AG226">
            <v>0</v>
          </cell>
          <cell r="AH226">
            <v>0</v>
          </cell>
          <cell r="AI226">
            <v>0</v>
          </cell>
          <cell r="AJ226">
            <v>0</v>
          </cell>
          <cell r="BZ226" t="str">
            <v/>
          </cell>
        </row>
        <row r="227">
          <cell r="C227" t="str">
            <v/>
          </cell>
          <cell r="X227">
            <v>0</v>
          </cell>
          <cell r="Y227">
            <v>0</v>
          </cell>
          <cell r="Z227">
            <v>0</v>
          </cell>
          <cell r="AA227">
            <v>0</v>
          </cell>
          <cell r="AB227">
            <v>0</v>
          </cell>
          <cell r="AF227">
            <v>0</v>
          </cell>
          <cell r="AG227">
            <v>0</v>
          </cell>
          <cell r="AH227">
            <v>0</v>
          </cell>
          <cell r="AI227">
            <v>0</v>
          </cell>
          <cell r="AJ227">
            <v>0</v>
          </cell>
          <cell r="BZ227" t="str">
            <v/>
          </cell>
        </row>
        <row r="228">
          <cell r="C228" t="str">
            <v/>
          </cell>
          <cell r="X228">
            <v>0</v>
          </cell>
          <cell r="Y228">
            <v>0</v>
          </cell>
          <cell r="Z228">
            <v>0</v>
          </cell>
          <cell r="AA228">
            <v>0</v>
          </cell>
          <cell r="AB228">
            <v>0</v>
          </cell>
          <cell r="AF228">
            <v>0</v>
          </cell>
          <cell r="AG228">
            <v>0</v>
          </cell>
          <cell r="AH228">
            <v>0</v>
          </cell>
          <cell r="AI228">
            <v>0</v>
          </cell>
          <cell r="AJ228">
            <v>0</v>
          </cell>
          <cell r="BZ228" t="str">
            <v/>
          </cell>
        </row>
        <row r="229">
          <cell r="C229" t="str">
            <v/>
          </cell>
          <cell r="X229">
            <v>0</v>
          </cell>
          <cell r="Y229">
            <v>0</v>
          </cell>
          <cell r="Z229">
            <v>0</v>
          </cell>
          <cell r="AA229">
            <v>0</v>
          </cell>
          <cell r="AB229">
            <v>0</v>
          </cell>
          <cell r="AF229">
            <v>0</v>
          </cell>
          <cell r="AG229">
            <v>0</v>
          </cell>
          <cell r="AH229">
            <v>0</v>
          </cell>
          <cell r="AI229">
            <v>0</v>
          </cell>
          <cell r="AJ229">
            <v>0</v>
          </cell>
          <cell r="BZ229" t="str">
            <v/>
          </cell>
        </row>
        <row r="230">
          <cell r="C230" t="str">
            <v/>
          </cell>
          <cell r="X230">
            <v>0</v>
          </cell>
          <cell r="Y230">
            <v>0</v>
          </cell>
          <cell r="Z230">
            <v>0</v>
          </cell>
          <cell r="AA230">
            <v>0</v>
          </cell>
          <cell r="AB230">
            <v>0</v>
          </cell>
          <cell r="AF230">
            <v>0</v>
          </cell>
          <cell r="AG230">
            <v>0</v>
          </cell>
          <cell r="AH230">
            <v>0</v>
          </cell>
          <cell r="AI230">
            <v>0</v>
          </cell>
          <cell r="AJ230">
            <v>0</v>
          </cell>
          <cell r="BZ230" t="str">
            <v/>
          </cell>
        </row>
        <row r="231">
          <cell r="C231" t="str">
            <v/>
          </cell>
          <cell r="X231">
            <v>0</v>
          </cell>
          <cell r="Y231">
            <v>0</v>
          </cell>
          <cell r="Z231">
            <v>0</v>
          </cell>
          <cell r="AA231">
            <v>0</v>
          </cell>
          <cell r="AB231">
            <v>0</v>
          </cell>
          <cell r="AF231">
            <v>0</v>
          </cell>
          <cell r="AG231">
            <v>0</v>
          </cell>
          <cell r="AH231">
            <v>0</v>
          </cell>
          <cell r="AI231">
            <v>0</v>
          </cell>
          <cell r="AJ231">
            <v>0</v>
          </cell>
          <cell r="BZ231" t="str">
            <v/>
          </cell>
        </row>
        <row r="232">
          <cell r="C232" t="str">
            <v/>
          </cell>
          <cell r="X232">
            <v>0</v>
          </cell>
          <cell r="Y232">
            <v>0</v>
          </cell>
          <cell r="Z232">
            <v>0</v>
          </cell>
          <cell r="AA232">
            <v>0</v>
          </cell>
          <cell r="AB232">
            <v>0</v>
          </cell>
          <cell r="AF232">
            <v>0</v>
          </cell>
          <cell r="AG232">
            <v>0</v>
          </cell>
          <cell r="AH232">
            <v>0</v>
          </cell>
          <cell r="AI232">
            <v>0</v>
          </cell>
          <cell r="AJ232">
            <v>0</v>
          </cell>
          <cell r="BZ232" t="str">
            <v/>
          </cell>
        </row>
        <row r="233">
          <cell r="C233" t="str">
            <v/>
          </cell>
          <cell r="X233">
            <v>0</v>
          </cell>
          <cell r="Y233">
            <v>0</v>
          </cell>
          <cell r="Z233">
            <v>0</v>
          </cell>
          <cell r="AA233">
            <v>0</v>
          </cell>
          <cell r="AB233">
            <v>0</v>
          </cell>
          <cell r="AF233">
            <v>0</v>
          </cell>
          <cell r="AG233">
            <v>0</v>
          </cell>
          <cell r="AH233">
            <v>0</v>
          </cell>
          <cell r="AI233">
            <v>0</v>
          </cell>
          <cell r="AJ233">
            <v>0</v>
          </cell>
          <cell r="BZ233" t="str">
            <v/>
          </cell>
        </row>
        <row r="234">
          <cell r="C234" t="str">
            <v/>
          </cell>
          <cell r="X234">
            <v>0</v>
          </cell>
          <cell r="Y234">
            <v>0</v>
          </cell>
          <cell r="Z234">
            <v>0</v>
          </cell>
          <cell r="AA234">
            <v>0</v>
          </cell>
          <cell r="AB234">
            <v>0</v>
          </cell>
          <cell r="AF234">
            <v>0</v>
          </cell>
          <cell r="AG234">
            <v>0</v>
          </cell>
          <cell r="AH234">
            <v>0</v>
          </cell>
          <cell r="AI234">
            <v>0</v>
          </cell>
          <cell r="AJ234">
            <v>0</v>
          </cell>
          <cell r="BZ234" t="str">
            <v/>
          </cell>
        </row>
        <row r="235">
          <cell r="C235" t="str">
            <v/>
          </cell>
          <cell r="X235">
            <v>0</v>
          </cell>
          <cell r="Y235">
            <v>0</v>
          </cell>
          <cell r="Z235">
            <v>0</v>
          </cell>
          <cell r="AA235">
            <v>0</v>
          </cell>
          <cell r="AB235">
            <v>0</v>
          </cell>
          <cell r="AF235">
            <v>0</v>
          </cell>
          <cell r="AG235">
            <v>0</v>
          </cell>
          <cell r="AH235">
            <v>0</v>
          </cell>
          <cell r="AI235">
            <v>0</v>
          </cell>
          <cell r="AJ235">
            <v>0</v>
          </cell>
          <cell r="BZ235" t="str">
            <v/>
          </cell>
        </row>
        <row r="236">
          <cell r="C236" t="str">
            <v/>
          </cell>
          <cell r="X236">
            <v>0</v>
          </cell>
          <cell r="Y236">
            <v>0</v>
          </cell>
          <cell r="Z236">
            <v>0</v>
          </cell>
          <cell r="AA236">
            <v>0</v>
          </cell>
          <cell r="AB236">
            <v>0</v>
          </cell>
          <cell r="AF236">
            <v>0</v>
          </cell>
          <cell r="AG236">
            <v>0</v>
          </cell>
          <cell r="AH236">
            <v>0</v>
          </cell>
          <cell r="AI236">
            <v>0</v>
          </cell>
          <cell r="AJ236">
            <v>0</v>
          </cell>
          <cell r="BZ236" t="str">
            <v/>
          </cell>
        </row>
        <row r="237">
          <cell r="C237" t="str">
            <v/>
          </cell>
          <cell r="X237">
            <v>0</v>
          </cell>
          <cell r="Y237">
            <v>0</v>
          </cell>
          <cell r="Z237">
            <v>0</v>
          </cell>
          <cell r="AA237">
            <v>0</v>
          </cell>
          <cell r="AB237">
            <v>0</v>
          </cell>
          <cell r="AF237">
            <v>0</v>
          </cell>
          <cell r="AG237">
            <v>0</v>
          </cell>
          <cell r="AH237">
            <v>0</v>
          </cell>
          <cell r="AI237">
            <v>0</v>
          </cell>
          <cell r="AJ237">
            <v>0</v>
          </cell>
          <cell r="BZ237" t="str">
            <v/>
          </cell>
        </row>
        <row r="238">
          <cell r="C238" t="str">
            <v/>
          </cell>
          <cell r="X238">
            <v>0</v>
          </cell>
          <cell r="Y238">
            <v>0</v>
          </cell>
          <cell r="Z238">
            <v>0</v>
          </cell>
          <cell r="AA238">
            <v>0</v>
          </cell>
          <cell r="AB238">
            <v>0</v>
          </cell>
          <cell r="AF238">
            <v>0</v>
          </cell>
          <cell r="AG238">
            <v>0</v>
          </cell>
          <cell r="AH238">
            <v>0</v>
          </cell>
          <cell r="AI238">
            <v>0</v>
          </cell>
          <cell r="AJ238">
            <v>0</v>
          </cell>
          <cell r="BZ238" t="str">
            <v/>
          </cell>
        </row>
        <row r="239">
          <cell r="C239" t="str">
            <v/>
          </cell>
          <cell r="X239">
            <v>0</v>
          </cell>
          <cell r="Y239">
            <v>0</v>
          </cell>
          <cell r="Z239">
            <v>0</v>
          </cell>
          <cell r="AA239">
            <v>0</v>
          </cell>
          <cell r="AB239">
            <v>0</v>
          </cell>
          <cell r="AF239">
            <v>0</v>
          </cell>
          <cell r="AG239">
            <v>0</v>
          </cell>
          <cell r="AH239">
            <v>0</v>
          </cell>
          <cell r="AI239">
            <v>0</v>
          </cell>
          <cell r="AJ239">
            <v>0</v>
          </cell>
          <cell r="BZ239" t="str">
            <v/>
          </cell>
        </row>
        <row r="240">
          <cell r="C240" t="str">
            <v/>
          </cell>
          <cell r="X240">
            <v>0</v>
          </cell>
          <cell r="Y240">
            <v>0</v>
          </cell>
          <cell r="Z240">
            <v>0</v>
          </cell>
          <cell r="AA240">
            <v>0</v>
          </cell>
          <cell r="AB240">
            <v>0</v>
          </cell>
          <cell r="AF240">
            <v>0</v>
          </cell>
          <cell r="AG240">
            <v>0</v>
          </cell>
          <cell r="AH240">
            <v>0</v>
          </cell>
          <cell r="AI240">
            <v>0</v>
          </cell>
          <cell r="AJ240">
            <v>0</v>
          </cell>
          <cell r="BZ240" t="str">
            <v/>
          </cell>
        </row>
        <row r="241">
          <cell r="C241" t="str">
            <v/>
          </cell>
          <cell r="X241">
            <v>0</v>
          </cell>
          <cell r="Y241">
            <v>0</v>
          </cell>
          <cell r="Z241">
            <v>0</v>
          </cell>
          <cell r="AA241">
            <v>0</v>
          </cell>
          <cell r="AB241">
            <v>0</v>
          </cell>
          <cell r="AF241">
            <v>0</v>
          </cell>
          <cell r="AG241">
            <v>0</v>
          </cell>
          <cell r="AH241">
            <v>0</v>
          </cell>
          <cell r="AI241">
            <v>0</v>
          </cell>
          <cell r="AJ241">
            <v>0</v>
          </cell>
          <cell r="BZ241" t="str">
            <v/>
          </cell>
        </row>
        <row r="242">
          <cell r="C242" t="str">
            <v/>
          </cell>
          <cell r="X242">
            <v>0</v>
          </cell>
          <cell r="Y242">
            <v>0</v>
          </cell>
          <cell r="Z242">
            <v>0</v>
          </cell>
          <cell r="AA242">
            <v>0</v>
          </cell>
          <cell r="AB242">
            <v>0</v>
          </cell>
          <cell r="AF242">
            <v>0</v>
          </cell>
          <cell r="AG242">
            <v>0</v>
          </cell>
          <cell r="AH242">
            <v>0</v>
          </cell>
          <cell r="AI242">
            <v>0</v>
          </cell>
          <cell r="AJ242">
            <v>0</v>
          </cell>
          <cell r="BZ242" t="str">
            <v/>
          </cell>
        </row>
        <row r="243">
          <cell r="C243" t="str">
            <v/>
          </cell>
          <cell r="X243">
            <v>0</v>
          </cell>
          <cell r="Y243">
            <v>0</v>
          </cell>
          <cell r="Z243">
            <v>0</v>
          </cell>
          <cell r="AA243">
            <v>0</v>
          </cell>
          <cell r="AB243">
            <v>0</v>
          </cell>
          <cell r="AF243">
            <v>0</v>
          </cell>
          <cell r="AG243">
            <v>0</v>
          </cell>
          <cell r="AH243">
            <v>0</v>
          </cell>
          <cell r="AI243">
            <v>0</v>
          </cell>
          <cell r="AJ243">
            <v>0</v>
          </cell>
          <cell r="BZ243" t="str">
            <v/>
          </cell>
        </row>
        <row r="244">
          <cell r="C244" t="str">
            <v/>
          </cell>
          <cell r="X244">
            <v>0</v>
          </cell>
          <cell r="Y244">
            <v>0</v>
          </cell>
          <cell r="Z244">
            <v>0</v>
          </cell>
          <cell r="AA244">
            <v>0</v>
          </cell>
          <cell r="AB244">
            <v>0</v>
          </cell>
          <cell r="AF244">
            <v>0</v>
          </cell>
          <cell r="AG244">
            <v>0</v>
          </cell>
          <cell r="AH244">
            <v>0</v>
          </cell>
          <cell r="AI244">
            <v>0</v>
          </cell>
          <cell r="AJ244">
            <v>0</v>
          </cell>
          <cell r="BZ244" t="str">
            <v/>
          </cell>
        </row>
        <row r="245">
          <cell r="C245" t="str">
            <v/>
          </cell>
          <cell r="X245">
            <v>0</v>
          </cell>
          <cell r="Y245">
            <v>0</v>
          </cell>
          <cell r="Z245">
            <v>0</v>
          </cell>
          <cell r="AA245">
            <v>0</v>
          </cell>
          <cell r="AB245">
            <v>0</v>
          </cell>
          <cell r="AF245">
            <v>0</v>
          </cell>
          <cell r="AG245">
            <v>0</v>
          </cell>
          <cell r="AH245">
            <v>0</v>
          </cell>
          <cell r="AI245">
            <v>0</v>
          </cell>
          <cell r="AJ245">
            <v>0</v>
          </cell>
          <cell r="BZ245" t="str">
            <v/>
          </cell>
        </row>
        <row r="246">
          <cell r="C246" t="str">
            <v/>
          </cell>
          <cell r="X246">
            <v>0</v>
          </cell>
          <cell r="Y246">
            <v>0</v>
          </cell>
          <cell r="Z246">
            <v>0</v>
          </cell>
          <cell r="AA246">
            <v>0</v>
          </cell>
          <cell r="AB246">
            <v>0</v>
          </cell>
          <cell r="AF246">
            <v>0</v>
          </cell>
          <cell r="AG246">
            <v>0</v>
          </cell>
          <cell r="AH246">
            <v>0</v>
          </cell>
          <cell r="AI246">
            <v>0</v>
          </cell>
          <cell r="AJ246">
            <v>0</v>
          </cell>
          <cell r="BZ246" t="str">
            <v/>
          </cell>
        </row>
        <row r="247">
          <cell r="C247" t="str">
            <v/>
          </cell>
          <cell r="X247">
            <v>0</v>
          </cell>
          <cell r="Y247">
            <v>0</v>
          </cell>
          <cell r="Z247">
            <v>0</v>
          </cell>
          <cell r="AA247">
            <v>0</v>
          </cell>
          <cell r="AB247">
            <v>0</v>
          </cell>
          <cell r="AF247">
            <v>0</v>
          </cell>
          <cell r="AG247">
            <v>0</v>
          </cell>
          <cell r="AH247">
            <v>0</v>
          </cell>
          <cell r="AI247">
            <v>0</v>
          </cell>
          <cell r="AJ247">
            <v>0</v>
          </cell>
          <cell r="BZ247" t="str">
            <v/>
          </cell>
        </row>
        <row r="248">
          <cell r="C248" t="str">
            <v/>
          </cell>
          <cell r="X248">
            <v>0</v>
          </cell>
          <cell r="Y248">
            <v>0</v>
          </cell>
          <cell r="Z248">
            <v>0</v>
          </cell>
          <cell r="AA248">
            <v>0</v>
          </cell>
          <cell r="AB248">
            <v>0</v>
          </cell>
          <cell r="AF248">
            <v>0</v>
          </cell>
          <cell r="AG248">
            <v>0</v>
          </cell>
          <cell r="AH248">
            <v>0</v>
          </cell>
          <cell r="AI248">
            <v>0</v>
          </cell>
          <cell r="AJ248">
            <v>0</v>
          </cell>
          <cell r="BZ248" t="str">
            <v/>
          </cell>
        </row>
        <row r="249">
          <cell r="C249" t="str">
            <v/>
          </cell>
          <cell r="X249">
            <v>0</v>
          </cell>
          <cell r="Y249">
            <v>0</v>
          </cell>
          <cell r="Z249">
            <v>0</v>
          </cell>
          <cell r="AA249">
            <v>0</v>
          </cell>
          <cell r="AB249">
            <v>0</v>
          </cell>
          <cell r="AF249">
            <v>0</v>
          </cell>
          <cell r="AG249">
            <v>0</v>
          </cell>
          <cell r="AH249">
            <v>0</v>
          </cell>
          <cell r="AI249">
            <v>0</v>
          </cell>
          <cell r="AJ249">
            <v>0</v>
          </cell>
          <cell r="BZ249" t="str">
            <v/>
          </cell>
        </row>
        <row r="250">
          <cell r="C250" t="str">
            <v/>
          </cell>
          <cell r="X250">
            <v>0</v>
          </cell>
          <cell r="Y250">
            <v>0</v>
          </cell>
          <cell r="Z250">
            <v>0</v>
          </cell>
          <cell r="AA250">
            <v>0</v>
          </cell>
          <cell r="AB250">
            <v>0</v>
          </cell>
          <cell r="AF250">
            <v>0</v>
          </cell>
          <cell r="AG250">
            <v>0</v>
          </cell>
          <cell r="AH250">
            <v>0</v>
          </cell>
          <cell r="AI250">
            <v>0</v>
          </cell>
          <cell r="AJ250">
            <v>0</v>
          </cell>
          <cell r="BZ250" t="str">
            <v/>
          </cell>
        </row>
        <row r="251">
          <cell r="C251" t="str">
            <v/>
          </cell>
          <cell r="X251">
            <v>0</v>
          </cell>
          <cell r="Y251">
            <v>0</v>
          </cell>
          <cell r="Z251">
            <v>0</v>
          </cell>
          <cell r="AA251">
            <v>0</v>
          </cell>
          <cell r="AB251">
            <v>0</v>
          </cell>
          <cell r="AF251">
            <v>0</v>
          </cell>
          <cell r="AG251">
            <v>0</v>
          </cell>
          <cell r="AH251">
            <v>0</v>
          </cell>
          <cell r="AI251">
            <v>0</v>
          </cell>
          <cell r="AJ251">
            <v>0</v>
          </cell>
          <cell r="BZ251" t="str">
            <v/>
          </cell>
        </row>
        <row r="252">
          <cell r="C252" t="str">
            <v/>
          </cell>
          <cell r="X252">
            <v>0</v>
          </cell>
          <cell r="Y252">
            <v>0</v>
          </cell>
          <cell r="Z252">
            <v>0</v>
          </cell>
          <cell r="AA252">
            <v>0</v>
          </cell>
          <cell r="AB252">
            <v>0</v>
          </cell>
          <cell r="AF252">
            <v>0</v>
          </cell>
          <cell r="AG252">
            <v>0</v>
          </cell>
          <cell r="AH252">
            <v>0</v>
          </cell>
          <cell r="AI252">
            <v>0</v>
          </cell>
          <cell r="AJ252">
            <v>0</v>
          </cell>
          <cell r="BZ252" t="str">
            <v/>
          </cell>
        </row>
        <row r="253">
          <cell r="C253" t="str">
            <v/>
          </cell>
          <cell r="X253">
            <v>0</v>
          </cell>
          <cell r="Y253">
            <v>0</v>
          </cell>
          <cell r="Z253">
            <v>0</v>
          </cell>
          <cell r="AA253">
            <v>0</v>
          </cell>
          <cell r="AB253">
            <v>0</v>
          </cell>
          <cell r="AF253">
            <v>0</v>
          </cell>
          <cell r="AG253">
            <v>0</v>
          </cell>
          <cell r="AH253">
            <v>0</v>
          </cell>
          <cell r="AI253">
            <v>0</v>
          </cell>
          <cell r="AJ253">
            <v>0</v>
          </cell>
          <cell r="BZ253" t="str">
            <v/>
          </cell>
        </row>
        <row r="254">
          <cell r="C254" t="str">
            <v/>
          </cell>
          <cell r="X254">
            <v>0</v>
          </cell>
          <cell r="Y254">
            <v>0</v>
          </cell>
          <cell r="Z254">
            <v>0</v>
          </cell>
          <cell r="AA254">
            <v>0</v>
          </cell>
          <cell r="AB254">
            <v>0</v>
          </cell>
          <cell r="AF254">
            <v>0</v>
          </cell>
          <cell r="AG254">
            <v>0</v>
          </cell>
          <cell r="AH254">
            <v>0</v>
          </cell>
          <cell r="AI254">
            <v>0</v>
          </cell>
          <cell r="AJ254">
            <v>0</v>
          </cell>
          <cell r="BZ254" t="str">
            <v/>
          </cell>
        </row>
        <row r="255">
          <cell r="C255" t="str">
            <v/>
          </cell>
          <cell r="X255">
            <v>0</v>
          </cell>
          <cell r="Y255">
            <v>0</v>
          </cell>
          <cell r="Z255">
            <v>0</v>
          </cell>
          <cell r="AA255">
            <v>0</v>
          </cell>
          <cell r="AB255">
            <v>0</v>
          </cell>
          <cell r="AF255">
            <v>0</v>
          </cell>
          <cell r="AG255">
            <v>0</v>
          </cell>
          <cell r="AH255">
            <v>0</v>
          </cell>
          <cell r="AI255">
            <v>0</v>
          </cell>
          <cell r="AJ255">
            <v>0</v>
          </cell>
          <cell r="BZ255" t="str">
            <v/>
          </cell>
        </row>
        <row r="256">
          <cell r="C256" t="str">
            <v/>
          </cell>
          <cell r="X256">
            <v>0</v>
          </cell>
          <cell r="Y256">
            <v>0</v>
          </cell>
          <cell r="Z256">
            <v>0</v>
          </cell>
          <cell r="AA256">
            <v>0</v>
          </cell>
          <cell r="AB256">
            <v>0</v>
          </cell>
          <cell r="AF256">
            <v>0</v>
          </cell>
          <cell r="AG256">
            <v>0</v>
          </cell>
          <cell r="AH256">
            <v>0</v>
          </cell>
          <cell r="AI256">
            <v>0</v>
          </cell>
          <cell r="AJ256">
            <v>0</v>
          </cell>
          <cell r="BZ256" t="str">
            <v/>
          </cell>
        </row>
        <row r="257">
          <cell r="C257" t="str">
            <v/>
          </cell>
          <cell r="X257">
            <v>0</v>
          </cell>
          <cell r="Y257">
            <v>0</v>
          </cell>
          <cell r="Z257">
            <v>0</v>
          </cell>
          <cell r="AA257">
            <v>0</v>
          </cell>
          <cell r="AB257">
            <v>0</v>
          </cell>
          <cell r="AF257">
            <v>0</v>
          </cell>
          <cell r="AG257">
            <v>0</v>
          </cell>
          <cell r="AH257">
            <v>0</v>
          </cell>
          <cell r="AI257">
            <v>0</v>
          </cell>
          <cell r="AJ257">
            <v>0</v>
          </cell>
          <cell r="BZ257" t="str">
            <v/>
          </cell>
        </row>
        <row r="258">
          <cell r="C258" t="str">
            <v/>
          </cell>
          <cell r="X258">
            <v>0</v>
          </cell>
          <cell r="Y258">
            <v>0</v>
          </cell>
          <cell r="Z258">
            <v>0</v>
          </cell>
          <cell r="AA258">
            <v>0</v>
          </cell>
          <cell r="AB258">
            <v>0</v>
          </cell>
          <cell r="AF258">
            <v>0</v>
          </cell>
          <cell r="AG258">
            <v>0</v>
          </cell>
          <cell r="AH258">
            <v>0</v>
          </cell>
          <cell r="AI258">
            <v>0</v>
          </cell>
          <cell r="AJ258">
            <v>0</v>
          </cell>
          <cell r="BZ258" t="str">
            <v/>
          </cell>
        </row>
        <row r="259">
          <cell r="C259" t="str">
            <v/>
          </cell>
          <cell r="X259">
            <v>0</v>
          </cell>
          <cell r="Y259">
            <v>0</v>
          </cell>
          <cell r="Z259">
            <v>0</v>
          </cell>
          <cell r="AA259">
            <v>0</v>
          </cell>
          <cell r="AB259">
            <v>0</v>
          </cell>
          <cell r="AF259">
            <v>0</v>
          </cell>
          <cell r="AG259">
            <v>0</v>
          </cell>
          <cell r="AH259">
            <v>0</v>
          </cell>
          <cell r="AI259">
            <v>0</v>
          </cell>
          <cell r="AJ259">
            <v>0</v>
          </cell>
          <cell r="BZ259" t="str">
            <v/>
          </cell>
        </row>
        <row r="260">
          <cell r="C260" t="str">
            <v/>
          </cell>
          <cell r="X260">
            <v>0</v>
          </cell>
          <cell r="Y260">
            <v>0</v>
          </cell>
          <cell r="Z260">
            <v>0</v>
          </cell>
          <cell r="AA260">
            <v>0</v>
          </cell>
          <cell r="AB260">
            <v>0</v>
          </cell>
          <cell r="AF260">
            <v>0</v>
          </cell>
          <cell r="AG260">
            <v>0</v>
          </cell>
          <cell r="AH260">
            <v>0</v>
          </cell>
          <cell r="AI260">
            <v>0</v>
          </cell>
          <cell r="AJ260">
            <v>0</v>
          </cell>
          <cell r="BZ260" t="str">
            <v/>
          </cell>
        </row>
        <row r="261">
          <cell r="C261" t="str">
            <v/>
          </cell>
          <cell r="X261">
            <v>0</v>
          </cell>
          <cell r="Y261">
            <v>0</v>
          </cell>
          <cell r="Z261">
            <v>0</v>
          </cell>
          <cell r="AA261">
            <v>0</v>
          </cell>
          <cell r="AB261">
            <v>0</v>
          </cell>
          <cell r="AF261">
            <v>0</v>
          </cell>
          <cell r="AG261">
            <v>0</v>
          </cell>
          <cell r="AH261">
            <v>0</v>
          </cell>
          <cell r="AI261">
            <v>0</v>
          </cell>
          <cell r="AJ261">
            <v>0</v>
          </cell>
          <cell r="BZ261" t="str">
            <v/>
          </cell>
        </row>
        <row r="262">
          <cell r="C262" t="str">
            <v/>
          </cell>
          <cell r="X262">
            <v>0</v>
          </cell>
          <cell r="Y262">
            <v>0</v>
          </cell>
          <cell r="Z262">
            <v>0</v>
          </cell>
          <cell r="AA262">
            <v>0</v>
          </cell>
          <cell r="AB262">
            <v>0</v>
          </cell>
          <cell r="AF262">
            <v>0</v>
          </cell>
          <cell r="AG262">
            <v>0</v>
          </cell>
          <cell r="AH262">
            <v>0</v>
          </cell>
          <cell r="AI262">
            <v>0</v>
          </cell>
          <cell r="AJ262">
            <v>0</v>
          </cell>
          <cell r="BZ262" t="str">
            <v/>
          </cell>
        </row>
        <row r="263">
          <cell r="C263" t="str">
            <v/>
          </cell>
          <cell r="X263">
            <v>0</v>
          </cell>
          <cell r="Y263">
            <v>0</v>
          </cell>
          <cell r="Z263">
            <v>0</v>
          </cell>
          <cell r="AA263">
            <v>0</v>
          </cell>
          <cell r="AB263">
            <v>0</v>
          </cell>
          <cell r="AF263">
            <v>0</v>
          </cell>
          <cell r="AG263">
            <v>0</v>
          </cell>
          <cell r="AH263">
            <v>0</v>
          </cell>
          <cell r="AI263">
            <v>0</v>
          </cell>
          <cell r="AJ263">
            <v>0</v>
          </cell>
          <cell r="BZ263" t="str">
            <v/>
          </cell>
        </row>
        <row r="264">
          <cell r="C264" t="str">
            <v/>
          </cell>
          <cell r="X264">
            <v>0</v>
          </cell>
          <cell r="Y264">
            <v>0</v>
          </cell>
          <cell r="Z264">
            <v>0</v>
          </cell>
          <cell r="AA264">
            <v>0</v>
          </cell>
          <cell r="AB264">
            <v>0</v>
          </cell>
          <cell r="AF264">
            <v>0</v>
          </cell>
          <cell r="AG264">
            <v>0</v>
          </cell>
          <cell r="AH264">
            <v>0</v>
          </cell>
          <cell r="AI264">
            <v>0</v>
          </cell>
          <cell r="AJ264">
            <v>0</v>
          </cell>
          <cell r="BZ264" t="str">
            <v/>
          </cell>
        </row>
        <row r="265">
          <cell r="C265" t="str">
            <v/>
          </cell>
          <cell r="X265">
            <v>0</v>
          </cell>
          <cell r="Y265">
            <v>0</v>
          </cell>
          <cell r="Z265">
            <v>0</v>
          </cell>
          <cell r="AA265">
            <v>0</v>
          </cell>
          <cell r="AB265">
            <v>0</v>
          </cell>
          <cell r="AF265">
            <v>0</v>
          </cell>
          <cell r="AG265">
            <v>0</v>
          </cell>
          <cell r="AH265">
            <v>0</v>
          </cell>
          <cell r="AI265">
            <v>0</v>
          </cell>
          <cell r="AJ265">
            <v>0</v>
          </cell>
          <cell r="BZ265" t="str">
            <v/>
          </cell>
        </row>
        <row r="266">
          <cell r="C266" t="str">
            <v/>
          </cell>
          <cell r="X266">
            <v>0</v>
          </cell>
          <cell r="Y266">
            <v>0</v>
          </cell>
          <cell r="Z266">
            <v>0</v>
          </cell>
          <cell r="AA266">
            <v>0</v>
          </cell>
          <cell r="AB266">
            <v>0</v>
          </cell>
          <cell r="AF266">
            <v>0</v>
          </cell>
          <cell r="AG266">
            <v>0</v>
          </cell>
          <cell r="AH266">
            <v>0</v>
          </cell>
          <cell r="AI266">
            <v>0</v>
          </cell>
          <cell r="AJ266">
            <v>0</v>
          </cell>
          <cell r="BZ266" t="str">
            <v/>
          </cell>
        </row>
        <row r="267">
          <cell r="C267" t="str">
            <v/>
          </cell>
          <cell r="X267">
            <v>0</v>
          </cell>
          <cell r="Y267">
            <v>0</v>
          </cell>
          <cell r="Z267">
            <v>0</v>
          </cell>
          <cell r="AA267">
            <v>0</v>
          </cell>
          <cell r="AB267">
            <v>0</v>
          </cell>
          <cell r="AF267">
            <v>0</v>
          </cell>
          <cell r="AG267">
            <v>0</v>
          </cell>
          <cell r="AH267">
            <v>0</v>
          </cell>
          <cell r="AI267">
            <v>0</v>
          </cell>
          <cell r="AJ267">
            <v>0</v>
          </cell>
          <cell r="BZ267" t="str">
            <v/>
          </cell>
        </row>
        <row r="268">
          <cell r="C268" t="str">
            <v/>
          </cell>
          <cell r="X268">
            <v>0</v>
          </cell>
          <cell r="Y268">
            <v>0</v>
          </cell>
          <cell r="Z268">
            <v>0</v>
          </cell>
          <cell r="AA268">
            <v>0</v>
          </cell>
          <cell r="AB268">
            <v>0</v>
          </cell>
          <cell r="AF268">
            <v>0</v>
          </cell>
          <cell r="AG268">
            <v>0</v>
          </cell>
          <cell r="AH268">
            <v>0</v>
          </cell>
          <cell r="AI268">
            <v>0</v>
          </cell>
          <cell r="AJ268">
            <v>0</v>
          </cell>
          <cell r="BZ268" t="str">
            <v/>
          </cell>
        </row>
        <row r="269">
          <cell r="C269" t="str">
            <v/>
          </cell>
          <cell r="X269">
            <v>0</v>
          </cell>
          <cell r="Y269">
            <v>0</v>
          </cell>
          <cell r="Z269">
            <v>0</v>
          </cell>
          <cell r="AA269">
            <v>0</v>
          </cell>
          <cell r="AB269">
            <v>0</v>
          </cell>
          <cell r="AF269">
            <v>0</v>
          </cell>
          <cell r="AG269">
            <v>0</v>
          </cell>
          <cell r="AH269">
            <v>0</v>
          </cell>
          <cell r="AI269">
            <v>0</v>
          </cell>
          <cell r="AJ269">
            <v>0</v>
          </cell>
          <cell r="BZ269" t="str">
            <v/>
          </cell>
        </row>
        <row r="270">
          <cell r="C270" t="str">
            <v/>
          </cell>
          <cell r="X270">
            <v>0</v>
          </cell>
          <cell r="Y270">
            <v>0</v>
          </cell>
          <cell r="Z270">
            <v>0</v>
          </cell>
          <cell r="AA270">
            <v>0</v>
          </cell>
          <cell r="AB270">
            <v>0</v>
          </cell>
          <cell r="AF270">
            <v>0</v>
          </cell>
          <cell r="AG270">
            <v>0</v>
          </cell>
          <cell r="AH270">
            <v>0</v>
          </cell>
          <cell r="AI270">
            <v>0</v>
          </cell>
          <cell r="AJ270">
            <v>0</v>
          </cell>
          <cell r="BZ270" t="str">
            <v/>
          </cell>
        </row>
        <row r="271">
          <cell r="C271" t="str">
            <v/>
          </cell>
          <cell r="X271">
            <v>0</v>
          </cell>
          <cell r="Y271">
            <v>0</v>
          </cell>
          <cell r="Z271">
            <v>0</v>
          </cell>
          <cell r="AA271">
            <v>0</v>
          </cell>
          <cell r="AB271">
            <v>0</v>
          </cell>
          <cell r="AF271">
            <v>0</v>
          </cell>
          <cell r="AG271">
            <v>0</v>
          </cell>
          <cell r="AH271">
            <v>0</v>
          </cell>
          <cell r="AI271">
            <v>0</v>
          </cell>
          <cell r="AJ271">
            <v>0</v>
          </cell>
          <cell r="BZ271" t="str">
            <v/>
          </cell>
        </row>
        <row r="272">
          <cell r="C272" t="str">
            <v/>
          </cell>
          <cell r="X272">
            <v>0</v>
          </cell>
          <cell r="Y272">
            <v>0</v>
          </cell>
          <cell r="Z272">
            <v>0</v>
          </cell>
          <cell r="AA272">
            <v>0</v>
          </cell>
          <cell r="AB272">
            <v>0</v>
          </cell>
          <cell r="AF272">
            <v>0</v>
          </cell>
          <cell r="AG272">
            <v>0</v>
          </cell>
          <cell r="AH272">
            <v>0</v>
          </cell>
          <cell r="AI272">
            <v>0</v>
          </cell>
          <cell r="AJ272">
            <v>0</v>
          </cell>
          <cell r="BZ272" t="str">
            <v/>
          </cell>
        </row>
        <row r="273">
          <cell r="C273" t="str">
            <v/>
          </cell>
          <cell r="X273">
            <v>0</v>
          </cell>
          <cell r="Y273">
            <v>0</v>
          </cell>
          <cell r="Z273">
            <v>0</v>
          </cell>
          <cell r="AA273">
            <v>0</v>
          </cell>
          <cell r="AB273">
            <v>0</v>
          </cell>
          <cell r="AF273">
            <v>0</v>
          </cell>
          <cell r="AG273">
            <v>0</v>
          </cell>
          <cell r="AH273">
            <v>0</v>
          </cell>
          <cell r="AI273">
            <v>0</v>
          </cell>
          <cell r="AJ273">
            <v>0</v>
          </cell>
          <cell r="BZ273" t="str">
            <v/>
          </cell>
        </row>
        <row r="274">
          <cell r="C274" t="str">
            <v/>
          </cell>
          <cell r="X274">
            <v>0</v>
          </cell>
          <cell r="Y274">
            <v>0</v>
          </cell>
          <cell r="Z274">
            <v>0</v>
          </cell>
          <cell r="AA274">
            <v>0</v>
          </cell>
          <cell r="AB274">
            <v>0</v>
          </cell>
          <cell r="AF274">
            <v>0</v>
          </cell>
          <cell r="AG274">
            <v>0</v>
          </cell>
          <cell r="AH274">
            <v>0</v>
          </cell>
          <cell r="AI274">
            <v>0</v>
          </cell>
          <cell r="AJ274">
            <v>0</v>
          </cell>
          <cell r="BZ274" t="str">
            <v/>
          </cell>
        </row>
        <row r="275">
          <cell r="C275" t="str">
            <v/>
          </cell>
          <cell r="X275">
            <v>0</v>
          </cell>
          <cell r="Y275">
            <v>0</v>
          </cell>
          <cell r="Z275">
            <v>0</v>
          </cell>
          <cell r="AA275">
            <v>0</v>
          </cell>
          <cell r="AB275">
            <v>0</v>
          </cell>
          <cell r="AF275">
            <v>0</v>
          </cell>
          <cell r="AG275">
            <v>0</v>
          </cell>
          <cell r="AH275">
            <v>0</v>
          </cell>
          <cell r="AI275">
            <v>0</v>
          </cell>
          <cell r="AJ275">
            <v>0</v>
          </cell>
          <cell r="BZ275" t="str">
            <v/>
          </cell>
        </row>
        <row r="276">
          <cell r="C276" t="str">
            <v/>
          </cell>
          <cell r="X276">
            <v>0</v>
          </cell>
          <cell r="Y276">
            <v>0</v>
          </cell>
          <cell r="Z276">
            <v>0</v>
          </cell>
          <cell r="AA276">
            <v>0</v>
          </cell>
          <cell r="AB276">
            <v>0</v>
          </cell>
          <cell r="AF276">
            <v>0</v>
          </cell>
          <cell r="AG276">
            <v>0</v>
          </cell>
          <cell r="AH276">
            <v>0</v>
          </cell>
          <cell r="AI276">
            <v>0</v>
          </cell>
          <cell r="AJ276">
            <v>0</v>
          </cell>
          <cell r="BZ276" t="str">
            <v/>
          </cell>
        </row>
        <row r="277">
          <cell r="C277" t="str">
            <v/>
          </cell>
          <cell r="X277">
            <v>0</v>
          </cell>
          <cell r="Y277">
            <v>0</v>
          </cell>
          <cell r="Z277">
            <v>0</v>
          </cell>
          <cell r="AA277">
            <v>0</v>
          </cell>
          <cell r="AB277">
            <v>0</v>
          </cell>
          <cell r="AF277">
            <v>0</v>
          </cell>
          <cell r="AG277">
            <v>0</v>
          </cell>
          <cell r="AH277">
            <v>0</v>
          </cell>
          <cell r="AI277">
            <v>0</v>
          </cell>
          <cell r="AJ277">
            <v>0</v>
          </cell>
          <cell r="BZ277" t="str">
            <v/>
          </cell>
        </row>
        <row r="278">
          <cell r="C278" t="str">
            <v/>
          </cell>
          <cell r="X278">
            <v>0</v>
          </cell>
          <cell r="Y278">
            <v>0</v>
          </cell>
          <cell r="Z278">
            <v>0</v>
          </cell>
          <cell r="AA278">
            <v>0</v>
          </cell>
          <cell r="AB278">
            <v>0</v>
          </cell>
          <cell r="AF278">
            <v>0</v>
          </cell>
          <cell r="AG278">
            <v>0</v>
          </cell>
          <cell r="AH278">
            <v>0</v>
          </cell>
          <cell r="AI278">
            <v>0</v>
          </cell>
          <cell r="AJ278">
            <v>0</v>
          </cell>
          <cell r="BZ278" t="str">
            <v/>
          </cell>
        </row>
        <row r="279">
          <cell r="C279" t="str">
            <v/>
          </cell>
          <cell r="X279">
            <v>0</v>
          </cell>
          <cell r="Y279">
            <v>0</v>
          </cell>
          <cell r="Z279">
            <v>0</v>
          </cell>
          <cell r="AA279">
            <v>0</v>
          </cell>
          <cell r="AB279">
            <v>0</v>
          </cell>
          <cell r="AF279">
            <v>0</v>
          </cell>
          <cell r="AG279">
            <v>0</v>
          </cell>
          <cell r="AH279">
            <v>0</v>
          </cell>
          <cell r="AI279">
            <v>0</v>
          </cell>
          <cell r="AJ279">
            <v>0</v>
          </cell>
          <cell r="BZ279" t="str">
            <v/>
          </cell>
        </row>
        <row r="280">
          <cell r="C280" t="str">
            <v/>
          </cell>
          <cell r="X280">
            <v>0</v>
          </cell>
          <cell r="Y280">
            <v>0</v>
          </cell>
          <cell r="Z280">
            <v>0</v>
          </cell>
          <cell r="AA280">
            <v>0</v>
          </cell>
          <cell r="AB280">
            <v>0</v>
          </cell>
          <cell r="AF280">
            <v>0</v>
          </cell>
          <cell r="AG280">
            <v>0</v>
          </cell>
          <cell r="AH280">
            <v>0</v>
          </cell>
          <cell r="AI280">
            <v>0</v>
          </cell>
          <cell r="AJ280">
            <v>0</v>
          </cell>
          <cell r="BZ280" t="str">
            <v/>
          </cell>
        </row>
        <row r="281">
          <cell r="C281" t="str">
            <v/>
          </cell>
          <cell r="X281">
            <v>0</v>
          </cell>
          <cell r="Y281">
            <v>0</v>
          </cell>
          <cell r="Z281">
            <v>0</v>
          </cell>
          <cell r="AA281">
            <v>0</v>
          </cell>
          <cell r="AB281">
            <v>0</v>
          </cell>
          <cell r="AF281">
            <v>0</v>
          </cell>
          <cell r="AG281">
            <v>0</v>
          </cell>
          <cell r="AH281">
            <v>0</v>
          </cell>
          <cell r="AI281">
            <v>0</v>
          </cell>
          <cell r="AJ281">
            <v>0</v>
          </cell>
          <cell r="BZ281" t="str">
            <v/>
          </cell>
        </row>
        <row r="282">
          <cell r="C282" t="str">
            <v/>
          </cell>
          <cell r="X282">
            <v>0</v>
          </cell>
          <cell r="Y282">
            <v>0</v>
          </cell>
          <cell r="Z282">
            <v>0</v>
          </cell>
          <cell r="AA282">
            <v>0</v>
          </cell>
          <cell r="AB282">
            <v>0</v>
          </cell>
          <cell r="AF282">
            <v>0</v>
          </cell>
          <cell r="AG282">
            <v>0</v>
          </cell>
          <cell r="AH282">
            <v>0</v>
          </cell>
          <cell r="AI282">
            <v>0</v>
          </cell>
          <cell r="AJ282">
            <v>0</v>
          </cell>
          <cell r="BZ282" t="str">
            <v/>
          </cell>
        </row>
        <row r="283">
          <cell r="C283" t="str">
            <v/>
          </cell>
          <cell r="X283">
            <v>0</v>
          </cell>
          <cell r="Y283">
            <v>0</v>
          </cell>
          <cell r="Z283">
            <v>0</v>
          </cell>
          <cell r="AA283">
            <v>0</v>
          </cell>
          <cell r="AB283">
            <v>0</v>
          </cell>
          <cell r="AF283">
            <v>0</v>
          </cell>
          <cell r="AG283">
            <v>0</v>
          </cell>
          <cell r="AH283">
            <v>0</v>
          </cell>
          <cell r="AI283">
            <v>0</v>
          </cell>
          <cell r="AJ283">
            <v>0</v>
          </cell>
          <cell r="BZ283" t="str">
            <v/>
          </cell>
        </row>
        <row r="284">
          <cell r="C284" t="str">
            <v/>
          </cell>
          <cell r="X284">
            <v>0</v>
          </cell>
          <cell r="Y284">
            <v>0</v>
          </cell>
          <cell r="Z284">
            <v>0</v>
          </cell>
          <cell r="AA284">
            <v>0</v>
          </cell>
          <cell r="AB284">
            <v>0</v>
          </cell>
          <cell r="AF284">
            <v>0</v>
          </cell>
          <cell r="AG284">
            <v>0</v>
          </cell>
          <cell r="AH284">
            <v>0</v>
          </cell>
          <cell r="AI284">
            <v>0</v>
          </cell>
          <cell r="AJ284">
            <v>0</v>
          </cell>
          <cell r="BZ284" t="str">
            <v/>
          </cell>
        </row>
        <row r="285">
          <cell r="C285" t="str">
            <v/>
          </cell>
          <cell r="X285">
            <v>0</v>
          </cell>
          <cell r="Y285">
            <v>0</v>
          </cell>
          <cell r="Z285">
            <v>0</v>
          </cell>
          <cell r="AA285">
            <v>0</v>
          </cell>
          <cell r="AB285">
            <v>0</v>
          </cell>
          <cell r="AF285">
            <v>0</v>
          </cell>
          <cell r="AG285">
            <v>0</v>
          </cell>
          <cell r="AH285">
            <v>0</v>
          </cell>
          <cell r="AI285">
            <v>0</v>
          </cell>
          <cell r="AJ285">
            <v>0</v>
          </cell>
          <cell r="BZ285" t="str">
            <v/>
          </cell>
        </row>
        <row r="286">
          <cell r="C286" t="str">
            <v/>
          </cell>
          <cell r="X286">
            <v>0</v>
          </cell>
          <cell r="Y286">
            <v>0</v>
          </cell>
          <cell r="Z286">
            <v>0</v>
          </cell>
          <cell r="AA286">
            <v>0</v>
          </cell>
          <cell r="AB286">
            <v>0</v>
          </cell>
          <cell r="AF286">
            <v>0</v>
          </cell>
          <cell r="AG286">
            <v>0</v>
          </cell>
          <cell r="AH286">
            <v>0</v>
          </cell>
          <cell r="AI286">
            <v>0</v>
          </cell>
          <cell r="AJ286">
            <v>0</v>
          </cell>
          <cell r="BZ286" t="str">
            <v/>
          </cell>
        </row>
        <row r="287">
          <cell r="C287" t="str">
            <v/>
          </cell>
          <cell r="X287">
            <v>0</v>
          </cell>
          <cell r="Y287">
            <v>0</v>
          </cell>
          <cell r="Z287">
            <v>0</v>
          </cell>
          <cell r="AA287">
            <v>0</v>
          </cell>
          <cell r="AB287">
            <v>0</v>
          </cell>
          <cell r="AF287">
            <v>0</v>
          </cell>
          <cell r="AG287">
            <v>0</v>
          </cell>
          <cell r="AH287">
            <v>0</v>
          </cell>
          <cell r="AI287">
            <v>0</v>
          </cell>
          <cell r="AJ287">
            <v>0</v>
          </cell>
          <cell r="BZ287" t="str">
            <v/>
          </cell>
        </row>
        <row r="288">
          <cell r="C288" t="str">
            <v/>
          </cell>
          <cell r="X288">
            <v>0</v>
          </cell>
          <cell r="Y288">
            <v>0</v>
          </cell>
          <cell r="Z288">
            <v>0</v>
          </cell>
          <cell r="AA288">
            <v>0</v>
          </cell>
          <cell r="AB288">
            <v>0</v>
          </cell>
          <cell r="AF288">
            <v>0</v>
          </cell>
          <cell r="AG288">
            <v>0</v>
          </cell>
          <cell r="AH288">
            <v>0</v>
          </cell>
          <cell r="AI288">
            <v>0</v>
          </cell>
          <cell r="AJ288">
            <v>0</v>
          </cell>
          <cell r="BZ288" t="str">
            <v/>
          </cell>
        </row>
        <row r="289">
          <cell r="C289" t="str">
            <v/>
          </cell>
          <cell r="X289">
            <v>0</v>
          </cell>
          <cell r="Y289">
            <v>0</v>
          </cell>
          <cell r="Z289">
            <v>0</v>
          </cell>
          <cell r="AA289">
            <v>0</v>
          </cell>
          <cell r="AB289">
            <v>0</v>
          </cell>
          <cell r="AF289">
            <v>0</v>
          </cell>
          <cell r="AG289">
            <v>0</v>
          </cell>
          <cell r="AH289">
            <v>0</v>
          </cell>
          <cell r="AI289">
            <v>0</v>
          </cell>
          <cell r="AJ289">
            <v>0</v>
          </cell>
          <cell r="BZ289" t="str">
            <v/>
          </cell>
        </row>
        <row r="290">
          <cell r="C290" t="str">
            <v/>
          </cell>
          <cell r="X290">
            <v>0</v>
          </cell>
          <cell r="Y290">
            <v>0</v>
          </cell>
          <cell r="Z290">
            <v>0</v>
          </cell>
          <cell r="AA290">
            <v>0</v>
          </cell>
          <cell r="AB290">
            <v>0</v>
          </cell>
          <cell r="AF290">
            <v>0</v>
          </cell>
          <cell r="AG290">
            <v>0</v>
          </cell>
          <cell r="AH290">
            <v>0</v>
          </cell>
          <cell r="AI290">
            <v>0</v>
          </cell>
          <cell r="AJ290">
            <v>0</v>
          </cell>
          <cell r="BZ290" t="str">
            <v/>
          </cell>
        </row>
        <row r="291">
          <cell r="C291" t="str">
            <v/>
          </cell>
          <cell r="X291">
            <v>0</v>
          </cell>
          <cell r="Y291">
            <v>0</v>
          </cell>
          <cell r="Z291">
            <v>0</v>
          </cell>
          <cell r="AA291">
            <v>0</v>
          </cell>
          <cell r="AB291">
            <v>0</v>
          </cell>
          <cell r="AF291">
            <v>0</v>
          </cell>
          <cell r="AG291">
            <v>0</v>
          </cell>
          <cell r="AH291">
            <v>0</v>
          </cell>
          <cell r="AI291">
            <v>0</v>
          </cell>
          <cell r="AJ291">
            <v>0</v>
          </cell>
          <cell r="BZ291" t="str">
            <v/>
          </cell>
        </row>
        <row r="292">
          <cell r="C292" t="str">
            <v/>
          </cell>
          <cell r="X292">
            <v>0</v>
          </cell>
          <cell r="Y292">
            <v>0</v>
          </cell>
          <cell r="Z292">
            <v>0</v>
          </cell>
          <cell r="AA292">
            <v>0</v>
          </cell>
          <cell r="AB292">
            <v>0</v>
          </cell>
          <cell r="AF292">
            <v>0</v>
          </cell>
          <cell r="AG292">
            <v>0</v>
          </cell>
          <cell r="AH292">
            <v>0</v>
          </cell>
          <cell r="AI292">
            <v>0</v>
          </cell>
          <cell r="AJ292">
            <v>0</v>
          </cell>
          <cell r="BZ292" t="str">
            <v/>
          </cell>
        </row>
        <row r="293">
          <cell r="C293" t="str">
            <v/>
          </cell>
          <cell r="X293">
            <v>0</v>
          </cell>
          <cell r="Y293">
            <v>0</v>
          </cell>
          <cell r="Z293">
            <v>0</v>
          </cell>
          <cell r="AA293">
            <v>0</v>
          </cell>
          <cell r="AB293">
            <v>0</v>
          </cell>
          <cell r="AF293">
            <v>0</v>
          </cell>
          <cell r="AG293">
            <v>0</v>
          </cell>
          <cell r="AH293">
            <v>0</v>
          </cell>
          <cell r="AI293">
            <v>0</v>
          </cell>
          <cell r="AJ293">
            <v>0</v>
          </cell>
          <cell r="BZ293" t="str">
            <v/>
          </cell>
        </row>
        <row r="294">
          <cell r="C294" t="str">
            <v/>
          </cell>
          <cell r="X294">
            <v>0</v>
          </cell>
          <cell r="Y294">
            <v>0</v>
          </cell>
          <cell r="Z294">
            <v>0</v>
          </cell>
          <cell r="AA294">
            <v>0</v>
          </cell>
          <cell r="AB294">
            <v>0</v>
          </cell>
          <cell r="AF294">
            <v>0</v>
          </cell>
          <cell r="AG294">
            <v>0</v>
          </cell>
          <cell r="AH294">
            <v>0</v>
          </cell>
          <cell r="AI294">
            <v>0</v>
          </cell>
          <cell r="AJ294">
            <v>0</v>
          </cell>
          <cell r="BZ294" t="str">
            <v/>
          </cell>
        </row>
        <row r="295">
          <cell r="C295" t="str">
            <v/>
          </cell>
          <cell r="X295">
            <v>0</v>
          </cell>
          <cell r="Y295">
            <v>0</v>
          </cell>
          <cell r="Z295">
            <v>0</v>
          </cell>
          <cell r="AA295">
            <v>0</v>
          </cell>
          <cell r="AB295">
            <v>0</v>
          </cell>
          <cell r="AF295">
            <v>0</v>
          </cell>
          <cell r="AG295">
            <v>0</v>
          </cell>
          <cell r="AH295">
            <v>0</v>
          </cell>
          <cell r="AI295">
            <v>0</v>
          </cell>
          <cell r="AJ295">
            <v>0</v>
          </cell>
          <cell r="BZ295" t="str">
            <v/>
          </cell>
        </row>
        <row r="296">
          <cell r="C296" t="str">
            <v/>
          </cell>
          <cell r="X296">
            <v>0</v>
          </cell>
          <cell r="Y296">
            <v>0</v>
          </cell>
          <cell r="Z296">
            <v>0</v>
          </cell>
          <cell r="AA296">
            <v>0</v>
          </cell>
          <cell r="AB296">
            <v>0</v>
          </cell>
          <cell r="AF296">
            <v>0</v>
          </cell>
          <cell r="AG296">
            <v>0</v>
          </cell>
          <cell r="AH296">
            <v>0</v>
          </cell>
          <cell r="AI296">
            <v>0</v>
          </cell>
          <cell r="AJ296">
            <v>0</v>
          </cell>
          <cell r="BZ296" t="str">
            <v/>
          </cell>
        </row>
        <row r="297">
          <cell r="C297" t="str">
            <v/>
          </cell>
          <cell r="X297">
            <v>0</v>
          </cell>
          <cell r="Y297">
            <v>0</v>
          </cell>
          <cell r="Z297">
            <v>0</v>
          </cell>
          <cell r="AA297">
            <v>0</v>
          </cell>
          <cell r="AB297">
            <v>0</v>
          </cell>
          <cell r="AF297">
            <v>0</v>
          </cell>
          <cell r="AG297">
            <v>0</v>
          </cell>
          <cell r="AH297">
            <v>0</v>
          </cell>
          <cell r="AI297">
            <v>0</v>
          </cell>
          <cell r="AJ297">
            <v>0</v>
          </cell>
          <cell r="BZ297" t="str">
            <v/>
          </cell>
        </row>
        <row r="298">
          <cell r="C298" t="str">
            <v/>
          </cell>
          <cell r="X298">
            <v>0</v>
          </cell>
          <cell r="Y298">
            <v>0</v>
          </cell>
          <cell r="Z298">
            <v>0</v>
          </cell>
          <cell r="AA298">
            <v>0</v>
          </cell>
          <cell r="AB298">
            <v>0</v>
          </cell>
          <cell r="AF298">
            <v>0</v>
          </cell>
          <cell r="AG298">
            <v>0</v>
          </cell>
          <cell r="AH298">
            <v>0</v>
          </cell>
          <cell r="AI298">
            <v>0</v>
          </cell>
          <cell r="AJ298">
            <v>0</v>
          </cell>
          <cell r="BZ298" t="str">
            <v/>
          </cell>
        </row>
        <row r="299">
          <cell r="C299" t="str">
            <v/>
          </cell>
          <cell r="X299">
            <v>0</v>
          </cell>
          <cell r="Y299">
            <v>0</v>
          </cell>
          <cell r="Z299">
            <v>0</v>
          </cell>
          <cell r="AA299">
            <v>0</v>
          </cell>
          <cell r="AB299">
            <v>0</v>
          </cell>
          <cell r="AF299">
            <v>0</v>
          </cell>
          <cell r="AG299">
            <v>0</v>
          </cell>
          <cell r="AH299">
            <v>0</v>
          </cell>
          <cell r="AI299">
            <v>0</v>
          </cell>
          <cell r="AJ299">
            <v>0</v>
          </cell>
          <cell r="BZ299" t="str">
            <v/>
          </cell>
        </row>
        <row r="300">
          <cell r="C300" t="str">
            <v/>
          </cell>
          <cell r="X300">
            <v>0</v>
          </cell>
          <cell r="Y300">
            <v>0</v>
          </cell>
          <cell r="Z300">
            <v>0</v>
          </cell>
          <cell r="AA300">
            <v>0</v>
          </cell>
          <cell r="AB300">
            <v>0</v>
          </cell>
          <cell r="AF300">
            <v>0</v>
          </cell>
          <cell r="AG300">
            <v>0</v>
          </cell>
          <cell r="AH300">
            <v>0</v>
          </cell>
          <cell r="AI300">
            <v>0</v>
          </cell>
          <cell r="AJ300">
            <v>0</v>
          </cell>
          <cell r="BZ300" t="str">
            <v/>
          </cell>
        </row>
        <row r="301">
          <cell r="C301" t="str">
            <v/>
          </cell>
          <cell r="X301">
            <v>0</v>
          </cell>
          <cell r="Y301">
            <v>0</v>
          </cell>
          <cell r="Z301">
            <v>0</v>
          </cell>
          <cell r="AA301">
            <v>0</v>
          </cell>
          <cell r="AB301">
            <v>0</v>
          </cell>
          <cell r="AF301">
            <v>0</v>
          </cell>
          <cell r="AG301">
            <v>0</v>
          </cell>
          <cell r="AH301">
            <v>0</v>
          </cell>
          <cell r="AI301">
            <v>0</v>
          </cell>
          <cell r="AJ301">
            <v>0</v>
          </cell>
          <cell r="BZ301" t="str">
            <v/>
          </cell>
        </row>
        <row r="302">
          <cell r="C302" t="str">
            <v/>
          </cell>
          <cell r="X302">
            <v>0</v>
          </cell>
          <cell r="Y302">
            <v>0</v>
          </cell>
          <cell r="Z302">
            <v>0</v>
          </cell>
          <cell r="AA302">
            <v>0</v>
          </cell>
          <cell r="AB302">
            <v>0</v>
          </cell>
          <cell r="AF302">
            <v>0</v>
          </cell>
          <cell r="AG302">
            <v>0</v>
          </cell>
          <cell r="AH302">
            <v>0</v>
          </cell>
          <cell r="AI302">
            <v>0</v>
          </cell>
          <cell r="AJ302">
            <v>0</v>
          </cell>
          <cell r="BZ302" t="str">
            <v/>
          </cell>
        </row>
        <row r="303">
          <cell r="C303" t="str">
            <v/>
          </cell>
          <cell r="X303">
            <v>0</v>
          </cell>
          <cell r="Y303">
            <v>0</v>
          </cell>
          <cell r="Z303">
            <v>0</v>
          </cell>
          <cell r="AA303">
            <v>0</v>
          </cell>
          <cell r="AB303">
            <v>0</v>
          </cell>
          <cell r="AF303">
            <v>0</v>
          </cell>
          <cell r="AG303">
            <v>0</v>
          </cell>
          <cell r="AH303">
            <v>0</v>
          </cell>
          <cell r="AI303">
            <v>0</v>
          </cell>
          <cell r="AJ303">
            <v>0</v>
          </cell>
          <cell r="BZ303" t="str">
            <v/>
          </cell>
        </row>
        <row r="304">
          <cell r="C304" t="str">
            <v/>
          </cell>
          <cell r="X304">
            <v>0</v>
          </cell>
          <cell r="Y304">
            <v>0</v>
          </cell>
          <cell r="Z304">
            <v>0</v>
          </cell>
          <cell r="AA304">
            <v>0</v>
          </cell>
          <cell r="AB304">
            <v>0</v>
          </cell>
          <cell r="AF304">
            <v>0</v>
          </cell>
          <cell r="AG304">
            <v>0</v>
          </cell>
          <cell r="AH304">
            <v>0</v>
          </cell>
          <cell r="AI304">
            <v>0</v>
          </cell>
          <cell r="AJ304">
            <v>0</v>
          </cell>
          <cell r="BZ304" t="str">
            <v/>
          </cell>
        </row>
        <row r="305">
          <cell r="C305" t="str">
            <v/>
          </cell>
          <cell r="X305">
            <v>0</v>
          </cell>
          <cell r="Y305">
            <v>0</v>
          </cell>
          <cell r="Z305">
            <v>0</v>
          </cell>
          <cell r="AA305">
            <v>0</v>
          </cell>
          <cell r="AB305">
            <v>0</v>
          </cell>
          <cell r="AF305">
            <v>0</v>
          </cell>
          <cell r="AG305">
            <v>0</v>
          </cell>
          <cell r="AH305">
            <v>0</v>
          </cell>
          <cell r="AI305">
            <v>0</v>
          </cell>
          <cell r="AJ305">
            <v>0</v>
          </cell>
          <cell r="BZ305" t="str">
            <v/>
          </cell>
        </row>
        <row r="306">
          <cell r="C306" t="str">
            <v/>
          </cell>
          <cell r="X306">
            <v>0</v>
          </cell>
          <cell r="Y306">
            <v>0</v>
          </cell>
          <cell r="Z306">
            <v>0</v>
          </cell>
          <cell r="AA306">
            <v>0</v>
          </cell>
          <cell r="AB306">
            <v>0</v>
          </cell>
          <cell r="AF306">
            <v>0</v>
          </cell>
          <cell r="AG306">
            <v>0</v>
          </cell>
          <cell r="AH306">
            <v>0</v>
          </cell>
          <cell r="AI306">
            <v>0</v>
          </cell>
          <cell r="AJ306">
            <v>0</v>
          </cell>
          <cell r="BZ306" t="str">
            <v/>
          </cell>
        </row>
        <row r="307">
          <cell r="C307" t="str">
            <v/>
          </cell>
          <cell r="X307">
            <v>0</v>
          </cell>
          <cell r="Y307">
            <v>0</v>
          </cell>
          <cell r="Z307">
            <v>0</v>
          </cell>
          <cell r="AA307">
            <v>0</v>
          </cell>
          <cell r="AB307">
            <v>0</v>
          </cell>
          <cell r="AF307">
            <v>0</v>
          </cell>
          <cell r="AG307">
            <v>0</v>
          </cell>
          <cell r="AH307">
            <v>0</v>
          </cell>
          <cell r="AI307">
            <v>0</v>
          </cell>
          <cell r="AJ307">
            <v>0</v>
          </cell>
          <cell r="BZ307" t="str">
            <v/>
          </cell>
        </row>
        <row r="308">
          <cell r="C308" t="str">
            <v/>
          </cell>
          <cell r="X308">
            <v>0</v>
          </cell>
          <cell r="Y308">
            <v>0</v>
          </cell>
          <cell r="Z308">
            <v>0</v>
          </cell>
          <cell r="AA308">
            <v>0</v>
          </cell>
          <cell r="AB308">
            <v>0</v>
          </cell>
          <cell r="AF308">
            <v>0</v>
          </cell>
          <cell r="AG308">
            <v>0</v>
          </cell>
          <cell r="AH308">
            <v>0</v>
          </cell>
          <cell r="AI308">
            <v>0</v>
          </cell>
          <cell r="AJ308">
            <v>0</v>
          </cell>
          <cell r="BZ308" t="str">
            <v/>
          </cell>
        </row>
        <row r="309">
          <cell r="C309" t="str">
            <v/>
          </cell>
          <cell r="X309">
            <v>0</v>
          </cell>
          <cell r="Y309">
            <v>0</v>
          </cell>
          <cell r="Z309">
            <v>0</v>
          </cell>
          <cell r="AA309">
            <v>0</v>
          </cell>
          <cell r="AB309">
            <v>0</v>
          </cell>
          <cell r="AF309">
            <v>0</v>
          </cell>
          <cell r="AG309">
            <v>0</v>
          </cell>
          <cell r="AH309">
            <v>0</v>
          </cell>
          <cell r="AI309">
            <v>0</v>
          </cell>
          <cell r="AJ309">
            <v>0</v>
          </cell>
          <cell r="BZ309" t="str">
            <v/>
          </cell>
        </row>
        <row r="310">
          <cell r="C310" t="str">
            <v/>
          </cell>
          <cell r="X310">
            <v>0</v>
          </cell>
          <cell r="Y310">
            <v>0</v>
          </cell>
          <cell r="Z310">
            <v>0</v>
          </cell>
          <cell r="AA310">
            <v>0</v>
          </cell>
          <cell r="AB310">
            <v>0</v>
          </cell>
          <cell r="AF310">
            <v>0</v>
          </cell>
          <cell r="AG310">
            <v>0</v>
          </cell>
          <cell r="AH310">
            <v>0</v>
          </cell>
          <cell r="AI310">
            <v>0</v>
          </cell>
          <cell r="AJ310">
            <v>0</v>
          </cell>
          <cell r="BZ310" t="str">
            <v/>
          </cell>
        </row>
        <row r="311">
          <cell r="C311" t="str">
            <v/>
          </cell>
          <cell r="X311">
            <v>0</v>
          </cell>
          <cell r="Y311">
            <v>0</v>
          </cell>
          <cell r="Z311">
            <v>0</v>
          </cell>
          <cell r="AA311">
            <v>0</v>
          </cell>
          <cell r="AB311">
            <v>0</v>
          </cell>
          <cell r="AF311">
            <v>0</v>
          </cell>
          <cell r="AG311">
            <v>0</v>
          </cell>
          <cell r="AH311">
            <v>0</v>
          </cell>
          <cell r="AI311">
            <v>0</v>
          </cell>
          <cell r="AJ311">
            <v>0</v>
          </cell>
          <cell r="BZ311" t="str">
            <v/>
          </cell>
        </row>
        <row r="312">
          <cell r="C312" t="str">
            <v/>
          </cell>
          <cell r="X312">
            <v>0</v>
          </cell>
          <cell r="Y312">
            <v>0</v>
          </cell>
          <cell r="Z312">
            <v>0</v>
          </cell>
          <cell r="AA312">
            <v>0</v>
          </cell>
          <cell r="AB312">
            <v>0</v>
          </cell>
          <cell r="AF312">
            <v>0</v>
          </cell>
          <cell r="AG312">
            <v>0</v>
          </cell>
          <cell r="AH312">
            <v>0</v>
          </cell>
          <cell r="AI312">
            <v>0</v>
          </cell>
          <cell r="AJ312">
            <v>0</v>
          </cell>
          <cell r="BZ312" t="str">
            <v/>
          </cell>
        </row>
        <row r="313">
          <cell r="C313" t="str">
            <v/>
          </cell>
          <cell r="X313">
            <v>0</v>
          </cell>
          <cell r="Y313">
            <v>0</v>
          </cell>
          <cell r="Z313">
            <v>0</v>
          </cell>
          <cell r="AA313">
            <v>0</v>
          </cell>
          <cell r="AB313">
            <v>0</v>
          </cell>
          <cell r="AF313">
            <v>0</v>
          </cell>
          <cell r="AG313">
            <v>0</v>
          </cell>
          <cell r="AH313">
            <v>0</v>
          </cell>
          <cell r="AI313">
            <v>0</v>
          </cell>
          <cell r="AJ313">
            <v>0</v>
          </cell>
          <cell r="BZ313" t="str">
            <v/>
          </cell>
        </row>
        <row r="314">
          <cell r="C314" t="str">
            <v/>
          </cell>
          <cell r="X314">
            <v>0</v>
          </cell>
          <cell r="Y314">
            <v>0</v>
          </cell>
          <cell r="Z314">
            <v>0</v>
          </cell>
          <cell r="AA314">
            <v>0</v>
          </cell>
          <cell r="AB314">
            <v>0</v>
          </cell>
          <cell r="AF314">
            <v>0</v>
          </cell>
          <cell r="AG314">
            <v>0</v>
          </cell>
          <cell r="AH314">
            <v>0</v>
          </cell>
          <cell r="AI314">
            <v>0</v>
          </cell>
          <cell r="AJ314">
            <v>0</v>
          </cell>
          <cell r="BZ314" t="str">
            <v/>
          </cell>
        </row>
        <row r="315">
          <cell r="C315" t="str">
            <v/>
          </cell>
          <cell r="X315">
            <v>0</v>
          </cell>
          <cell r="Y315">
            <v>0</v>
          </cell>
          <cell r="Z315">
            <v>0</v>
          </cell>
          <cell r="AA315">
            <v>0</v>
          </cell>
          <cell r="AB315">
            <v>0</v>
          </cell>
          <cell r="AF315">
            <v>0</v>
          </cell>
          <cell r="AG315">
            <v>0</v>
          </cell>
          <cell r="AH315">
            <v>0</v>
          </cell>
          <cell r="AI315">
            <v>0</v>
          </cell>
          <cell r="AJ315">
            <v>0</v>
          </cell>
          <cell r="BZ315" t="str">
            <v/>
          </cell>
        </row>
        <row r="316">
          <cell r="C316" t="str">
            <v/>
          </cell>
          <cell r="X316">
            <v>0</v>
          </cell>
          <cell r="Y316">
            <v>0</v>
          </cell>
          <cell r="Z316">
            <v>0</v>
          </cell>
          <cell r="AA316">
            <v>0</v>
          </cell>
          <cell r="AB316">
            <v>0</v>
          </cell>
          <cell r="AF316">
            <v>0</v>
          </cell>
          <cell r="AG316">
            <v>0</v>
          </cell>
          <cell r="AH316">
            <v>0</v>
          </cell>
          <cell r="AI316">
            <v>0</v>
          </cell>
          <cell r="AJ316">
            <v>0</v>
          </cell>
          <cell r="BZ316" t="str">
            <v/>
          </cell>
        </row>
        <row r="317">
          <cell r="C317" t="str">
            <v/>
          </cell>
          <cell r="X317">
            <v>0</v>
          </cell>
          <cell r="Y317">
            <v>0</v>
          </cell>
          <cell r="Z317">
            <v>0</v>
          </cell>
          <cell r="AA317">
            <v>0</v>
          </cell>
          <cell r="AB317">
            <v>0</v>
          </cell>
          <cell r="AF317">
            <v>0</v>
          </cell>
          <cell r="AG317">
            <v>0</v>
          </cell>
          <cell r="AH317">
            <v>0</v>
          </cell>
          <cell r="AI317">
            <v>0</v>
          </cell>
          <cell r="AJ317">
            <v>0</v>
          </cell>
          <cell r="BZ317" t="str">
            <v/>
          </cell>
        </row>
        <row r="318">
          <cell r="C318" t="str">
            <v/>
          </cell>
          <cell r="X318">
            <v>0</v>
          </cell>
          <cell r="Y318">
            <v>0</v>
          </cell>
          <cell r="Z318">
            <v>0</v>
          </cell>
          <cell r="AA318">
            <v>0</v>
          </cell>
          <cell r="AB318">
            <v>0</v>
          </cell>
          <cell r="AF318">
            <v>0</v>
          </cell>
          <cell r="AG318">
            <v>0</v>
          </cell>
          <cell r="AH318">
            <v>0</v>
          </cell>
          <cell r="AI318">
            <v>0</v>
          </cell>
          <cell r="AJ318">
            <v>0</v>
          </cell>
          <cell r="BZ318" t="str">
            <v/>
          </cell>
        </row>
        <row r="319">
          <cell r="C319" t="str">
            <v/>
          </cell>
          <cell r="X319">
            <v>0</v>
          </cell>
          <cell r="Y319">
            <v>0</v>
          </cell>
          <cell r="Z319">
            <v>0</v>
          </cell>
          <cell r="AA319">
            <v>0</v>
          </cell>
          <cell r="AB319">
            <v>0</v>
          </cell>
          <cell r="AF319">
            <v>0</v>
          </cell>
          <cell r="AG319">
            <v>0</v>
          </cell>
          <cell r="AH319">
            <v>0</v>
          </cell>
          <cell r="AI319">
            <v>0</v>
          </cell>
          <cell r="AJ319">
            <v>0</v>
          </cell>
          <cell r="BZ319" t="str">
            <v/>
          </cell>
        </row>
        <row r="320">
          <cell r="C320" t="str">
            <v/>
          </cell>
          <cell r="X320">
            <v>0</v>
          </cell>
          <cell r="Y320">
            <v>0</v>
          </cell>
          <cell r="Z320">
            <v>0</v>
          </cell>
          <cell r="AA320">
            <v>0</v>
          </cell>
          <cell r="AB320">
            <v>0</v>
          </cell>
          <cell r="AF320">
            <v>0</v>
          </cell>
          <cell r="AG320">
            <v>0</v>
          </cell>
          <cell r="AH320">
            <v>0</v>
          </cell>
          <cell r="AI320">
            <v>0</v>
          </cell>
          <cell r="AJ320">
            <v>0</v>
          </cell>
          <cell r="BZ320" t="str">
            <v/>
          </cell>
        </row>
        <row r="321">
          <cell r="C321" t="str">
            <v/>
          </cell>
          <cell r="X321">
            <v>0</v>
          </cell>
          <cell r="Y321">
            <v>0</v>
          </cell>
          <cell r="Z321">
            <v>0</v>
          </cell>
          <cell r="AA321">
            <v>0</v>
          </cell>
          <cell r="AB321">
            <v>0</v>
          </cell>
          <cell r="AF321">
            <v>0</v>
          </cell>
          <cell r="AG321">
            <v>0</v>
          </cell>
          <cell r="AH321">
            <v>0</v>
          </cell>
          <cell r="AI321">
            <v>0</v>
          </cell>
          <cell r="AJ321">
            <v>0</v>
          </cell>
          <cell r="BZ321" t="str">
            <v/>
          </cell>
        </row>
        <row r="322">
          <cell r="C322" t="str">
            <v/>
          </cell>
          <cell r="X322">
            <v>0</v>
          </cell>
          <cell r="Y322">
            <v>0</v>
          </cell>
          <cell r="Z322">
            <v>0</v>
          </cell>
          <cell r="AA322">
            <v>0</v>
          </cell>
          <cell r="AB322">
            <v>0</v>
          </cell>
          <cell r="AF322">
            <v>0</v>
          </cell>
          <cell r="AG322">
            <v>0</v>
          </cell>
          <cell r="AH322">
            <v>0</v>
          </cell>
          <cell r="AI322">
            <v>0</v>
          </cell>
          <cell r="AJ322">
            <v>0</v>
          </cell>
          <cell r="BZ322" t="str">
            <v/>
          </cell>
        </row>
        <row r="323">
          <cell r="C323" t="str">
            <v/>
          </cell>
          <cell r="X323">
            <v>0</v>
          </cell>
          <cell r="Y323">
            <v>0</v>
          </cell>
          <cell r="Z323">
            <v>0</v>
          </cell>
          <cell r="AA323">
            <v>0</v>
          </cell>
          <cell r="AB323">
            <v>0</v>
          </cell>
          <cell r="AF323">
            <v>0</v>
          </cell>
          <cell r="AG323">
            <v>0</v>
          </cell>
          <cell r="AH323">
            <v>0</v>
          </cell>
          <cell r="AI323">
            <v>0</v>
          </cell>
          <cell r="AJ323">
            <v>0</v>
          </cell>
          <cell r="BZ323" t="str">
            <v/>
          </cell>
        </row>
        <row r="324">
          <cell r="C324" t="str">
            <v/>
          </cell>
          <cell r="X324">
            <v>0</v>
          </cell>
          <cell r="Y324">
            <v>0</v>
          </cell>
          <cell r="Z324">
            <v>0</v>
          </cell>
          <cell r="AA324">
            <v>0</v>
          </cell>
          <cell r="AB324">
            <v>0</v>
          </cell>
          <cell r="AF324">
            <v>0</v>
          </cell>
          <cell r="AG324">
            <v>0</v>
          </cell>
          <cell r="AH324">
            <v>0</v>
          </cell>
          <cell r="AI324">
            <v>0</v>
          </cell>
          <cell r="AJ324">
            <v>0</v>
          </cell>
          <cell r="BZ324" t="str">
            <v/>
          </cell>
        </row>
        <row r="325">
          <cell r="C325" t="str">
            <v/>
          </cell>
          <cell r="X325">
            <v>0</v>
          </cell>
          <cell r="Y325">
            <v>0</v>
          </cell>
          <cell r="Z325">
            <v>0</v>
          </cell>
          <cell r="AA325">
            <v>0</v>
          </cell>
          <cell r="AB325">
            <v>0</v>
          </cell>
          <cell r="AF325">
            <v>0</v>
          </cell>
          <cell r="AG325">
            <v>0</v>
          </cell>
          <cell r="AH325">
            <v>0</v>
          </cell>
          <cell r="AI325">
            <v>0</v>
          </cell>
          <cell r="AJ325">
            <v>0</v>
          </cell>
          <cell r="BZ325" t="str">
            <v/>
          </cell>
        </row>
        <row r="326">
          <cell r="C326" t="str">
            <v/>
          </cell>
          <cell r="X326">
            <v>0</v>
          </cell>
          <cell r="Y326">
            <v>0</v>
          </cell>
          <cell r="Z326">
            <v>0</v>
          </cell>
          <cell r="AA326">
            <v>0</v>
          </cell>
          <cell r="AB326">
            <v>0</v>
          </cell>
          <cell r="AF326">
            <v>0</v>
          </cell>
          <cell r="AG326">
            <v>0</v>
          </cell>
          <cell r="AH326">
            <v>0</v>
          </cell>
          <cell r="AI326">
            <v>0</v>
          </cell>
          <cell r="AJ326">
            <v>0</v>
          </cell>
          <cell r="BZ326" t="str">
            <v/>
          </cell>
        </row>
        <row r="327">
          <cell r="C327" t="str">
            <v/>
          </cell>
          <cell r="X327">
            <v>0</v>
          </cell>
          <cell r="Y327">
            <v>0</v>
          </cell>
          <cell r="Z327">
            <v>0</v>
          </cell>
          <cell r="AA327">
            <v>0</v>
          </cell>
          <cell r="AB327">
            <v>0</v>
          </cell>
          <cell r="AF327">
            <v>0</v>
          </cell>
          <cell r="AG327">
            <v>0</v>
          </cell>
          <cell r="AH327">
            <v>0</v>
          </cell>
          <cell r="AI327">
            <v>0</v>
          </cell>
          <cell r="AJ327">
            <v>0</v>
          </cell>
          <cell r="BZ327" t="str">
            <v/>
          </cell>
        </row>
        <row r="328">
          <cell r="C328" t="str">
            <v/>
          </cell>
          <cell r="X328">
            <v>0</v>
          </cell>
          <cell r="Y328">
            <v>0</v>
          </cell>
          <cell r="Z328">
            <v>0</v>
          </cell>
          <cell r="AA328">
            <v>0</v>
          </cell>
          <cell r="AB328">
            <v>0</v>
          </cell>
          <cell r="AF328">
            <v>0</v>
          </cell>
          <cell r="AG328">
            <v>0</v>
          </cell>
          <cell r="AH328">
            <v>0</v>
          </cell>
          <cell r="AI328">
            <v>0</v>
          </cell>
          <cell r="AJ328">
            <v>0</v>
          </cell>
          <cell r="BZ328" t="str">
            <v/>
          </cell>
        </row>
        <row r="329">
          <cell r="C329" t="str">
            <v/>
          </cell>
          <cell r="X329">
            <v>0</v>
          </cell>
          <cell r="Y329">
            <v>0</v>
          </cell>
          <cell r="Z329">
            <v>0</v>
          </cell>
          <cell r="AA329">
            <v>0</v>
          </cell>
          <cell r="AB329">
            <v>0</v>
          </cell>
          <cell r="AF329">
            <v>0</v>
          </cell>
          <cell r="AG329">
            <v>0</v>
          </cell>
          <cell r="AH329">
            <v>0</v>
          </cell>
          <cell r="AI329">
            <v>0</v>
          </cell>
          <cell r="AJ329">
            <v>0</v>
          </cell>
          <cell r="BZ329" t="str">
            <v/>
          </cell>
        </row>
        <row r="330">
          <cell r="C330" t="str">
            <v/>
          </cell>
          <cell r="X330">
            <v>0</v>
          </cell>
          <cell r="Y330">
            <v>0</v>
          </cell>
          <cell r="Z330">
            <v>0</v>
          </cell>
          <cell r="AA330">
            <v>0</v>
          </cell>
          <cell r="AB330">
            <v>0</v>
          </cell>
          <cell r="AF330">
            <v>0</v>
          </cell>
          <cell r="AG330">
            <v>0</v>
          </cell>
          <cell r="AH330">
            <v>0</v>
          </cell>
          <cell r="AI330">
            <v>0</v>
          </cell>
          <cell r="AJ330">
            <v>0</v>
          </cell>
          <cell r="BZ330" t="str">
            <v/>
          </cell>
        </row>
        <row r="331">
          <cell r="C331" t="str">
            <v/>
          </cell>
          <cell r="X331">
            <v>0</v>
          </cell>
          <cell r="Y331">
            <v>0</v>
          </cell>
          <cell r="Z331">
            <v>0</v>
          </cell>
          <cell r="AA331">
            <v>0</v>
          </cell>
          <cell r="AB331">
            <v>0</v>
          </cell>
          <cell r="AF331">
            <v>0</v>
          </cell>
          <cell r="AG331">
            <v>0</v>
          </cell>
          <cell r="AH331">
            <v>0</v>
          </cell>
          <cell r="AI331">
            <v>0</v>
          </cell>
          <cell r="AJ331">
            <v>0</v>
          </cell>
          <cell r="BZ331" t="str">
            <v/>
          </cell>
        </row>
        <row r="332">
          <cell r="C332" t="str">
            <v/>
          </cell>
          <cell r="X332">
            <v>0</v>
          </cell>
          <cell r="Y332">
            <v>0</v>
          </cell>
          <cell r="Z332">
            <v>0</v>
          </cell>
          <cell r="AA332">
            <v>0</v>
          </cell>
          <cell r="AB332">
            <v>0</v>
          </cell>
          <cell r="AF332">
            <v>0</v>
          </cell>
          <cell r="AG332">
            <v>0</v>
          </cell>
          <cell r="AH332">
            <v>0</v>
          </cell>
          <cell r="AI332">
            <v>0</v>
          </cell>
          <cell r="AJ332">
            <v>0</v>
          </cell>
          <cell r="BZ332" t="str">
            <v/>
          </cell>
        </row>
        <row r="333">
          <cell r="C333" t="str">
            <v/>
          </cell>
          <cell r="X333">
            <v>0</v>
          </cell>
          <cell r="Y333">
            <v>0</v>
          </cell>
          <cell r="Z333">
            <v>0</v>
          </cell>
          <cell r="AA333">
            <v>0</v>
          </cell>
          <cell r="AB333">
            <v>0</v>
          </cell>
          <cell r="AF333">
            <v>0</v>
          </cell>
          <cell r="AG333">
            <v>0</v>
          </cell>
          <cell r="AH333">
            <v>0</v>
          </cell>
          <cell r="AI333">
            <v>0</v>
          </cell>
          <cell r="AJ333">
            <v>0</v>
          </cell>
          <cell r="BZ333" t="str">
            <v/>
          </cell>
        </row>
        <row r="334">
          <cell r="C334" t="str">
            <v/>
          </cell>
          <cell r="X334">
            <v>0</v>
          </cell>
          <cell r="Y334">
            <v>0</v>
          </cell>
          <cell r="Z334">
            <v>0</v>
          </cell>
          <cell r="AA334">
            <v>0</v>
          </cell>
          <cell r="AB334">
            <v>0</v>
          </cell>
          <cell r="AF334">
            <v>0</v>
          </cell>
          <cell r="AG334">
            <v>0</v>
          </cell>
          <cell r="AH334">
            <v>0</v>
          </cell>
          <cell r="AI334">
            <v>0</v>
          </cell>
          <cell r="AJ334">
            <v>0</v>
          </cell>
          <cell r="BZ334" t="str">
            <v/>
          </cell>
        </row>
        <row r="335">
          <cell r="C335" t="str">
            <v/>
          </cell>
          <cell r="X335">
            <v>0</v>
          </cell>
          <cell r="Y335">
            <v>0</v>
          </cell>
          <cell r="Z335">
            <v>0</v>
          </cell>
          <cell r="AA335">
            <v>0</v>
          </cell>
          <cell r="AB335">
            <v>0</v>
          </cell>
          <cell r="AF335">
            <v>0</v>
          </cell>
          <cell r="AG335">
            <v>0</v>
          </cell>
          <cell r="AH335">
            <v>0</v>
          </cell>
          <cell r="AI335">
            <v>0</v>
          </cell>
          <cell r="AJ335">
            <v>0</v>
          </cell>
          <cell r="BZ335" t="str">
            <v/>
          </cell>
        </row>
        <row r="336">
          <cell r="C336" t="str">
            <v/>
          </cell>
          <cell r="X336">
            <v>0</v>
          </cell>
          <cell r="Y336">
            <v>0</v>
          </cell>
          <cell r="Z336">
            <v>0</v>
          </cell>
          <cell r="AA336">
            <v>0</v>
          </cell>
          <cell r="AB336">
            <v>0</v>
          </cell>
          <cell r="AF336">
            <v>0</v>
          </cell>
          <cell r="AG336">
            <v>0</v>
          </cell>
          <cell r="AH336">
            <v>0</v>
          </cell>
          <cell r="AI336">
            <v>0</v>
          </cell>
          <cell r="AJ336">
            <v>0</v>
          </cell>
          <cell r="BZ336" t="str">
            <v/>
          </cell>
        </row>
        <row r="337">
          <cell r="C337" t="str">
            <v/>
          </cell>
          <cell r="X337">
            <v>0</v>
          </cell>
          <cell r="Y337">
            <v>0</v>
          </cell>
          <cell r="Z337">
            <v>0</v>
          </cell>
          <cell r="AA337">
            <v>0</v>
          </cell>
          <cell r="AB337">
            <v>0</v>
          </cell>
          <cell r="AF337">
            <v>0</v>
          </cell>
          <cell r="AG337">
            <v>0</v>
          </cell>
          <cell r="AH337">
            <v>0</v>
          </cell>
          <cell r="AI337">
            <v>0</v>
          </cell>
          <cell r="AJ337">
            <v>0</v>
          </cell>
          <cell r="BZ337" t="str">
            <v/>
          </cell>
        </row>
        <row r="338">
          <cell r="C338" t="str">
            <v/>
          </cell>
          <cell r="X338">
            <v>0</v>
          </cell>
          <cell r="Y338">
            <v>0</v>
          </cell>
          <cell r="Z338">
            <v>0</v>
          </cell>
          <cell r="AA338">
            <v>0</v>
          </cell>
          <cell r="AB338">
            <v>0</v>
          </cell>
          <cell r="AF338">
            <v>0</v>
          </cell>
          <cell r="AG338">
            <v>0</v>
          </cell>
          <cell r="AH338">
            <v>0</v>
          </cell>
          <cell r="AI338">
            <v>0</v>
          </cell>
          <cell r="AJ338">
            <v>0</v>
          </cell>
          <cell r="BZ338" t="str">
            <v/>
          </cell>
        </row>
        <row r="339">
          <cell r="C339" t="str">
            <v/>
          </cell>
          <cell r="X339">
            <v>0</v>
          </cell>
          <cell r="Y339">
            <v>0</v>
          </cell>
          <cell r="Z339">
            <v>0</v>
          </cell>
          <cell r="AA339">
            <v>0</v>
          </cell>
          <cell r="AB339">
            <v>0</v>
          </cell>
          <cell r="AF339">
            <v>0</v>
          </cell>
          <cell r="AG339">
            <v>0</v>
          </cell>
          <cell r="AH339">
            <v>0</v>
          </cell>
          <cell r="AI339">
            <v>0</v>
          </cell>
          <cell r="AJ339">
            <v>0</v>
          </cell>
          <cell r="BZ339" t="str">
            <v/>
          </cell>
        </row>
        <row r="340">
          <cell r="C340" t="str">
            <v/>
          </cell>
          <cell r="X340">
            <v>0</v>
          </cell>
          <cell r="Y340">
            <v>0</v>
          </cell>
          <cell r="Z340">
            <v>0</v>
          </cell>
          <cell r="AA340">
            <v>0</v>
          </cell>
          <cell r="AB340">
            <v>0</v>
          </cell>
          <cell r="AF340">
            <v>0</v>
          </cell>
          <cell r="AG340">
            <v>0</v>
          </cell>
          <cell r="AH340">
            <v>0</v>
          </cell>
          <cell r="AI340">
            <v>0</v>
          </cell>
          <cell r="AJ340">
            <v>0</v>
          </cell>
          <cell r="BZ340" t="str">
            <v/>
          </cell>
        </row>
        <row r="341">
          <cell r="C341" t="str">
            <v/>
          </cell>
          <cell r="X341">
            <v>0</v>
          </cell>
          <cell r="Y341">
            <v>0</v>
          </cell>
          <cell r="Z341">
            <v>0</v>
          </cell>
          <cell r="AA341">
            <v>0</v>
          </cell>
          <cell r="AB341">
            <v>0</v>
          </cell>
          <cell r="AF341">
            <v>0</v>
          </cell>
          <cell r="AG341">
            <v>0</v>
          </cell>
          <cell r="AH341">
            <v>0</v>
          </cell>
          <cell r="AI341">
            <v>0</v>
          </cell>
          <cell r="AJ341">
            <v>0</v>
          </cell>
          <cell r="BZ341" t="str">
            <v/>
          </cell>
        </row>
        <row r="342">
          <cell r="C342" t="str">
            <v/>
          </cell>
          <cell r="X342">
            <v>0</v>
          </cell>
          <cell r="Y342">
            <v>0</v>
          </cell>
          <cell r="Z342">
            <v>0</v>
          </cell>
          <cell r="AA342">
            <v>0</v>
          </cell>
          <cell r="AB342">
            <v>0</v>
          </cell>
          <cell r="AF342">
            <v>0</v>
          </cell>
          <cell r="AG342">
            <v>0</v>
          </cell>
          <cell r="AH342">
            <v>0</v>
          </cell>
          <cell r="AI342">
            <v>0</v>
          </cell>
          <cell r="AJ342">
            <v>0</v>
          </cell>
          <cell r="BZ342" t="str">
            <v/>
          </cell>
        </row>
        <row r="343">
          <cell r="C343" t="str">
            <v/>
          </cell>
          <cell r="X343">
            <v>0</v>
          </cell>
          <cell r="Y343">
            <v>0</v>
          </cell>
          <cell r="Z343">
            <v>0</v>
          </cell>
          <cell r="AA343">
            <v>0</v>
          </cell>
          <cell r="AB343">
            <v>0</v>
          </cell>
          <cell r="AF343">
            <v>0</v>
          </cell>
          <cell r="AG343">
            <v>0</v>
          </cell>
          <cell r="AH343">
            <v>0</v>
          </cell>
          <cell r="AI343">
            <v>0</v>
          </cell>
          <cell r="AJ343">
            <v>0</v>
          </cell>
          <cell r="BZ343" t="str">
            <v/>
          </cell>
        </row>
        <row r="344">
          <cell r="C344" t="str">
            <v/>
          </cell>
          <cell r="X344">
            <v>0</v>
          </cell>
          <cell r="Y344">
            <v>0</v>
          </cell>
          <cell r="Z344">
            <v>0</v>
          </cell>
          <cell r="AA344">
            <v>0</v>
          </cell>
          <cell r="AB344">
            <v>0</v>
          </cell>
          <cell r="AF344">
            <v>0</v>
          </cell>
          <cell r="AG344">
            <v>0</v>
          </cell>
          <cell r="AH344">
            <v>0</v>
          </cell>
          <cell r="AI344">
            <v>0</v>
          </cell>
          <cell r="AJ344">
            <v>0</v>
          </cell>
          <cell r="BZ344" t="str">
            <v/>
          </cell>
        </row>
        <row r="345">
          <cell r="C345" t="str">
            <v/>
          </cell>
          <cell r="X345">
            <v>0</v>
          </cell>
          <cell r="Y345">
            <v>0</v>
          </cell>
          <cell r="Z345">
            <v>0</v>
          </cell>
          <cell r="AA345">
            <v>0</v>
          </cell>
          <cell r="AB345">
            <v>0</v>
          </cell>
          <cell r="AF345">
            <v>0</v>
          </cell>
          <cell r="AG345">
            <v>0</v>
          </cell>
          <cell r="AH345">
            <v>0</v>
          </cell>
          <cell r="AI345">
            <v>0</v>
          </cell>
          <cell r="AJ345">
            <v>0</v>
          </cell>
          <cell r="BZ345" t="str">
            <v/>
          </cell>
        </row>
        <row r="346">
          <cell r="C346" t="str">
            <v/>
          </cell>
          <cell r="X346">
            <v>0</v>
          </cell>
          <cell r="Y346">
            <v>0</v>
          </cell>
          <cell r="Z346">
            <v>0</v>
          </cell>
          <cell r="AA346">
            <v>0</v>
          </cell>
          <cell r="AB346">
            <v>0</v>
          </cell>
          <cell r="AF346">
            <v>0</v>
          </cell>
          <cell r="AG346">
            <v>0</v>
          </cell>
          <cell r="AH346">
            <v>0</v>
          </cell>
          <cell r="AI346">
            <v>0</v>
          </cell>
          <cell r="AJ346">
            <v>0</v>
          </cell>
          <cell r="BZ346" t="str">
            <v/>
          </cell>
        </row>
        <row r="347">
          <cell r="C347" t="str">
            <v/>
          </cell>
          <cell r="X347">
            <v>0</v>
          </cell>
          <cell r="Y347">
            <v>0</v>
          </cell>
          <cell r="Z347">
            <v>0</v>
          </cell>
          <cell r="AA347">
            <v>0</v>
          </cell>
          <cell r="AB347">
            <v>0</v>
          </cell>
          <cell r="AF347">
            <v>0</v>
          </cell>
          <cell r="AG347">
            <v>0</v>
          </cell>
          <cell r="AH347">
            <v>0</v>
          </cell>
          <cell r="AI347">
            <v>0</v>
          </cell>
          <cell r="AJ347">
            <v>0</v>
          </cell>
          <cell r="BZ347" t="str">
            <v/>
          </cell>
        </row>
        <row r="348">
          <cell r="C348" t="str">
            <v/>
          </cell>
          <cell r="X348">
            <v>0</v>
          </cell>
          <cell r="Y348">
            <v>0</v>
          </cell>
          <cell r="Z348">
            <v>0</v>
          </cell>
          <cell r="AA348">
            <v>0</v>
          </cell>
          <cell r="AB348">
            <v>0</v>
          </cell>
          <cell r="AF348">
            <v>0</v>
          </cell>
          <cell r="AG348">
            <v>0</v>
          </cell>
          <cell r="AH348">
            <v>0</v>
          </cell>
          <cell r="AI348">
            <v>0</v>
          </cell>
          <cell r="AJ348">
            <v>0</v>
          </cell>
          <cell r="BZ348" t="str">
            <v/>
          </cell>
        </row>
        <row r="349">
          <cell r="C349" t="str">
            <v/>
          </cell>
          <cell r="X349">
            <v>0</v>
          </cell>
          <cell r="Y349">
            <v>0</v>
          </cell>
          <cell r="Z349">
            <v>0</v>
          </cell>
          <cell r="AA349">
            <v>0</v>
          </cell>
          <cell r="AB349">
            <v>0</v>
          </cell>
          <cell r="AF349">
            <v>0</v>
          </cell>
          <cell r="AG349">
            <v>0</v>
          </cell>
          <cell r="AH349">
            <v>0</v>
          </cell>
          <cell r="AI349">
            <v>0</v>
          </cell>
          <cell r="AJ349">
            <v>0</v>
          </cell>
          <cell r="BZ349" t="str">
            <v/>
          </cell>
        </row>
        <row r="350">
          <cell r="C350" t="str">
            <v/>
          </cell>
          <cell r="X350">
            <v>0</v>
          </cell>
          <cell r="Y350">
            <v>0</v>
          </cell>
          <cell r="Z350">
            <v>0</v>
          </cell>
          <cell r="AA350">
            <v>0</v>
          </cell>
          <cell r="AB350">
            <v>0</v>
          </cell>
          <cell r="AF350">
            <v>0</v>
          </cell>
          <cell r="AG350">
            <v>0</v>
          </cell>
          <cell r="AH350">
            <v>0</v>
          </cell>
          <cell r="AI350">
            <v>0</v>
          </cell>
          <cell r="AJ350">
            <v>0</v>
          </cell>
          <cell r="BZ350" t="str">
            <v/>
          </cell>
        </row>
        <row r="351">
          <cell r="C351" t="str">
            <v/>
          </cell>
          <cell r="X351">
            <v>0</v>
          </cell>
          <cell r="Y351">
            <v>0</v>
          </cell>
          <cell r="Z351">
            <v>0</v>
          </cell>
          <cell r="AA351">
            <v>0</v>
          </cell>
          <cell r="AB351">
            <v>0</v>
          </cell>
          <cell r="AF351">
            <v>0</v>
          </cell>
          <cell r="AG351">
            <v>0</v>
          </cell>
          <cell r="AH351">
            <v>0</v>
          </cell>
          <cell r="AI351">
            <v>0</v>
          </cell>
          <cell r="AJ351">
            <v>0</v>
          </cell>
          <cell r="BZ351" t="str">
            <v/>
          </cell>
        </row>
        <row r="352">
          <cell r="C352" t="str">
            <v/>
          </cell>
          <cell r="X352">
            <v>0</v>
          </cell>
          <cell r="Y352">
            <v>0</v>
          </cell>
          <cell r="Z352">
            <v>0</v>
          </cell>
          <cell r="AA352">
            <v>0</v>
          </cell>
          <cell r="AB352">
            <v>0</v>
          </cell>
          <cell r="AF352">
            <v>0</v>
          </cell>
          <cell r="AG352">
            <v>0</v>
          </cell>
          <cell r="AH352">
            <v>0</v>
          </cell>
          <cell r="AI352">
            <v>0</v>
          </cell>
          <cell r="AJ352">
            <v>0</v>
          </cell>
          <cell r="BZ352" t="str">
            <v/>
          </cell>
        </row>
        <row r="353">
          <cell r="C353" t="str">
            <v/>
          </cell>
          <cell r="X353">
            <v>0</v>
          </cell>
          <cell r="Y353">
            <v>0</v>
          </cell>
          <cell r="Z353">
            <v>0</v>
          </cell>
          <cell r="AA353">
            <v>0</v>
          </cell>
          <cell r="AB353">
            <v>0</v>
          </cell>
          <cell r="AF353">
            <v>0</v>
          </cell>
          <cell r="AG353">
            <v>0</v>
          </cell>
          <cell r="AH353">
            <v>0</v>
          </cell>
          <cell r="AI353">
            <v>0</v>
          </cell>
          <cell r="AJ353">
            <v>0</v>
          </cell>
          <cell r="BZ353" t="str">
            <v/>
          </cell>
        </row>
        <row r="354">
          <cell r="C354" t="str">
            <v/>
          </cell>
          <cell r="X354">
            <v>0</v>
          </cell>
          <cell r="Y354">
            <v>0</v>
          </cell>
          <cell r="Z354">
            <v>0</v>
          </cell>
          <cell r="AA354">
            <v>0</v>
          </cell>
          <cell r="AB354">
            <v>0</v>
          </cell>
          <cell r="AF354">
            <v>0</v>
          </cell>
          <cell r="AG354">
            <v>0</v>
          </cell>
          <cell r="AH354">
            <v>0</v>
          </cell>
          <cell r="AI354">
            <v>0</v>
          </cell>
          <cell r="AJ354">
            <v>0</v>
          </cell>
          <cell r="BZ354" t="str">
            <v/>
          </cell>
        </row>
        <row r="355">
          <cell r="C355" t="str">
            <v/>
          </cell>
          <cell r="X355">
            <v>0</v>
          </cell>
          <cell r="Y355">
            <v>0</v>
          </cell>
          <cell r="Z355">
            <v>0</v>
          </cell>
          <cell r="AA355">
            <v>0</v>
          </cell>
          <cell r="AB355">
            <v>0</v>
          </cell>
          <cell r="AF355">
            <v>0</v>
          </cell>
          <cell r="AG355">
            <v>0</v>
          </cell>
          <cell r="AH355">
            <v>0</v>
          </cell>
          <cell r="AI355">
            <v>0</v>
          </cell>
          <cell r="AJ355">
            <v>0</v>
          </cell>
          <cell r="BZ355" t="str">
            <v/>
          </cell>
        </row>
        <row r="356">
          <cell r="C356" t="str">
            <v/>
          </cell>
          <cell r="X356">
            <v>0</v>
          </cell>
          <cell r="Y356">
            <v>0</v>
          </cell>
          <cell r="Z356">
            <v>0</v>
          </cell>
          <cell r="AA356">
            <v>0</v>
          </cell>
          <cell r="AB356">
            <v>0</v>
          </cell>
          <cell r="AF356">
            <v>0</v>
          </cell>
          <cell r="AG356">
            <v>0</v>
          </cell>
          <cell r="AH356">
            <v>0</v>
          </cell>
          <cell r="AI356">
            <v>0</v>
          </cell>
          <cell r="AJ356">
            <v>0</v>
          </cell>
          <cell r="BZ356" t="str">
            <v/>
          </cell>
        </row>
        <row r="357">
          <cell r="C357" t="str">
            <v/>
          </cell>
          <cell r="X357">
            <v>0</v>
          </cell>
          <cell r="Y357">
            <v>0</v>
          </cell>
          <cell r="Z357">
            <v>0</v>
          </cell>
          <cell r="AA357">
            <v>0</v>
          </cell>
          <cell r="AB357">
            <v>0</v>
          </cell>
          <cell r="AF357">
            <v>0</v>
          </cell>
          <cell r="AG357">
            <v>0</v>
          </cell>
          <cell r="AH357">
            <v>0</v>
          </cell>
          <cell r="AI357">
            <v>0</v>
          </cell>
          <cell r="AJ357">
            <v>0</v>
          </cell>
          <cell r="BZ357" t="str">
            <v/>
          </cell>
        </row>
        <row r="358">
          <cell r="C358" t="str">
            <v/>
          </cell>
          <cell r="X358">
            <v>0</v>
          </cell>
          <cell r="Y358">
            <v>0</v>
          </cell>
          <cell r="Z358">
            <v>0</v>
          </cell>
          <cell r="AA358">
            <v>0</v>
          </cell>
          <cell r="AB358">
            <v>0</v>
          </cell>
          <cell r="AF358">
            <v>0</v>
          </cell>
          <cell r="AG358">
            <v>0</v>
          </cell>
          <cell r="AH358">
            <v>0</v>
          </cell>
          <cell r="AI358">
            <v>0</v>
          </cell>
          <cell r="AJ358">
            <v>0</v>
          </cell>
          <cell r="BZ358" t="str">
            <v/>
          </cell>
        </row>
        <row r="359">
          <cell r="C359" t="str">
            <v/>
          </cell>
          <cell r="X359">
            <v>0</v>
          </cell>
          <cell r="Y359">
            <v>0</v>
          </cell>
          <cell r="Z359">
            <v>0</v>
          </cell>
          <cell r="AA359">
            <v>0</v>
          </cell>
          <cell r="AB359">
            <v>0</v>
          </cell>
          <cell r="AF359">
            <v>0</v>
          </cell>
          <cell r="AG359">
            <v>0</v>
          </cell>
          <cell r="AH359">
            <v>0</v>
          </cell>
          <cell r="AI359">
            <v>0</v>
          </cell>
          <cell r="AJ359">
            <v>0</v>
          </cell>
          <cell r="BZ359" t="str">
            <v/>
          </cell>
        </row>
        <row r="360">
          <cell r="C360" t="str">
            <v/>
          </cell>
          <cell r="X360">
            <v>0</v>
          </cell>
          <cell r="Y360">
            <v>0</v>
          </cell>
          <cell r="Z360">
            <v>0</v>
          </cell>
          <cell r="AA360">
            <v>0</v>
          </cell>
          <cell r="AB360">
            <v>0</v>
          </cell>
          <cell r="AF360">
            <v>0</v>
          </cell>
          <cell r="AG360">
            <v>0</v>
          </cell>
          <cell r="AH360">
            <v>0</v>
          </cell>
          <cell r="AI360">
            <v>0</v>
          </cell>
          <cell r="AJ360">
            <v>0</v>
          </cell>
          <cell r="BZ360" t="str">
            <v/>
          </cell>
        </row>
        <row r="361">
          <cell r="C361" t="str">
            <v/>
          </cell>
          <cell r="X361">
            <v>0</v>
          </cell>
          <cell r="Y361">
            <v>0</v>
          </cell>
          <cell r="Z361">
            <v>0</v>
          </cell>
          <cell r="AA361">
            <v>0</v>
          </cell>
          <cell r="AB361">
            <v>0</v>
          </cell>
          <cell r="AF361">
            <v>0</v>
          </cell>
          <cell r="AG361">
            <v>0</v>
          </cell>
          <cell r="AH361">
            <v>0</v>
          </cell>
          <cell r="AI361">
            <v>0</v>
          </cell>
          <cell r="AJ361">
            <v>0</v>
          </cell>
          <cell r="BZ361" t="str">
            <v/>
          </cell>
        </row>
        <row r="362">
          <cell r="C362" t="str">
            <v/>
          </cell>
          <cell r="X362">
            <v>0</v>
          </cell>
          <cell r="Y362">
            <v>0</v>
          </cell>
          <cell r="Z362">
            <v>0</v>
          </cell>
          <cell r="AA362">
            <v>0</v>
          </cell>
          <cell r="AB362">
            <v>0</v>
          </cell>
          <cell r="AF362">
            <v>0</v>
          </cell>
          <cell r="AG362">
            <v>0</v>
          </cell>
          <cell r="AH362">
            <v>0</v>
          </cell>
          <cell r="AI362">
            <v>0</v>
          </cell>
          <cell r="AJ362">
            <v>0</v>
          </cell>
          <cell r="BZ362" t="str">
            <v/>
          </cell>
        </row>
        <row r="363">
          <cell r="C363" t="str">
            <v/>
          </cell>
          <cell r="X363">
            <v>0</v>
          </cell>
          <cell r="Y363">
            <v>0</v>
          </cell>
          <cell r="Z363">
            <v>0</v>
          </cell>
          <cell r="AA363">
            <v>0</v>
          </cell>
          <cell r="AB363">
            <v>0</v>
          </cell>
          <cell r="AF363">
            <v>0</v>
          </cell>
          <cell r="AG363">
            <v>0</v>
          </cell>
          <cell r="AH363">
            <v>0</v>
          </cell>
          <cell r="AI363">
            <v>0</v>
          </cell>
          <cell r="AJ363">
            <v>0</v>
          </cell>
          <cell r="BZ363" t="str">
            <v/>
          </cell>
        </row>
        <row r="364">
          <cell r="C364" t="str">
            <v/>
          </cell>
          <cell r="X364">
            <v>0</v>
          </cell>
          <cell r="Y364">
            <v>0</v>
          </cell>
          <cell r="Z364">
            <v>0</v>
          </cell>
          <cell r="AA364">
            <v>0</v>
          </cell>
          <cell r="AB364">
            <v>0</v>
          </cell>
          <cell r="AF364">
            <v>0</v>
          </cell>
          <cell r="AG364">
            <v>0</v>
          </cell>
          <cell r="AH364">
            <v>0</v>
          </cell>
          <cell r="AI364">
            <v>0</v>
          </cell>
          <cell r="AJ364">
            <v>0</v>
          </cell>
          <cell r="BZ364" t="str">
            <v/>
          </cell>
        </row>
        <row r="365">
          <cell r="C365" t="str">
            <v/>
          </cell>
          <cell r="X365">
            <v>0</v>
          </cell>
          <cell r="Y365">
            <v>0</v>
          </cell>
          <cell r="Z365">
            <v>0</v>
          </cell>
          <cell r="AA365">
            <v>0</v>
          </cell>
          <cell r="AB365">
            <v>0</v>
          </cell>
          <cell r="AF365">
            <v>0</v>
          </cell>
          <cell r="AG365">
            <v>0</v>
          </cell>
          <cell r="AH365">
            <v>0</v>
          </cell>
          <cell r="AI365">
            <v>0</v>
          </cell>
          <cell r="AJ365">
            <v>0</v>
          </cell>
          <cell r="BZ365" t="str">
            <v/>
          </cell>
        </row>
        <row r="366">
          <cell r="C366" t="str">
            <v/>
          </cell>
          <cell r="X366">
            <v>0</v>
          </cell>
          <cell r="Y366">
            <v>0</v>
          </cell>
          <cell r="Z366">
            <v>0</v>
          </cell>
          <cell r="AA366">
            <v>0</v>
          </cell>
          <cell r="AB366">
            <v>0</v>
          </cell>
          <cell r="AF366">
            <v>0</v>
          </cell>
          <cell r="AG366">
            <v>0</v>
          </cell>
          <cell r="AH366">
            <v>0</v>
          </cell>
          <cell r="AI366">
            <v>0</v>
          </cell>
          <cell r="AJ366">
            <v>0</v>
          </cell>
          <cell r="BZ366" t="str">
            <v/>
          </cell>
        </row>
        <row r="367">
          <cell r="C367" t="str">
            <v/>
          </cell>
          <cell r="X367">
            <v>0</v>
          </cell>
          <cell r="Y367">
            <v>0</v>
          </cell>
          <cell r="Z367">
            <v>0</v>
          </cell>
          <cell r="AA367">
            <v>0</v>
          </cell>
          <cell r="AB367">
            <v>0</v>
          </cell>
          <cell r="AF367">
            <v>0</v>
          </cell>
          <cell r="AG367">
            <v>0</v>
          </cell>
          <cell r="AH367">
            <v>0</v>
          </cell>
          <cell r="AI367">
            <v>0</v>
          </cell>
          <cell r="AJ367">
            <v>0</v>
          </cell>
          <cell r="BZ367" t="str">
            <v/>
          </cell>
        </row>
        <row r="368">
          <cell r="C368" t="str">
            <v/>
          </cell>
          <cell r="X368">
            <v>0</v>
          </cell>
          <cell r="Y368">
            <v>0</v>
          </cell>
          <cell r="Z368">
            <v>0</v>
          </cell>
          <cell r="AA368">
            <v>0</v>
          </cell>
          <cell r="AB368">
            <v>0</v>
          </cell>
          <cell r="AF368">
            <v>0</v>
          </cell>
          <cell r="AG368">
            <v>0</v>
          </cell>
          <cell r="AH368">
            <v>0</v>
          </cell>
          <cell r="AI368">
            <v>0</v>
          </cell>
          <cell r="AJ368">
            <v>0</v>
          </cell>
          <cell r="BZ368" t="str">
            <v/>
          </cell>
        </row>
        <row r="369">
          <cell r="C369" t="str">
            <v/>
          </cell>
          <cell r="X369">
            <v>0</v>
          </cell>
          <cell r="Y369">
            <v>0</v>
          </cell>
          <cell r="Z369">
            <v>0</v>
          </cell>
          <cell r="AA369">
            <v>0</v>
          </cell>
          <cell r="AB369">
            <v>0</v>
          </cell>
          <cell r="AF369">
            <v>0</v>
          </cell>
          <cell r="AG369">
            <v>0</v>
          </cell>
          <cell r="AH369">
            <v>0</v>
          </cell>
          <cell r="AI369">
            <v>0</v>
          </cell>
          <cell r="AJ369">
            <v>0</v>
          </cell>
          <cell r="BZ369" t="str">
            <v/>
          </cell>
        </row>
        <row r="370">
          <cell r="C370" t="str">
            <v/>
          </cell>
          <cell r="X370">
            <v>0</v>
          </cell>
          <cell r="Y370">
            <v>0</v>
          </cell>
          <cell r="Z370">
            <v>0</v>
          </cell>
          <cell r="AA370">
            <v>0</v>
          </cell>
          <cell r="AB370">
            <v>0</v>
          </cell>
          <cell r="AF370">
            <v>0</v>
          </cell>
          <cell r="AG370">
            <v>0</v>
          </cell>
          <cell r="AH370">
            <v>0</v>
          </cell>
          <cell r="AI370">
            <v>0</v>
          </cell>
          <cell r="AJ370">
            <v>0</v>
          </cell>
          <cell r="BZ370" t="str">
            <v/>
          </cell>
        </row>
        <row r="371">
          <cell r="C371" t="str">
            <v/>
          </cell>
          <cell r="X371">
            <v>0</v>
          </cell>
          <cell r="Y371">
            <v>0</v>
          </cell>
          <cell r="Z371">
            <v>0</v>
          </cell>
          <cell r="AA371">
            <v>0</v>
          </cell>
          <cell r="AB371">
            <v>0</v>
          </cell>
          <cell r="AF371">
            <v>0</v>
          </cell>
          <cell r="AG371">
            <v>0</v>
          </cell>
          <cell r="AH371">
            <v>0</v>
          </cell>
          <cell r="AI371">
            <v>0</v>
          </cell>
          <cell r="AJ371">
            <v>0</v>
          </cell>
          <cell r="BZ371" t="str">
            <v/>
          </cell>
        </row>
        <row r="372">
          <cell r="C372" t="str">
            <v/>
          </cell>
          <cell r="X372">
            <v>0</v>
          </cell>
          <cell r="Y372">
            <v>0</v>
          </cell>
          <cell r="Z372">
            <v>0</v>
          </cell>
          <cell r="AA372">
            <v>0</v>
          </cell>
          <cell r="AB372">
            <v>0</v>
          </cell>
          <cell r="AF372">
            <v>0</v>
          </cell>
          <cell r="AG372">
            <v>0</v>
          </cell>
          <cell r="AH372">
            <v>0</v>
          </cell>
          <cell r="AI372">
            <v>0</v>
          </cell>
          <cell r="AJ372">
            <v>0</v>
          </cell>
          <cell r="BZ372" t="str">
            <v/>
          </cell>
        </row>
        <row r="373">
          <cell r="C373" t="str">
            <v/>
          </cell>
          <cell r="X373">
            <v>0</v>
          </cell>
          <cell r="Y373">
            <v>0</v>
          </cell>
          <cell r="Z373">
            <v>0</v>
          </cell>
          <cell r="AA373">
            <v>0</v>
          </cell>
          <cell r="AB373">
            <v>0</v>
          </cell>
          <cell r="AF373">
            <v>0</v>
          </cell>
          <cell r="AG373">
            <v>0</v>
          </cell>
          <cell r="AH373">
            <v>0</v>
          </cell>
          <cell r="AI373">
            <v>0</v>
          </cell>
          <cell r="AJ373">
            <v>0</v>
          </cell>
          <cell r="BZ373" t="str">
            <v/>
          </cell>
        </row>
        <row r="374">
          <cell r="C374" t="str">
            <v/>
          </cell>
          <cell r="X374">
            <v>0</v>
          </cell>
          <cell r="Y374">
            <v>0</v>
          </cell>
          <cell r="Z374">
            <v>0</v>
          </cell>
          <cell r="AA374">
            <v>0</v>
          </cell>
          <cell r="AB374">
            <v>0</v>
          </cell>
          <cell r="AF374">
            <v>0</v>
          </cell>
          <cell r="AG374">
            <v>0</v>
          </cell>
          <cell r="AH374">
            <v>0</v>
          </cell>
          <cell r="AI374">
            <v>0</v>
          </cell>
          <cell r="AJ374">
            <v>0</v>
          </cell>
          <cell r="BZ374" t="str">
            <v/>
          </cell>
        </row>
        <row r="375">
          <cell r="C375" t="str">
            <v/>
          </cell>
          <cell r="X375">
            <v>0</v>
          </cell>
          <cell r="Y375">
            <v>0</v>
          </cell>
          <cell r="Z375">
            <v>0</v>
          </cell>
          <cell r="AA375">
            <v>0</v>
          </cell>
          <cell r="AB375">
            <v>0</v>
          </cell>
          <cell r="AF375">
            <v>0</v>
          </cell>
          <cell r="AG375">
            <v>0</v>
          </cell>
          <cell r="AH375">
            <v>0</v>
          </cell>
          <cell r="AI375">
            <v>0</v>
          </cell>
          <cell r="AJ375">
            <v>0</v>
          </cell>
          <cell r="BZ375" t="str">
            <v/>
          </cell>
        </row>
        <row r="376">
          <cell r="C376" t="str">
            <v/>
          </cell>
          <cell r="X376">
            <v>0</v>
          </cell>
          <cell r="Y376">
            <v>0</v>
          </cell>
          <cell r="Z376">
            <v>0</v>
          </cell>
          <cell r="AA376">
            <v>0</v>
          </cell>
          <cell r="AB376">
            <v>0</v>
          </cell>
          <cell r="AF376">
            <v>0</v>
          </cell>
          <cell r="AG376">
            <v>0</v>
          </cell>
          <cell r="AH376">
            <v>0</v>
          </cell>
          <cell r="AI376">
            <v>0</v>
          </cell>
          <cell r="AJ376">
            <v>0</v>
          </cell>
          <cell r="BZ376" t="str">
            <v/>
          </cell>
        </row>
        <row r="377">
          <cell r="C377" t="str">
            <v/>
          </cell>
          <cell r="X377">
            <v>0</v>
          </cell>
          <cell r="Y377">
            <v>0</v>
          </cell>
          <cell r="Z377">
            <v>0</v>
          </cell>
          <cell r="AA377">
            <v>0</v>
          </cell>
          <cell r="AB377">
            <v>0</v>
          </cell>
          <cell r="AF377">
            <v>0</v>
          </cell>
          <cell r="AG377">
            <v>0</v>
          </cell>
          <cell r="AH377">
            <v>0</v>
          </cell>
          <cell r="AI377">
            <v>0</v>
          </cell>
          <cell r="AJ377">
            <v>0</v>
          </cell>
          <cell r="BZ377" t="str">
            <v/>
          </cell>
        </row>
        <row r="378">
          <cell r="C378" t="str">
            <v/>
          </cell>
          <cell r="X378">
            <v>0</v>
          </cell>
          <cell r="Y378">
            <v>0</v>
          </cell>
          <cell r="Z378">
            <v>0</v>
          </cell>
          <cell r="AA378">
            <v>0</v>
          </cell>
          <cell r="AB378">
            <v>0</v>
          </cell>
          <cell r="AF378">
            <v>0</v>
          </cell>
          <cell r="AG378">
            <v>0</v>
          </cell>
          <cell r="AH378">
            <v>0</v>
          </cell>
          <cell r="AI378">
            <v>0</v>
          </cell>
          <cell r="AJ378">
            <v>0</v>
          </cell>
          <cell r="BZ378" t="str">
            <v/>
          </cell>
        </row>
        <row r="379">
          <cell r="C379" t="str">
            <v/>
          </cell>
          <cell r="X379">
            <v>0</v>
          </cell>
          <cell r="Y379">
            <v>0</v>
          </cell>
          <cell r="Z379">
            <v>0</v>
          </cell>
          <cell r="AA379">
            <v>0</v>
          </cell>
          <cell r="AB379">
            <v>0</v>
          </cell>
          <cell r="AF379">
            <v>0</v>
          </cell>
          <cell r="AG379">
            <v>0</v>
          </cell>
          <cell r="AH379">
            <v>0</v>
          </cell>
          <cell r="AI379">
            <v>0</v>
          </cell>
          <cell r="AJ379">
            <v>0</v>
          </cell>
          <cell r="BZ379" t="str">
            <v/>
          </cell>
        </row>
        <row r="380">
          <cell r="C380" t="str">
            <v/>
          </cell>
          <cell r="X380">
            <v>0</v>
          </cell>
          <cell r="Y380">
            <v>0</v>
          </cell>
          <cell r="Z380">
            <v>0</v>
          </cell>
          <cell r="AA380">
            <v>0</v>
          </cell>
          <cell r="AB380">
            <v>0</v>
          </cell>
          <cell r="AF380">
            <v>0</v>
          </cell>
          <cell r="AG380">
            <v>0</v>
          </cell>
          <cell r="AH380">
            <v>0</v>
          </cell>
          <cell r="AI380">
            <v>0</v>
          </cell>
          <cell r="AJ380">
            <v>0</v>
          </cell>
          <cell r="BZ380" t="str">
            <v/>
          </cell>
        </row>
        <row r="381">
          <cell r="C381" t="str">
            <v/>
          </cell>
          <cell r="X381">
            <v>0</v>
          </cell>
          <cell r="Y381">
            <v>0</v>
          </cell>
          <cell r="Z381">
            <v>0</v>
          </cell>
          <cell r="AA381">
            <v>0</v>
          </cell>
          <cell r="AB381">
            <v>0</v>
          </cell>
          <cell r="AF381">
            <v>0</v>
          </cell>
          <cell r="AG381">
            <v>0</v>
          </cell>
          <cell r="AH381">
            <v>0</v>
          </cell>
          <cell r="AI381">
            <v>0</v>
          </cell>
          <cell r="AJ381">
            <v>0</v>
          </cell>
          <cell r="BZ381" t="str">
            <v/>
          </cell>
        </row>
        <row r="382">
          <cell r="C382" t="str">
            <v/>
          </cell>
          <cell r="X382">
            <v>0</v>
          </cell>
          <cell r="Y382">
            <v>0</v>
          </cell>
          <cell r="Z382">
            <v>0</v>
          </cell>
          <cell r="AA382">
            <v>0</v>
          </cell>
          <cell r="AB382">
            <v>0</v>
          </cell>
          <cell r="AF382">
            <v>0</v>
          </cell>
          <cell r="AG382">
            <v>0</v>
          </cell>
          <cell r="AH382">
            <v>0</v>
          </cell>
          <cell r="AI382">
            <v>0</v>
          </cell>
          <cell r="AJ382">
            <v>0</v>
          </cell>
          <cell r="BZ382" t="str">
            <v/>
          </cell>
        </row>
        <row r="383">
          <cell r="C383" t="str">
            <v/>
          </cell>
          <cell r="X383">
            <v>0</v>
          </cell>
          <cell r="Y383">
            <v>0</v>
          </cell>
          <cell r="Z383">
            <v>0</v>
          </cell>
          <cell r="AA383">
            <v>0</v>
          </cell>
          <cell r="AB383">
            <v>0</v>
          </cell>
          <cell r="AF383">
            <v>0</v>
          </cell>
          <cell r="AG383">
            <v>0</v>
          </cell>
          <cell r="AH383">
            <v>0</v>
          </cell>
          <cell r="AI383">
            <v>0</v>
          </cell>
          <cell r="AJ383">
            <v>0</v>
          </cell>
          <cell r="BZ383" t="str">
            <v/>
          </cell>
        </row>
        <row r="384">
          <cell r="C384" t="str">
            <v/>
          </cell>
          <cell r="X384">
            <v>0</v>
          </cell>
          <cell r="Y384">
            <v>0</v>
          </cell>
          <cell r="Z384">
            <v>0</v>
          </cell>
          <cell r="AA384">
            <v>0</v>
          </cell>
          <cell r="AB384">
            <v>0</v>
          </cell>
          <cell r="AF384">
            <v>0</v>
          </cell>
          <cell r="AG384">
            <v>0</v>
          </cell>
          <cell r="AH384">
            <v>0</v>
          </cell>
          <cell r="AI384">
            <v>0</v>
          </cell>
          <cell r="AJ384">
            <v>0</v>
          </cell>
          <cell r="BZ384" t="str">
            <v/>
          </cell>
        </row>
        <row r="385">
          <cell r="C385" t="str">
            <v/>
          </cell>
          <cell r="X385">
            <v>0</v>
          </cell>
          <cell r="Y385">
            <v>0</v>
          </cell>
          <cell r="Z385">
            <v>0</v>
          </cell>
          <cell r="AA385">
            <v>0</v>
          </cell>
          <cell r="AB385">
            <v>0</v>
          </cell>
          <cell r="AF385">
            <v>0</v>
          </cell>
          <cell r="AG385">
            <v>0</v>
          </cell>
          <cell r="AH385">
            <v>0</v>
          </cell>
          <cell r="AI385">
            <v>0</v>
          </cell>
          <cell r="AJ385">
            <v>0</v>
          </cell>
          <cell r="BZ385" t="str">
            <v/>
          </cell>
        </row>
        <row r="386">
          <cell r="C386" t="str">
            <v/>
          </cell>
          <cell r="X386">
            <v>0</v>
          </cell>
          <cell r="Y386">
            <v>0</v>
          </cell>
          <cell r="Z386">
            <v>0</v>
          </cell>
          <cell r="AA386">
            <v>0</v>
          </cell>
          <cell r="AB386">
            <v>0</v>
          </cell>
          <cell r="AF386">
            <v>0</v>
          </cell>
          <cell r="AG386">
            <v>0</v>
          </cell>
          <cell r="AH386">
            <v>0</v>
          </cell>
          <cell r="AI386">
            <v>0</v>
          </cell>
          <cell r="AJ386">
            <v>0</v>
          </cell>
          <cell r="BZ386" t="str">
            <v/>
          </cell>
        </row>
        <row r="387">
          <cell r="C387" t="str">
            <v/>
          </cell>
          <cell r="X387">
            <v>0</v>
          </cell>
          <cell r="Y387">
            <v>0</v>
          </cell>
          <cell r="Z387">
            <v>0</v>
          </cell>
          <cell r="AA387">
            <v>0</v>
          </cell>
          <cell r="AB387">
            <v>0</v>
          </cell>
          <cell r="AF387">
            <v>0</v>
          </cell>
          <cell r="AG387">
            <v>0</v>
          </cell>
          <cell r="AH387">
            <v>0</v>
          </cell>
          <cell r="AI387">
            <v>0</v>
          </cell>
          <cell r="AJ387">
            <v>0</v>
          </cell>
          <cell r="BZ387" t="str">
            <v/>
          </cell>
        </row>
        <row r="388">
          <cell r="C388" t="str">
            <v/>
          </cell>
          <cell r="X388">
            <v>0</v>
          </cell>
          <cell r="Y388">
            <v>0</v>
          </cell>
          <cell r="Z388">
            <v>0</v>
          </cell>
          <cell r="AA388">
            <v>0</v>
          </cell>
          <cell r="AB388">
            <v>0</v>
          </cell>
          <cell r="AF388">
            <v>0</v>
          </cell>
          <cell r="AG388">
            <v>0</v>
          </cell>
          <cell r="AH388">
            <v>0</v>
          </cell>
          <cell r="AI388">
            <v>0</v>
          </cell>
          <cell r="AJ388">
            <v>0</v>
          </cell>
          <cell r="BZ388" t="str">
            <v/>
          </cell>
        </row>
        <row r="389">
          <cell r="C389" t="str">
            <v/>
          </cell>
          <cell r="X389">
            <v>0</v>
          </cell>
          <cell r="Y389">
            <v>0</v>
          </cell>
          <cell r="Z389">
            <v>0</v>
          </cell>
          <cell r="AA389">
            <v>0</v>
          </cell>
          <cell r="AB389">
            <v>0</v>
          </cell>
          <cell r="AF389">
            <v>0</v>
          </cell>
          <cell r="AG389">
            <v>0</v>
          </cell>
          <cell r="AH389">
            <v>0</v>
          </cell>
          <cell r="AI389">
            <v>0</v>
          </cell>
          <cell r="AJ389">
            <v>0</v>
          </cell>
          <cell r="BZ389" t="str">
            <v/>
          </cell>
        </row>
        <row r="390">
          <cell r="C390" t="str">
            <v/>
          </cell>
          <cell r="X390">
            <v>0</v>
          </cell>
          <cell r="Y390">
            <v>0</v>
          </cell>
          <cell r="Z390">
            <v>0</v>
          </cell>
          <cell r="AA390">
            <v>0</v>
          </cell>
          <cell r="AB390">
            <v>0</v>
          </cell>
          <cell r="AF390">
            <v>0</v>
          </cell>
          <cell r="AG390">
            <v>0</v>
          </cell>
          <cell r="AH390">
            <v>0</v>
          </cell>
          <cell r="AI390">
            <v>0</v>
          </cell>
          <cell r="AJ390">
            <v>0</v>
          </cell>
          <cell r="BZ390" t="str">
            <v/>
          </cell>
        </row>
        <row r="391">
          <cell r="C391" t="str">
            <v/>
          </cell>
          <cell r="X391">
            <v>0</v>
          </cell>
          <cell r="Y391">
            <v>0</v>
          </cell>
          <cell r="Z391">
            <v>0</v>
          </cell>
          <cell r="AA391">
            <v>0</v>
          </cell>
          <cell r="AB391">
            <v>0</v>
          </cell>
          <cell r="AF391">
            <v>0</v>
          </cell>
          <cell r="AG391">
            <v>0</v>
          </cell>
          <cell r="AH391">
            <v>0</v>
          </cell>
          <cell r="AI391">
            <v>0</v>
          </cell>
          <cell r="AJ391">
            <v>0</v>
          </cell>
          <cell r="BZ391" t="str">
            <v/>
          </cell>
        </row>
        <row r="392">
          <cell r="C392" t="str">
            <v/>
          </cell>
          <cell r="X392">
            <v>0</v>
          </cell>
          <cell r="Y392">
            <v>0</v>
          </cell>
          <cell r="Z392">
            <v>0</v>
          </cell>
          <cell r="AA392">
            <v>0</v>
          </cell>
          <cell r="AB392">
            <v>0</v>
          </cell>
          <cell r="AF392">
            <v>0</v>
          </cell>
          <cell r="AG392">
            <v>0</v>
          </cell>
          <cell r="AH392">
            <v>0</v>
          </cell>
          <cell r="AI392">
            <v>0</v>
          </cell>
          <cell r="AJ392">
            <v>0</v>
          </cell>
          <cell r="BZ392" t="str">
            <v/>
          </cell>
        </row>
        <row r="393">
          <cell r="C393" t="str">
            <v/>
          </cell>
          <cell r="X393">
            <v>0</v>
          </cell>
          <cell r="Y393">
            <v>0</v>
          </cell>
          <cell r="Z393">
            <v>0</v>
          </cell>
          <cell r="AA393">
            <v>0</v>
          </cell>
          <cell r="AB393">
            <v>0</v>
          </cell>
          <cell r="AF393">
            <v>0</v>
          </cell>
          <cell r="AG393">
            <v>0</v>
          </cell>
          <cell r="AH393">
            <v>0</v>
          </cell>
          <cell r="AI393">
            <v>0</v>
          </cell>
          <cell r="AJ393">
            <v>0</v>
          </cell>
          <cell r="BZ393" t="str">
            <v/>
          </cell>
        </row>
        <row r="394">
          <cell r="C394" t="str">
            <v/>
          </cell>
          <cell r="X394">
            <v>0</v>
          </cell>
          <cell r="Y394">
            <v>0</v>
          </cell>
          <cell r="Z394">
            <v>0</v>
          </cell>
          <cell r="AA394">
            <v>0</v>
          </cell>
          <cell r="AB394">
            <v>0</v>
          </cell>
          <cell r="AF394">
            <v>0</v>
          </cell>
          <cell r="AG394">
            <v>0</v>
          </cell>
          <cell r="AH394">
            <v>0</v>
          </cell>
          <cell r="AI394">
            <v>0</v>
          </cell>
          <cell r="AJ394">
            <v>0</v>
          </cell>
          <cell r="BZ394" t="str">
            <v/>
          </cell>
        </row>
        <row r="395">
          <cell r="C395" t="str">
            <v/>
          </cell>
          <cell r="X395">
            <v>0</v>
          </cell>
          <cell r="Y395">
            <v>0</v>
          </cell>
          <cell r="Z395">
            <v>0</v>
          </cell>
          <cell r="AA395">
            <v>0</v>
          </cell>
          <cell r="AB395">
            <v>0</v>
          </cell>
          <cell r="AF395">
            <v>0</v>
          </cell>
          <cell r="AG395">
            <v>0</v>
          </cell>
          <cell r="AH395">
            <v>0</v>
          </cell>
          <cell r="AI395">
            <v>0</v>
          </cell>
          <cell r="AJ395">
            <v>0</v>
          </cell>
          <cell r="BZ395" t="str">
            <v/>
          </cell>
        </row>
        <row r="396">
          <cell r="C396" t="str">
            <v/>
          </cell>
          <cell r="X396">
            <v>0</v>
          </cell>
          <cell r="Y396">
            <v>0</v>
          </cell>
          <cell r="Z396">
            <v>0</v>
          </cell>
          <cell r="AA396">
            <v>0</v>
          </cell>
          <cell r="AB396">
            <v>0</v>
          </cell>
          <cell r="AF396">
            <v>0</v>
          </cell>
          <cell r="AG396">
            <v>0</v>
          </cell>
          <cell r="AH396">
            <v>0</v>
          </cell>
          <cell r="AI396">
            <v>0</v>
          </cell>
          <cell r="AJ396">
            <v>0</v>
          </cell>
          <cell r="BZ396" t="str">
            <v/>
          </cell>
        </row>
        <row r="397">
          <cell r="C397" t="str">
            <v/>
          </cell>
          <cell r="X397">
            <v>0</v>
          </cell>
          <cell r="Y397">
            <v>0</v>
          </cell>
          <cell r="Z397">
            <v>0</v>
          </cell>
          <cell r="AA397">
            <v>0</v>
          </cell>
          <cell r="AB397">
            <v>0</v>
          </cell>
          <cell r="AF397">
            <v>0</v>
          </cell>
          <cell r="AG397">
            <v>0</v>
          </cell>
          <cell r="AH397">
            <v>0</v>
          </cell>
          <cell r="AI397">
            <v>0</v>
          </cell>
          <cell r="AJ397">
            <v>0</v>
          </cell>
          <cell r="BZ397" t="str">
            <v/>
          </cell>
        </row>
        <row r="398">
          <cell r="C398" t="str">
            <v/>
          </cell>
          <cell r="X398">
            <v>0</v>
          </cell>
          <cell r="Y398">
            <v>0</v>
          </cell>
          <cell r="Z398">
            <v>0</v>
          </cell>
          <cell r="AA398">
            <v>0</v>
          </cell>
          <cell r="AB398">
            <v>0</v>
          </cell>
          <cell r="AF398">
            <v>0</v>
          </cell>
          <cell r="AG398">
            <v>0</v>
          </cell>
          <cell r="AH398">
            <v>0</v>
          </cell>
          <cell r="AI398">
            <v>0</v>
          </cell>
          <cell r="AJ398">
            <v>0</v>
          </cell>
          <cell r="BZ398" t="str">
            <v/>
          </cell>
        </row>
        <row r="399">
          <cell r="C399" t="str">
            <v/>
          </cell>
          <cell r="X399">
            <v>0</v>
          </cell>
          <cell r="Y399">
            <v>0</v>
          </cell>
          <cell r="Z399">
            <v>0</v>
          </cell>
          <cell r="AA399">
            <v>0</v>
          </cell>
          <cell r="AB399">
            <v>0</v>
          </cell>
          <cell r="AF399">
            <v>0</v>
          </cell>
          <cell r="AG399">
            <v>0</v>
          </cell>
          <cell r="AH399">
            <v>0</v>
          </cell>
          <cell r="AI399">
            <v>0</v>
          </cell>
          <cell r="AJ399">
            <v>0</v>
          </cell>
          <cell r="BZ399" t="str">
            <v/>
          </cell>
        </row>
        <row r="400">
          <cell r="C400" t="str">
            <v/>
          </cell>
          <cell r="X400">
            <v>0</v>
          </cell>
          <cell r="Y400">
            <v>0</v>
          </cell>
          <cell r="Z400">
            <v>0</v>
          </cell>
          <cell r="AA400">
            <v>0</v>
          </cell>
          <cell r="AB400">
            <v>0</v>
          </cell>
          <cell r="AF400">
            <v>0</v>
          </cell>
          <cell r="AG400">
            <v>0</v>
          </cell>
          <cell r="AH400">
            <v>0</v>
          </cell>
          <cell r="AI400">
            <v>0</v>
          </cell>
          <cell r="AJ400">
            <v>0</v>
          </cell>
          <cell r="BZ400" t="str">
            <v/>
          </cell>
        </row>
        <row r="401">
          <cell r="C401" t="str">
            <v/>
          </cell>
          <cell r="X401">
            <v>0</v>
          </cell>
          <cell r="Y401">
            <v>0</v>
          </cell>
          <cell r="Z401">
            <v>0</v>
          </cell>
          <cell r="AA401">
            <v>0</v>
          </cell>
          <cell r="AB401">
            <v>0</v>
          </cell>
          <cell r="AF401">
            <v>0</v>
          </cell>
          <cell r="AG401">
            <v>0</v>
          </cell>
          <cell r="AH401">
            <v>0</v>
          </cell>
          <cell r="AI401">
            <v>0</v>
          </cell>
          <cell r="AJ401">
            <v>0</v>
          </cell>
          <cell r="BZ401" t="str">
            <v/>
          </cell>
        </row>
        <row r="402">
          <cell r="C402" t="str">
            <v/>
          </cell>
          <cell r="X402">
            <v>0</v>
          </cell>
          <cell r="Y402">
            <v>0</v>
          </cell>
          <cell r="Z402">
            <v>0</v>
          </cell>
          <cell r="AA402">
            <v>0</v>
          </cell>
          <cell r="AB402">
            <v>0</v>
          </cell>
          <cell r="AF402">
            <v>0</v>
          </cell>
          <cell r="AG402">
            <v>0</v>
          </cell>
          <cell r="AH402">
            <v>0</v>
          </cell>
          <cell r="AI402">
            <v>0</v>
          </cell>
          <cell r="AJ402">
            <v>0</v>
          </cell>
          <cell r="BZ402" t="str">
            <v/>
          </cell>
        </row>
        <row r="403">
          <cell r="C403" t="str">
            <v/>
          </cell>
          <cell r="X403">
            <v>0</v>
          </cell>
          <cell r="Y403">
            <v>0</v>
          </cell>
          <cell r="Z403">
            <v>0</v>
          </cell>
          <cell r="AA403">
            <v>0</v>
          </cell>
          <cell r="AB403">
            <v>0</v>
          </cell>
          <cell r="AF403">
            <v>0</v>
          </cell>
          <cell r="AG403">
            <v>0</v>
          </cell>
          <cell r="AH403">
            <v>0</v>
          </cell>
          <cell r="AI403">
            <v>0</v>
          </cell>
          <cell r="AJ403">
            <v>0</v>
          </cell>
          <cell r="BZ403" t="str">
            <v/>
          </cell>
        </row>
        <row r="404">
          <cell r="C404" t="str">
            <v/>
          </cell>
          <cell r="X404">
            <v>0</v>
          </cell>
          <cell r="Y404">
            <v>0</v>
          </cell>
          <cell r="Z404">
            <v>0</v>
          </cell>
          <cell r="AA404">
            <v>0</v>
          </cell>
          <cell r="AB404">
            <v>0</v>
          </cell>
          <cell r="AF404">
            <v>0</v>
          </cell>
          <cell r="AG404">
            <v>0</v>
          </cell>
          <cell r="AH404">
            <v>0</v>
          </cell>
          <cell r="AI404">
            <v>0</v>
          </cell>
          <cell r="AJ404">
            <v>0</v>
          </cell>
          <cell r="BZ404" t="str">
            <v/>
          </cell>
        </row>
        <row r="405">
          <cell r="C405" t="str">
            <v/>
          </cell>
          <cell r="X405">
            <v>0</v>
          </cell>
          <cell r="Y405">
            <v>0</v>
          </cell>
          <cell r="Z405">
            <v>0</v>
          </cell>
          <cell r="AA405">
            <v>0</v>
          </cell>
          <cell r="AB405">
            <v>0</v>
          </cell>
          <cell r="AF405">
            <v>0</v>
          </cell>
          <cell r="AG405">
            <v>0</v>
          </cell>
          <cell r="AH405">
            <v>0</v>
          </cell>
          <cell r="AI405">
            <v>0</v>
          </cell>
          <cell r="AJ405">
            <v>0</v>
          </cell>
          <cell r="BZ405" t="str">
            <v/>
          </cell>
        </row>
        <row r="406">
          <cell r="C406" t="str">
            <v/>
          </cell>
          <cell r="X406">
            <v>0</v>
          </cell>
          <cell r="Y406">
            <v>0</v>
          </cell>
          <cell r="Z406">
            <v>0</v>
          </cell>
          <cell r="AA406">
            <v>0</v>
          </cell>
          <cell r="AB406">
            <v>0</v>
          </cell>
          <cell r="AF406">
            <v>0</v>
          </cell>
          <cell r="AG406">
            <v>0</v>
          </cell>
          <cell r="AH406">
            <v>0</v>
          </cell>
          <cell r="AI406">
            <v>0</v>
          </cell>
          <cell r="AJ406">
            <v>0</v>
          </cell>
          <cell r="BZ406" t="str">
            <v/>
          </cell>
        </row>
        <row r="407">
          <cell r="C407" t="str">
            <v/>
          </cell>
          <cell r="X407">
            <v>0</v>
          </cell>
          <cell r="Y407">
            <v>0</v>
          </cell>
          <cell r="Z407">
            <v>0</v>
          </cell>
          <cell r="AA407">
            <v>0</v>
          </cell>
          <cell r="AB407">
            <v>0</v>
          </cell>
          <cell r="AF407">
            <v>0</v>
          </cell>
          <cell r="AG407">
            <v>0</v>
          </cell>
          <cell r="AH407">
            <v>0</v>
          </cell>
          <cell r="AI407">
            <v>0</v>
          </cell>
          <cell r="AJ407">
            <v>0</v>
          </cell>
          <cell r="BZ407" t="str">
            <v/>
          </cell>
        </row>
        <row r="408">
          <cell r="C408" t="str">
            <v/>
          </cell>
          <cell r="X408">
            <v>0</v>
          </cell>
          <cell r="Y408">
            <v>0</v>
          </cell>
          <cell r="Z408">
            <v>0</v>
          </cell>
          <cell r="AA408">
            <v>0</v>
          </cell>
          <cell r="AB408">
            <v>0</v>
          </cell>
          <cell r="AF408">
            <v>0</v>
          </cell>
          <cell r="AG408">
            <v>0</v>
          </cell>
          <cell r="AH408">
            <v>0</v>
          </cell>
          <cell r="AI408">
            <v>0</v>
          </cell>
          <cell r="AJ408">
            <v>0</v>
          </cell>
          <cell r="BZ408" t="str">
            <v/>
          </cell>
        </row>
        <row r="409">
          <cell r="C409" t="str">
            <v/>
          </cell>
          <cell r="X409">
            <v>0</v>
          </cell>
          <cell r="Y409">
            <v>0</v>
          </cell>
          <cell r="Z409">
            <v>0</v>
          </cell>
          <cell r="AA409">
            <v>0</v>
          </cell>
          <cell r="AB409">
            <v>0</v>
          </cell>
          <cell r="AF409">
            <v>0</v>
          </cell>
          <cell r="AG409">
            <v>0</v>
          </cell>
          <cell r="AH409">
            <v>0</v>
          </cell>
          <cell r="AI409">
            <v>0</v>
          </cell>
          <cell r="AJ409">
            <v>0</v>
          </cell>
          <cell r="BZ409" t="str">
            <v/>
          </cell>
        </row>
        <row r="410">
          <cell r="C410" t="str">
            <v/>
          </cell>
          <cell r="X410">
            <v>0</v>
          </cell>
          <cell r="Y410">
            <v>0</v>
          </cell>
          <cell r="Z410">
            <v>0</v>
          </cell>
          <cell r="AA410">
            <v>0</v>
          </cell>
          <cell r="AB410">
            <v>0</v>
          </cell>
          <cell r="AF410">
            <v>0</v>
          </cell>
          <cell r="AG410">
            <v>0</v>
          </cell>
          <cell r="AH410">
            <v>0</v>
          </cell>
          <cell r="AI410">
            <v>0</v>
          </cell>
          <cell r="AJ410">
            <v>0</v>
          </cell>
          <cell r="BZ410" t="str">
            <v/>
          </cell>
        </row>
        <row r="411">
          <cell r="C411" t="str">
            <v/>
          </cell>
          <cell r="X411">
            <v>0</v>
          </cell>
          <cell r="Y411">
            <v>0</v>
          </cell>
          <cell r="Z411">
            <v>0</v>
          </cell>
          <cell r="AA411">
            <v>0</v>
          </cell>
          <cell r="AB411">
            <v>0</v>
          </cell>
          <cell r="AF411">
            <v>0</v>
          </cell>
          <cell r="AG411">
            <v>0</v>
          </cell>
          <cell r="AH411">
            <v>0</v>
          </cell>
          <cell r="AI411">
            <v>0</v>
          </cell>
          <cell r="AJ411">
            <v>0</v>
          </cell>
          <cell r="BZ411" t="str">
            <v/>
          </cell>
        </row>
        <row r="412">
          <cell r="C412" t="str">
            <v/>
          </cell>
          <cell r="X412">
            <v>0</v>
          </cell>
          <cell r="Y412">
            <v>0</v>
          </cell>
          <cell r="Z412">
            <v>0</v>
          </cell>
          <cell r="AA412">
            <v>0</v>
          </cell>
          <cell r="AB412">
            <v>0</v>
          </cell>
          <cell r="AF412">
            <v>0</v>
          </cell>
          <cell r="AG412">
            <v>0</v>
          </cell>
          <cell r="AH412">
            <v>0</v>
          </cell>
          <cell r="AI412">
            <v>0</v>
          </cell>
          <cell r="AJ412">
            <v>0</v>
          </cell>
          <cell r="BZ412" t="str">
            <v/>
          </cell>
        </row>
        <row r="413">
          <cell r="C413" t="str">
            <v/>
          </cell>
          <cell r="X413">
            <v>0</v>
          </cell>
          <cell r="Y413">
            <v>0</v>
          </cell>
          <cell r="Z413">
            <v>0</v>
          </cell>
          <cell r="AA413">
            <v>0</v>
          </cell>
          <cell r="AB413">
            <v>0</v>
          </cell>
          <cell r="AF413">
            <v>0</v>
          </cell>
          <cell r="AG413">
            <v>0</v>
          </cell>
          <cell r="AH413">
            <v>0</v>
          </cell>
          <cell r="AI413">
            <v>0</v>
          </cell>
          <cell r="AJ413">
            <v>0</v>
          </cell>
          <cell r="BZ413" t="str">
            <v/>
          </cell>
        </row>
        <row r="414">
          <cell r="C414" t="str">
            <v/>
          </cell>
          <cell r="X414">
            <v>0</v>
          </cell>
          <cell r="Y414">
            <v>0</v>
          </cell>
          <cell r="Z414">
            <v>0</v>
          </cell>
          <cell r="AA414">
            <v>0</v>
          </cell>
          <cell r="AB414">
            <v>0</v>
          </cell>
          <cell r="AF414">
            <v>0</v>
          </cell>
          <cell r="AG414">
            <v>0</v>
          </cell>
          <cell r="AH414">
            <v>0</v>
          </cell>
          <cell r="AI414">
            <v>0</v>
          </cell>
          <cell r="AJ414">
            <v>0</v>
          </cell>
          <cell r="BZ414" t="str">
            <v/>
          </cell>
        </row>
        <row r="415">
          <cell r="C415" t="str">
            <v/>
          </cell>
          <cell r="X415">
            <v>0</v>
          </cell>
          <cell r="Y415">
            <v>0</v>
          </cell>
          <cell r="Z415">
            <v>0</v>
          </cell>
          <cell r="AA415">
            <v>0</v>
          </cell>
          <cell r="AB415">
            <v>0</v>
          </cell>
          <cell r="AF415">
            <v>0</v>
          </cell>
          <cell r="AG415">
            <v>0</v>
          </cell>
          <cell r="AH415">
            <v>0</v>
          </cell>
          <cell r="AI415">
            <v>0</v>
          </cell>
          <cell r="AJ415">
            <v>0</v>
          </cell>
          <cell r="BZ415" t="str">
            <v/>
          </cell>
        </row>
        <row r="416">
          <cell r="C416" t="str">
            <v/>
          </cell>
          <cell r="X416">
            <v>0</v>
          </cell>
          <cell r="Y416">
            <v>0</v>
          </cell>
          <cell r="Z416">
            <v>0</v>
          </cell>
          <cell r="AA416">
            <v>0</v>
          </cell>
          <cell r="AB416">
            <v>0</v>
          </cell>
          <cell r="AF416">
            <v>0</v>
          </cell>
          <cell r="AG416">
            <v>0</v>
          </cell>
          <cell r="AH416">
            <v>0</v>
          </cell>
          <cell r="AI416">
            <v>0</v>
          </cell>
          <cell r="AJ416">
            <v>0</v>
          </cell>
          <cell r="BZ416" t="str">
            <v/>
          </cell>
        </row>
        <row r="417">
          <cell r="C417" t="str">
            <v/>
          </cell>
          <cell r="X417">
            <v>0</v>
          </cell>
          <cell r="Y417">
            <v>0</v>
          </cell>
          <cell r="Z417">
            <v>0</v>
          </cell>
          <cell r="AA417">
            <v>0</v>
          </cell>
          <cell r="AB417">
            <v>0</v>
          </cell>
          <cell r="AF417">
            <v>0</v>
          </cell>
          <cell r="AG417">
            <v>0</v>
          </cell>
          <cell r="AH417">
            <v>0</v>
          </cell>
          <cell r="AI417">
            <v>0</v>
          </cell>
          <cell r="AJ417">
            <v>0</v>
          </cell>
          <cell r="BZ417" t="str">
            <v/>
          </cell>
        </row>
        <row r="418">
          <cell r="C418" t="str">
            <v/>
          </cell>
          <cell r="X418">
            <v>0</v>
          </cell>
          <cell r="Y418">
            <v>0</v>
          </cell>
          <cell r="Z418">
            <v>0</v>
          </cell>
          <cell r="AA418">
            <v>0</v>
          </cell>
          <cell r="AB418">
            <v>0</v>
          </cell>
          <cell r="AF418">
            <v>0</v>
          </cell>
          <cell r="AG418">
            <v>0</v>
          </cell>
          <cell r="AH418">
            <v>0</v>
          </cell>
          <cell r="AI418">
            <v>0</v>
          </cell>
          <cell r="AJ418">
            <v>0</v>
          </cell>
          <cell r="BZ418" t="str">
            <v/>
          </cell>
        </row>
        <row r="419">
          <cell r="C419" t="str">
            <v/>
          </cell>
          <cell r="X419">
            <v>0</v>
          </cell>
          <cell r="Y419">
            <v>0</v>
          </cell>
          <cell r="Z419">
            <v>0</v>
          </cell>
          <cell r="AA419">
            <v>0</v>
          </cell>
          <cell r="AB419">
            <v>0</v>
          </cell>
          <cell r="AF419">
            <v>0</v>
          </cell>
          <cell r="AG419">
            <v>0</v>
          </cell>
          <cell r="AH419">
            <v>0</v>
          </cell>
          <cell r="AI419">
            <v>0</v>
          </cell>
          <cell r="AJ419">
            <v>0</v>
          </cell>
          <cell r="BZ419" t="str">
            <v/>
          </cell>
        </row>
        <row r="420">
          <cell r="C420" t="str">
            <v/>
          </cell>
          <cell r="X420">
            <v>0</v>
          </cell>
          <cell r="Y420">
            <v>0</v>
          </cell>
          <cell r="Z420">
            <v>0</v>
          </cell>
          <cell r="AA420">
            <v>0</v>
          </cell>
          <cell r="AB420">
            <v>0</v>
          </cell>
          <cell r="AF420">
            <v>0</v>
          </cell>
          <cell r="AG420">
            <v>0</v>
          </cell>
          <cell r="AH420">
            <v>0</v>
          </cell>
          <cell r="AI420">
            <v>0</v>
          </cell>
          <cell r="AJ420">
            <v>0</v>
          </cell>
          <cell r="BZ420" t="str">
            <v/>
          </cell>
        </row>
        <row r="421">
          <cell r="C421" t="str">
            <v/>
          </cell>
          <cell r="X421">
            <v>0</v>
          </cell>
          <cell r="Y421">
            <v>0</v>
          </cell>
          <cell r="Z421">
            <v>0</v>
          </cell>
          <cell r="AA421">
            <v>0</v>
          </cell>
          <cell r="AB421">
            <v>0</v>
          </cell>
          <cell r="AF421">
            <v>0</v>
          </cell>
          <cell r="AG421">
            <v>0</v>
          </cell>
          <cell r="AH421">
            <v>0</v>
          </cell>
          <cell r="AI421">
            <v>0</v>
          </cell>
          <cell r="AJ421">
            <v>0</v>
          </cell>
          <cell r="BZ421" t="str">
            <v/>
          </cell>
        </row>
        <row r="422">
          <cell r="C422" t="str">
            <v/>
          </cell>
          <cell r="X422">
            <v>0</v>
          </cell>
          <cell r="Y422">
            <v>0</v>
          </cell>
          <cell r="Z422">
            <v>0</v>
          </cell>
          <cell r="AA422">
            <v>0</v>
          </cell>
          <cell r="AB422">
            <v>0</v>
          </cell>
          <cell r="AF422">
            <v>0</v>
          </cell>
          <cell r="AG422">
            <v>0</v>
          </cell>
          <cell r="AH422">
            <v>0</v>
          </cell>
          <cell r="AI422">
            <v>0</v>
          </cell>
          <cell r="AJ422">
            <v>0</v>
          </cell>
          <cell r="BZ422" t="str">
            <v/>
          </cell>
        </row>
        <row r="423">
          <cell r="C423" t="str">
            <v/>
          </cell>
          <cell r="X423">
            <v>0</v>
          </cell>
          <cell r="Y423">
            <v>0</v>
          </cell>
          <cell r="Z423">
            <v>0</v>
          </cell>
          <cell r="AA423">
            <v>0</v>
          </cell>
          <cell r="AB423">
            <v>0</v>
          </cell>
          <cell r="AF423">
            <v>0</v>
          </cell>
          <cell r="AG423">
            <v>0</v>
          </cell>
          <cell r="AH423">
            <v>0</v>
          </cell>
          <cell r="AI423">
            <v>0</v>
          </cell>
          <cell r="AJ423">
            <v>0</v>
          </cell>
          <cell r="BZ423" t="str">
            <v/>
          </cell>
        </row>
        <row r="424">
          <cell r="C424" t="str">
            <v/>
          </cell>
          <cell r="X424">
            <v>0</v>
          </cell>
          <cell r="Y424">
            <v>0</v>
          </cell>
          <cell r="Z424">
            <v>0</v>
          </cell>
          <cell r="AA424">
            <v>0</v>
          </cell>
          <cell r="AB424">
            <v>0</v>
          </cell>
          <cell r="AF424">
            <v>0</v>
          </cell>
          <cell r="AG424">
            <v>0</v>
          </cell>
          <cell r="AH424">
            <v>0</v>
          </cell>
          <cell r="AI424">
            <v>0</v>
          </cell>
          <cell r="AJ424">
            <v>0</v>
          </cell>
          <cell r="BZ424" t="str">
            <v/>
          </cell>
        </row>
        <row r="425">
          <cell r="C425" t="str">
            <v/>
          </cell>
          <cell r="X425">
            <v>0</v>
          </cell>
          <cell r="Y425">
            <v>0</v>
          </cell>
          <cell r="Z425">
            <v>0</v>
          </cell>
          <cell r="AA425">
            <v>0</v>
          </cell>
          <cell r="AB425">
            <v>0</v>
          </cell>
          <cell r="AF425">
            <v>0</v>
          </cell>
          <cell r="AG425">
            <v>0</v>
          </cell>
          <cell r="AH425">
            <v>0</v>
          </cell>
          <cell r="AI425">
            <v>0</v>
          </cell>
          <cell r="AJ425">
            <v>0</v>
          </cell>
          <cell r="BZ425" t="str">
            <v/>
          </cell>
        </row>
        <row r="426">
          <cell r="C426" t="str">
            <v/>
          </cell>
          <cell r="X426">
            <v>0</v>
          </cell>
          <cell r="Y426">
            <v>0</v>
          </cell>
          <cell r="Z426">
            <v>0</v>
          </cell>
          <cell r="AA426">
            <v>0</v>
          </cell>
          <cell r="AB426">
            <v>0</v>
          </cell>
          <cell r="AF426">
            <v>0</v>
          </cell>
          <cell r="AG426">
            <v>0</v>
          </cell>
          <cell r="AH426">
            <v>0</v>
          </cell>
          <cell r="AI426">
            <v>0</v>
          </cell>
          <cell r="AJ426">
            <v>0</v>
          </cell>
          <cell r="BZ426" t="str">
            <v/>
          </cell>
        </row>
        <row r="427">
          <cell r="C427" t="str">
            <v/>
          </cell>
          <cell r="X427">
            <v>0</v>
          </cell>
          <cell r="Y427">
            <v>0</v>
          </cell>
          <cell r="Z427">
            <v>0</v>
          </cell>
          <cell r="AA427">
            <v>0</v>
          </cell>
          <cell r="AB427">
            <v>0</v>
          </cell>
          <cell r="AF427">
            <v>0</v>
          </cell>
          <cell r="AG427">
            <v>0</v>
          </cell>
          <cell r="AH427">
            <v>0</v>
          </cell>
          <cell r="AI427">
            <v>0</v>
          </cell>
          <cell r="AJ427">
            <v>0</v>
          </cell>
          <cell r="BZ427" t="str">
            <v/>
          </cell>
        </row>
        <row r="428">
          <cell r="C428" t="str">
            <v/>
          </cell>
          <cell r="X428">
            <v>0</v>
          </cell>
          <cell r="Y428">
            <v>0</v>
          </cell>
          <cell r="Z428">
            <v>0</v>
          </cell>
          <cell r="AA428">
            <v>0</v>
          </cell>
          <cell r="AB428">
            <v>0</v>
          </cell>
          <cell r="AF428">
            <v>0</v>
          </cell>
          <cell r="AG428">
            <v>0</v>
          </cell>
          <cell r="AH428">
            <v>0</v>
          </cell>
          <cell r="AI428">
            <v>0</v>
          </cell>
          <cell r="AJ428">
            <v>0</v>
          </cell>
          <cell r="BZ428" t="str">
            <v/>
          </cell>
        </row>
        <row r="429">
          <cell r="C429" t="str">
            <v/>
          </cell>
          <cell r="X429">
            <v>0</v>
          </cell>
          <cell r="Y429">
            <v>0</v>
          </cell>
          <cell r="Z429">
            <v>0</v>
          </cell>
          <cell r="AA429">
            <v>0</v>
          </cell>
          <cell r="AB429">
            <v>0</v>
          </cell>
          <cell r="AF429">
            <v>0</v>
          </cell>
          <cell r="AG429">
            <v>0</v>
          </cell>
          <cell r="AH429">
            <v>0</v>
          </cell>
          <cell r="AI429">
            <v>0</v>
          </cell>
          <cell r="AJ429">
            <v>0</v>
          </cell>
          <cell r="BZ429" t="str">
            <v/>
          </cell>
        </row>
        <row r="430">
          <cell r="C430" t="str">
            <v/>
          </cell>
          <cell r="X430">
            <v>0</v>
          </cell>
          <cell r="Y430">
            <v>0</v>
          </cell>
          <cell r="Z430">
            <v>0</v>
          </cell>
          <cell r="AA430">
            <v>0</v>
          </cell>
          <cell r="AB430">
            <v>0</v>
          </cell>
          <cell r="AF430">
            <v>0</v>
          </cell>
          <cell r="AG430">
            <v>0</v>
          </cell>
          <cell r="AH430">
            <v>0</v>
          </cell>
          <cell r="AI430">
            <v>0</v>
          </cell>
          <cell r="AJ430">
            <v>0</v>
          </cell>
          <cell r="BZ430" t="str">
            <v/>
          </cell>
        </row>
        <row r="431">
          <cell r="C431" t="str">
            <v/>
          </cell>
          <cell r="X431">
            <v>0</v>
          </cell>
          <cell r="Y431">
            <v>0</v>
          </cell>
          <cell r="Z431">
            <v>0</v>
          </cell>
          <cell r="AA431">
            <v>0</v>
          </cell>
          <cell r="AB431">
            <v>0</v>
          </cell>
          <cell r="AF431">
            <v>0</v>
          </cell>
          <cell r="AG431">
            <v>0</v>
          </cell>
          <cell r="AH431">
            <v>0</v>
          </cell>
          <cell r="AI431">
            <v>0</v>
          </cell>
          <cell r="AJ431">
            <v>0</v>
          </cell>
          <cell r="BZ431" t="str">
            <v/>
          </cell>
        </row>
        <row r="432">
          <cell r="C432" t="str">
            <v/>
          </cell>
          <cell r="X432">
            <v>0</v>
          </cell>
          <cell r="Y432">
            <v>0</v>
          </cell>
          <cell r="Z432">
            <v>0</v>
          </cell>
          <cell r="AA432">
            <v>0</v>
          </cell>
          <cell r="AB432">
            <v>0</v>
          </cell>
          <cell r="AF432">
            <v>0</v>
          </cell>
          <cell r="AG432">
            <v>0</v>
          </cell>
          <cell r="AH432">
            <v>0</v>
          </cell>
          <cell r="AI432">
            <v>0</v>
          </cell>
          <cell r="AJ432">
            <v>0</v>
          </cell>
          <cell r="BZ432" t="str">
            <v/>
          </cell>
        </row>
        <row r="433">
          <cell r="C433" t="str">
            <v/>
          </cell>
          <cell r="X433">
            <v>0</v>
          </cell>
          <cell r="Y433">
            <v>0</v>
          </cell>
          <cell r="Z433">
            <v>0</v>
          </cell>
          <cell r="AA433">
            <v>0</v>
          </cell>
          <cell r="AB433">
            <v>0</v>
          </cell>
          <cell r="AF433">
            <v>0</v>
          </cell>
          <cell r="AG433">
            <v>0</v>
          </cell>
          <cell r="AH433">
            <v>0</v>
          </cell>
          <cell r="AI433">
            <v>0</v>
          </cell>
          <cell r="AJ433">
            <v>0</v>
          </cell>
          <cell r="BZ433" t="str">
            <v/>
          </cell>
        </row>
        <row r="434">
          <cell r="C434" t="str">
            <v/>
          </cell>
          <cell r="X434">
            <v>0</v>
          </cell>
          <cell r="Y434">
            <v>0</v>
          </cell>
          <cell r="Z434">
            <v>0</v>
          </cell>
          <cell r="AA434">
            <v>0</v>
          </cell>
          <cell r="AB434">
            <v>0</v>
          </cell>
          <cell r="AF434">
            <v>0</v>
          </cell>
          <cell r="AG434">
            <v>0</v>
          </cell>
          <cell r="AH434">
            <v>0</v>
          </cell>
          <cell r="AI434">
            <v>0</v>
          </cell>
          <cell r="AJ434">
            <v>0</v>
          </cell>
          <cell r="BZ434" t="str">
            <v/>
          </cell>
        </row>
        <row r="435">
          <cell r="C435" t="str">
            <v/>
          </cell>
          <cell r="X435">
            <v>0</v>
          </cell>
          <cell r="Y435">
            <v>0</v>
          </cell>
          <cell r="Z435">
            <v>0</v>
          </cell>
          <cell r="AA435">
            <v>0</v>
          </cell>
          <cell r="AB435">
            <v>0</v>
          </cell>
          <cell r="AF435">
            <v>0</v>
          </cell>
          <cell r="AG435">
            <v>0</v>
          </cell>
          <cell r="AH435">
            <v>0</v>
          </cell>
          <cell r="AI435">
            <v>0</v>
          </cell>
          <cell r="AJ435">
            <v>0</v>
          </cell>
          <cell r="BZ435" t="str">
            <v/>
          </cell>
        </row>
        <row r="436">
          <cell r="C436" t="str">
            <v/>
          </cell>
          <cell r="X436">
            <v>0</v>
          </cell>
          <cell r="Y436">
            <v>0</v>
          </cell>
          <cell r="Z436">
            <v>0</v>
          </cell>
          <cell r="AA436">
            <v>0</v>
          </cell>
          <cell r="AB436">
            <v>0</v>
          </cell>
          <cell r="AF436">
            <v>0</v>
          </cell>
          <cell r="AG436">
            <v>0</v>
          </cell>
          <cell r="AH436">
            <v>0</v>
          </cell>
          <cell r="AI436">
            <v>0</v>
          </cell>
          <cell r="AJ436">
            <v>0</v>
          </cell>
          <cell r="BZ436" t="str">
            <v/>
          </cell>
        </row>
        <row r="437">
          <cell r="C437" t="str">
            <v/>
          </cell>
          <cell r="X437">
            <v>0</v>
          </cell>
          <cell r="Y437">
            <v>0</v>
          </cell>
          <cell r="Z437">
            <v>0</v>
          </cell>
          <cell r="AA437">
            <v>0</v>
          </cell>
          <cell r="AB437">
            <v>0</v>
          </cell>
          <cell r="AF437">
            <v>0</v>
          </cell>
          <cell r="AG437">
            <v>0</v>
          </cell>
          <cell r="AH437">
            <v>0</v>
          </cell>
          <cell r="AI437">
            <v>0</v>
          </cell>
          <cell r="AJ437">
            <v>0</v>
          </cell>
          <cell r="BZ437" t="str">
            <v/>
          </cell>
        </row>
        <row r="438">
          <cell r="C438" t="str">
            <v/>
          </cell>
          <cell r="X438">
            <v>0</v>
          </cell>
          <cell r="Y438">
            <v>0</v>
          </cell>
          <cell r="Z438">
            <v>0</v>
          </cell>
          <cell r="AA438">
            <v>0</v>
          </cell>
          <cell r="AB438">
            <v>0</v>
          </cell>
          <cell r="AF438">
            <v>0</v>
          </cell>
          <cell r="AG438">
            <v>0</v>
          </cell>
          <cell r="AH438">
            <v>0</v>
          </cell>
          <cell r="AI438">
            <v>0</v>
          </cell>
          <cell r="AJ438">
            <v>0</v>
          </cell>
          <cell r="BZ438" t="str">
            <v/>
          </cell>
        </row>
        <row r="439">
          <cell r="C439" t="str">
            <v/>
          </cell>
          <cell r="X439">
            <v>0</v>
          </cell>
          <cell r="Y439">
            <v>0</v>
          </cell>
          <cell r="Z439">
            <v>0</v>
          </cell>
          <cell r="AA439">
            <v>0</v>
          </cell>
          <cell r="AB439">
            <v>0</v>
          </cell>
          <cell r="AF439">
            <v>0</v>
          </cell>
          <cell r="AG439">
            <v>0</v>
          </cell>
          <cell r="AH439">
            <v>0</v>
          </cell>
          <cell r="AI439">
            <v>0</v>
          </cell>
          <cell r="AJ439">
            <v>0</v>
          </cell>
          <cell r="BZ439" t="str">
            <v/>
          </cell>
        </row>
        <row r="440">
          <cell r="C440" t="str">
            <v/>
          </cell>
          <cell r="X440">
            <v>0</v>
          </cell>
          <cell r="Y440">
            <v>0</v>
          </cell>
          <cell r="Z440">
            <v>0</v>
          </cell>
          <cell r="AA440">
            <v>0</v>
          </cell>
          <cell r="AB440">
            <v>0</v>
          </cell>
          <cell r="AF440">
            <v>0</v>
          </cell>
          <cell r="AG440">
            <v>0</v>
          </cell>
          <cell r="AH440">
            <v>0</v>
          </cell>
          <cell r="AI440">
            <v>0</v>
          </cell>
          <cell r="AJ440">
            <v>0</v>
          </cell>
          <cell r="BZ440" t="str">
            <v/>
          </cell>
        </row>
        <row r="441">
          <cell r="C441" t="str">
            <v/>
          </cell>
          <cell r="X441">
            <v>0</v>
          </cell>
          <cell r="Y441">
            <v>0</v>
          </cell>
          <cell r="Z441">
            <v>0</v>
          </cell>
          <cell r="AA441">
            <v>0</v>
          </cell>
          <cell r="AB441">
            <v>0</v>
          </cell>
          <cell r="AF441">
            <v>0</v>
          </cell>
          <cell r="AG441">
            <v>0</v>
          </cell>
          <cell r="AH441">
            <v>0</v>
          </cell>
          <cell r="AI441">
            <v>0</v>
          </cell>
          <cell r="AJ441">
            <v>0</v>
          </cell>
          <cell r="BZ441" t="str">
            <v/>
          </cell>
        </row>
        <row r="442">
          <cell r="C442" t="str">
            <v/>
          </cell>
          <cell r="X442">
            <v>0</v>
          </cell>
          <cell r="Y442">
            <v>0</v>
          </cell>
          <cell r="Z442">
            <v>0</v>
          </cell>
          <cell r="AA442">
            <v>0</v>
          </cell>
          <cell r="AB442">
            <v>0</v>
          </cell>
          <cell r="AF442">
            <v>0</v>
          </cell>
          <cell r="AG442">
            <v>0</v>
          </cell>
          <cell r="AH442">
            <v>0</v>
          </cell>
          <cell r="AI442">
            <v>0</v>
          </cell>
          <cell r="AJ442">
            <v>0</v>
          </cell>
          <cell r="BZ442" t="str">
            <v/>
          </cell>
        </row>
        <row r="443">
          <cell r="C443" t="str">
            <v/>
          </cell>
          <cell r="X443">
            <v>0</v>
          </cell>
          <cell r="Y443">
            <v>0</v>
          </cell>
          <cell r="Z443">
            <v>0</v>
          </cell>
          <cell r="AA443">
            <v>0</v>
          </cell>
          <cell r="AB443">
            <v>0</v>
          </cell>
          <cell r="AF443">
            <v>0</v>
          </cell>
          <cell r="AG443">
            <v>0</v>
          </cell>
          <cell r="AH443">
            <v>0</v>
          </cell>
          <cell r="AI443">
            <v>0</v>
          </cell>
          <cell r="AJ443">
            <v>0</v>
          </cell>
          <cell r="BZ443" t="str">
            <v/>
          </cell>
        </row>
        <row r="444">
          <cell r="C444" t="str">
            <v/>
          </cell>
          <cell r="X444">
            <v>0</v>
          </cell>
          <cell r="Y444">
            <v>0</v>
          </cell>
          <cell r="Z444">
            <v>0</v>
          </cell>
          <cell r="AA444">
            <v>0</v>
          </cell>
          <cell r="AB444">
            <v>0</v>
          </cell>
          <cell r="AF444">
            <v>0</v>
          </cell>
          <cell r="AG444">
            <v>0</v>
          </cell>
          <cell r="AH444">
            <v>0</v>
          </cell>
          <cell r="AI444">
            <v>0</v>
          </cell>
          <cell r="AJ444">
            <v>0</v>
          </cell>
          <cell r="BZ444" t="str">
            <v/>
          </cell>
        </row>
        <row r="445">
          <cell r="C445" t="str">
            <v/>
          </cell>
          <cell r="X445">
            <v>0</v>
          </cell>
          <cell r="Y445">
            <v>0</v>
          </cell>
          <cell r="Z445">
            <v>0</v>
          </cell>
          <cell r="AA445">
            <v>0</v>
          </cell>
          <cell r="AB445">
            <v>0</v>
          </cell>
          <cell r="AF445">
            <v>0</v>
          </cell>
          <cell r="AG445">
            <v>0</v>
          </cell>
          <cell r="AH445">
            <v>0</v>
          </cell>
          <cell r="AI445">
            <v>0</v>
          </cell>
          <cell r="AJ445">
            <v>0</v>
          </cell>
          <cell r="BZ445" t="str">
            <v/>
          </cell>
        </row>
        <row r="446">
          <cell r="C446" t="str">
            <v/>
          </cell>
          <cell r="X446">
            <v>0</v>
          </cell>
          <cell r="Y446">
            <v>0</v>
          </cell>
          <cell r="Z446">
            <v>0</v>
          </cell>
          <cell r="AA446">
            <v>0</v>
          </cell>
          <cell r="AB446">
            <v>0</v>
          </cell>
          <cell r="AF446">
            <v>0</v>
          </cell>
          <cell r="AG446">
            <v>0</v>
          </cell>
          <cell r="AH446">
            <v>0</v>
          </cell>
          <cell r="AI446">
            <v>0</v>
          </cell>
          <cell r="AJ446">
            <v>0</v>
          </cell>
          <cell r="BZ446" t="str">
            <v/>
          </cell>
        </row>
        <row r="447">
          <cell r="C447" t="str">
            <v/>
          </cell>
          <cell r="X447">
            <v>0</v>
          </cell>
          <cell r="Y447">
            <v>0</v>
          </cell>
          <cell r="Z447">
            <v>0</v>
          </cell>
          <cell r="AA447">
            <v>0</v>
          </cell>
          <cell r="AB447">
            <v>0</v>
          </cell>
          <cell r="AF447">
            <v>0</v>
          </cell>
          <cell r="AG447">
            <v>0</v>
          </cell>
          <cell r="AH447">
            <v>0</v>
          </cell>
          <cell r="AI447">
            <v>0</v>
          </cell>
          <cell r="AJ447">
            <v>0</v>
          </cell>
          <cell r="BZ447" t="str">
            <v/>
          </cell>
        </row>
        <row r="448">
          <cell r="C448" t="str">
            <v/>
          </cell>
          <cell r="X448">
            <v>0</v>
          </cell>
          <cell r="Y448">
            <v>0</v>
          </cell>
          <cell r="Z448">
            <v>0</v>
          </cell>
          <cell r="AA448">
            <v>0</v>
          </cell>
          <cell r="AB448">
            <v>0</v>
          </cell>
          <cell r="AF448">
            <v>0</v>
          </cell>
          <cell r="AG448">
            <v>0</v>
          </cell>
          <cell r="AH448">
            <v>0</v>
          </cell>
          <cell r="AI448">
            <v>0</v>
          </cell>
          <cell r="AJ448">
            <v>0</v>
          </cell>
          <cell r="BZ448" t="str">
            <v/>
          </cell>
        </row>
        <row r="449">
          <cell r="C449" t="str">
            <v/>
          </cell>
          <cell r="X449">
            <v>0</v>
          </cell>
          <cell r="Y449">
            <v>0</v>
          </cell>
          <cell r="Z449">
            <v>0</v>
          </cell>
          <cell r="AA449">
            <v>0</v>
          </cell>
          <cell r="AB449">
            <v>0</v>
          </cell>
          <cell r="AF449">
            <v>0</v>
          </cell>
          <cell r="AG449">
            <v>0</v>
          </cell>
          <cell r="AH449">
            <v>0</v>
          </cell>
          <cell r="AI449">
            <v>0</v>
          </cell>
          <cell r="AJ449">
            <v>0</v>
          </cell>
          <cell r="BZ449" t="str">
            <v/>
          </cell>
        </row>
        <row r="450">
          <cell r="C450" t="str">
            <v/>
          </cell>
          <cell r="X450">
            <v>0</v>
          </cell>
          <cell r="Y450">
            <v>0</v>
          </cell>
          <cell r="Z450">
            <v>0</v>
          </cell>
          <cell r="AA450">
            <v>0</v>
          </cell>
          <cell r="AB450">
            <v>0</v>
          </cell>
          <cell r="AF450">
            <v>0</v>
          </cell>
          <cell r="AG450">
            <v>0</v>
          </cell>
          <cell r="AH450">
            <v>0</v>
          </cell>
          <cell r="AI450">
            <v>0</v>
          </cell>
          <cell r="AJ450">
            <v>0</v>
          </cell>
          <cell r="BZ450" t="str">
            <v/>
          </cell>
        </row>
        <row r="451">
          <cell r="C451" t="str">
            <v/>
          </cell>
          <cell r="X451">
            <v>0</v>
          </cell>
          <cell r="Y451">
            <v>0</v>
          </cell>
          <cell r="Z451">
            <v>0</v>
          </cell>
          <cell r="AA451">
            <v>0</v>
          </cell>
          <cell r="AB451">
            <v>0</v>
          </cell>
          <cell r="AF451">
            <v>0</v>
          </cell>
          <cell r="AG451">
            <v>0</v>
          </cell>
          <cell r="AH451">
            <v>0</v>
          </cell>
          <cell r="AI451">
            <v>0</v>
          </cell>
          <cell r="AJ451">
            <v>0</v>
          </cell>
          <cell r="BZ451" t="str">
            <v/>
          </cell>
        </row>
        <row r="452">
          <cell r="C452" t="str">
            <v/>
          </cell>
          <cell r="X452">
            <v>0</v>
          </cell>
          <cell r="Y452">
            <v>0</v>
          </cell>
          <cell r="Z452">
            <v>0</v>
          </cell>
          <cell r="AA452">
            <v>0</v>
          </cell>
          <cell r="AB452">
            <v>0</v>
          </cell>
          <cell r="AF452">
            <v>0</v>
          </cell>
          <cell r="AG452">
            <v>0</v>
          </cell>
          <cell r="AH452">
            <v>0</v>
          </cell>
          <cell r="AI452">
            <v>0</v>
          </cell>
          <cell r="AJ452">
            <v>0</v>
          </cell>
          <cell r="BZ452" t="str">
            <v/>
          </cell>
        </row>
        <row r="453">
          <cell r="C453" t="str">
            <v/>
          </cell>
          <cell r="X453">
            <v>0</v>
          </cell>
          <cell r="Y453">
            <v>0</v>
          </cell>
          <cell r="Z453">
            <v>0</v>
          </cell>
          <cell r="AA453">
            <v>0</v>
          </cell>
          <cell r="AB453">
            <v>0</v>
          </cell>
          <cell r="AF453">
            <v>0</v>
          </cell>
          <cell r="AG453">
            <v>0</v>
          </cell>
          <cell r="AH453">
            <v>0</v>
          </cell>
          <cell r="AI453">
            <v>0</v>
          </cell>
          <cell r="AJ453">
            <v>0</v>
          </cell>
          <cell r="BZ453" t="str">
            <v/>
          </cell>
        </row>
        <row r="454">
          <cell r="C454" t="str">
            <v/>
          </cell>
          <cell r="X454">
            <v>0</v>
          </cell>
          <cell r="Y454">
            <v>0</v>
          </cell>
          <cell r="Z454">
            <v>0</v>
          </cell>
          <cell r="AA454">
            <v>0</v>
          </cell>
          <cell r="AB454">
            <v>0</v>
          </cell>
          <cell r="AF454">
            <v>0</v>
          </cell>
          <cell r="AG454">
            <v>0</v>
          </cell>
          <cell r="AH454">
            <v>0</v>
          </cell>
          <cell r="AI454">
            <v>0</v>
          </cell>
          <cell r="AJ454">
            <v>0</v>
          </cell>
          <cell r="BZ454" t="str">
            <v/>
          </cell>
        </row>
        <row r="455">
          <cell r="C455" t="str">
            <v/>
          </cell>
          <cell r="X455">
            <v>0</v>
          </cell>
          <cell r="Y455">
            <v>0</v>
          </cell>
          <cell r="Z455">
            <v>0</v>
          </cell>
          <cell r="AA455">
            <v>0</v>
          </cell>
          <cell r="AB455">
            <v>0</v>
          </cell>
          <cell r="AF455">
            <v>0</v>
          </cell>
          <cell r="AG455">
            <v>0</v>
          </cell>
          <cell r="AH455">
            <v>0</v>
          </cell>
          <cell r="AI455">
            <v>0</v>
          </cell>
          <cell r="AJ455">
            <v>0</v>
          </cell>
          <cell r="BZ455" t="str">
            <v/>
          </cell>
        </row>
        <row r="456">
          <cell r="C456" t="str">
            <v/>
          </cell>
          <cell r="X456">
            <v>0</v>
          </cell>
          <cell r="Y456">
            <v>0</v>
          </cell>
          <cell r="Z456">
            <v>0</v>
          </cell>
          <cell r="AA456">
            <v>0</v>
          </cell>
          <cell r="AB456">
            <v>0</v>
          </cell>
          <cell r="AF456">
            <v>0</v>
          </cell>
          <cell r="AG456">
            <v>0</v>
          </cell>
          <cell r="AH456">
            <v>0</v>
          </cell>
          <cell r="AI456">
            <v>0</v>
          </cell>
          <cell r="AJ456">
            <v>0</v>
          </cell>
          <cell r="BZ456" t="str">
            <v/>
          </cell>
        </row>
        <row r="457">
          <cell r="C457" t="str">
            <v/>
          </cell>
          <cell r="X457">
            <v>0</v>
          </cell>
          <cell r="Y457">
            <v>0</v>
          </cell>
          <cell r="Z457">
            <v>0</v>
          </cell>
          <cell r="AA457">
            <v>0</v>
          </cell>
          <cell r="AB457">
            <v>0</v>
          </cell>
          <cell r="AF457">
            <v>0</v>
          </cell>
          <cell r="AG457">
            <v>0</v>
          </cell>
          <cell r="AH457">
            <v>0</v>
          </cell>
          <cell r="AI457">
            <v>0</v>
          </cell>
          <cell r="AJ457">
            <v>0</v>
          </cell>
          <cell r="BZ457" t="str">
            <v/>
          </cell>
        </row>
        <row r="458">
          <cell r="C458" t="str">
            <v/>
          </cell>
          <cell r="X458">
            <v>0</v>
          </cell>
          <cell r="Y458">
            <v>0</v>
          </cell>
          <cell r="Z458">
            <v>0</v>
          </cell>
          <cell r="AA458">
            <v>0</v>
          </cell>
          <cell r="AB458">
            <v>0</v>
          </cell>
          <cell r="AF458">
            <v>0</v>
          </cell>
          <cell r="AG458">
            <v>0</v>
          </cell>
          <cell r="AH458">
            <v>0</v>
          </cell>
          <cell r="AI458">
            <v>0</v>
          </cell>
          <cell r="AJ458">
            <v>0</v>
          </cell>
          <cell r="BZ458" t="str">
            <v/>
          </cell>
        </row>
        <row r="459">
          <cell r="C459" t="str">
            <v/>
          </cell>
          <cell r="X459">
            <v>0</v>
          </cell>
          <cell r="Y459">
            <v>0</v>
          </cell>
          <cell r="Z459">
            <v>0</v>
          </cell>
          <cell r="AA459">
            <v>0</v>
          </cell>
          <cell r="AB459">
            <v>0</v>
          </cell>
          <cell r="AF459">
            <v>0</v>
          </cell>
          <cell r="AG459">
            <v>0</v>
          </cell>
          <cell r="AH459">
            <v>0</v>
          </cell>
          <cell r="AI459">
            <v>0</v>
          </cell>
          <cell r="AJ459">
            <v>0</v>
          </cell>
          <cell r="BZ459" t="str">
            <v/>
          </cell>
        </row>
        <row r="460">
          <cell r="C460" t="str">
            <v/>
          </cell>
          <cell r="X460">
            <v>0</v>
          </cell>
          <cell r="Y460">
            <v>0</v>
          </cell>
          <cell r="Z460">
            <v>0</v>
          </cell>
          <cell r="AA460">
            <v>0</v>
          </cell>
          <cell r="AB460">
            <v>0</v>
          </cell>
          <cell r="AF460">
            <v>0</v>
          </cell>
          <cell r="AG460">
            <v>0</v>
          </cell>
          <cell r="AH460">
            <v>0</v>
          </cell>
          <cell r="AI460">
            <v>0</v>
          </cell>
          <cell r="AJ460">
            <v>0</v>
          </cell>
          <cell r="BZ460" t="str">
            <v/>
          </cell>
        </row>
        <row r="461">
          <cell r="C461" t="str">
            <v/>
          </cell>
          <cell r="X461">
            <v>0</v>
          </cell>
          <cell r="Y461">
            <v>0</v>
          </cell>
          <cell r="Z461">
            <v>0</v>
          </cell>
          <cell r="AA461">
            <v>0</v>
          </cell>
          <cell r="AB461">
            <v>0</v>
          </cell>
          <cell r="AF461">
            <v>0</v>
          </cell>
          <cell r="AG461">
            <v>0</v>
          </cell>
          <cell r="AH461">
            <v>0</v>
          </cell>
          <cell r="AI461">
            <v>0</v>
          </cell>
          <cell r="AJ461">
            <v>0</v>
          </cell>
          <cell r="BZ461" t="str">
            <v/>
          </cell>
        </row>
        <row r="462">
          <cell r="C462" t="str">
            <v/>
          </cell>
          <cell r="X462">
            <v>0</v>
          </cell>
          <cell r="Y462">
            <v>0</v>
          </cell>
          <cell r="Z462">
            <v>0</v>
          </cell>
          <cell r="AA462">
            <v>0</v>
          </cell>
          <cell r="AB462">
            <v>0</v>
          </cell>
          <cell r="AF462">
            <v>0</v>
          </cell>
          <cell r="AG462">
            <v>0</v>
          </cell>
          <cell r="AH462">
            <v>0</v>
          </cell>
          <cell r="AI462">
            <v>0</v>
          </cell>
          <cell r="AJ462">
            <v>0</v>
          </cell>
          <cell r="BZ462" t="str">
            <v/>
          </cell>
        </row>
        <row r="463">
          <cell r="C463" t="str">
            <v/>
          </cell>
          <cell r="X463">
            <v>0</v>
          </cell>
          <cell r="Y463">
            <v>0</v>
          </cell>
          <cell r="Z463">
            <v>0</v>
          </cell>
          <cell r="AA463">
            <v>0</v>
          </cell>
          <cell r="AB463">
            <v>0</v>
          </cell>
          <cell r="AF463">
            <v>0</v>
          </cell>
          <cell r="AG463">
            <v>0</v>
          </cell>
          <cell r="AH463">
            <v>0</v>
          </cell>
          <cell r="AI463">
            <v>0</v>
          </cell>
          <cell r="AJ463">
            <v>0</v>
          </cell>
          <cell r="BZ463" t="str">
            <v/>
          </cell>
        </row>
        <row r="464">
          <cell r="C464" t="str">
            <v/>
          </cell>
          <cell r="X464">
            <v>0</v>
          </cell>
          <cell r="Y464">
            <v>0</v>
          </cell>
          <cell r="Z464">
            <v>0</v>
          </cell>
          <cell r="AA464">
            <v>0</v>
          </cell>
          <cell r="AB464">
            <v>0</v>
          </cell>
          <cell r="AF464">
            <v>0</v>
          </cell>
          <cell r="AG464">
            <v>0</v>
          </cell>
          <cell r="AH464">
            <v>0</v>
          </cell>
          <cell r="AI464">
            <v>0</v>
          </cell>
          <cell r="AJ464">
            <v>0</v>
          </cell>
          <cell r="BZ464" t="str">
            <v/>
          </cell>
        </row>
        <row r="465">
          <cell r="C465" t="str">
            <v/>
          </cell>
          <cell r="X465">
            <v>0</v>
          </cell>
          <cell r="Y465">
            <v>0</v>
          </cell>
          <cell r="Z465">
            <v>0</v>
          </cell>
          <cell r="AA465">
            <v>0</v>
          </cell>
          <cell r="AB465">
            <v>0</v>
          </cell>
          <cell r="AF465">
            <v>0</v>
          </cell>
          <cell r="AG465">
            <v>0</v>
          </cell>
          <cell r="AH465">
            <v>0</v>
          </cell>
          <cell r="AI465">
            <v>0</v>
          </cell>
          <cell r="AJ465">
            <v>0</v>
          </cell>
          <cell r="BZ465" t="str">
            <v/>
          </cell>
        </row>
        <row r="466">
          <cell r="C466" t="str">
            <v/>
          </cell>
          <cell r="X466">
            <v>0</v>
          </cell>
          <cell r="Y466">
            <v>0</v>
          </cell>
          <cell r="Z466">
            <v>0</v>
          </cell>
          <cell r="AA466">
            <v>0</v>
          </cell>
          <cell r="AB466">
            <v>0</v>
          </cell>
          <cell r="AF466">
            <v>0</v>
          </cell>
          <cell r="AG466">
            <v>0</v>
          </cell>
          <cell r="AH466">
            <v>0</v>
          </cell>
          <cell r="AI466">
            <v>0</v>
          </cell>
          <cell r="AJ466">
            <v>0</v>
          </cell>
          <cell r="BZ466" t="str">
            <v/>
          </cell>
        </row>
        <row r="467">
          <cell r="C467" t="str">
            <v/>
          </cell>
          <cell r="X467">
            <v>0</v>
          </cell>
          <cell r="Y467">
            <v>0</v>
          </cell>
          <cell r="Z467">
            <v>0</v>
          </cell>
          <cell r="AA467">
            <v>0</v>
          </cell>
          <cell r="AB467">
            <v>0</v>
          </cell>
          <cell r="AF467">
            <v>0</v>
          </cell>
          <cell r="AG467">
            <v>0</v>
          </cell>
          <cell r="AH467">
            <v>0</v>
          </cell>
          <cell r="AI467">
            <v>0</v>
          </cell>
          <cell r="AJ467">
            <v>0</v>
          </cell>
          <cell r="BZ467" t="str">
            <v/>
          </cell>
        </row>
        <row r="468">
          <cell r="C468" t="str">
            <v/>
          </cell>
          <cell r="X468">
            <v>0</v>
          </cell>
          <cell r="Y468">
            <v>0</v>
          </cell>
          <cell r="Z468">
            <v>0</v>
          </cell>
          <cell r="AA468">
            <v>0</v>
          </cell>
          <cell r="AB468">
            <v>0</v>
          </cell>
          <cell r="AF468">
            <v>0</v>
          </cell>
          <cell r="AG468">
            <v>0</v>
          </cell>
          <cell r="AH468">
            <v>0</v>
          </cell>
          <cell r="AI468">
            <v>0</v>
          </cell>
          <cell r="AJ468">
            <v>0</v>
          </cell>
          <cell r="BZ468" t="str">
            <v/>
          </cell>
        </row>
        <row r="469">
          <cell r="C469" t="str">
            <v/>
          </cell>
          <cell r="X469">
            <v>0</v>
          </cell>
          <cell r="Y469">
            <v>0</v>
          </cell>
          <cell r="Z469">
            <v>0</v>
          </cell>
          <cell r="AA469">
            <v>0</v>
          </cell>
          <cell r="AB469">
            <v>0</v>
          </cell>
          <cell r="AF469">
            <v>0</v>
          </cell>
          <cell r="AG469">
            <v>0</v>
          </cell>
          <cell r="AH469">
            <v>0</v>
          </cell>
          <cell r="AI469">
            <v>0</v>
          </cell>
          <cell r="AJ469">
            <v>0</v>
          </cell>
          <cell r="BZ469" t="str">
            <v/>
          </cell>
        </row>
        <row r="470">
          <cell r="C470" t="str">
            <v/>
          </cell>
          <cell r="X470">
            <v>0</v>
          </cell>
          <cell r="Y470">
            <v>0</v>
          </cell>
          <cell r="Z470">
            <v>0</v>
          </cell>
          <cell r="AA470">
            <v>0</v>
          </cell>
          <cell r="AB470">
            <v>0</v>
          </cell>
          <cell r="AF470">
            <v>0</v>
          </cell>
          <cell r="AG470">
            <v>0</v>
          </cell>
          <cell r="AH470">
            <v>0</v>
          </cell>
          <cell r="AI470">
            <v>0</v>
          </cell>
          <cell r="AJ470">
            <v>0</v>
          </cell>
          <cell r="BZ470" t="str">
            <v/>
          </cell>
        </row>
        <row r="471">
          <cell r="C471" t="str">
            <v/>
          </cell>
          <cell r="X471">
            <v>0</v>
          </cell>
          <cell r="Y471">
            <v>0</v>
          </cell>
          <cell r="Z471">
            <v>0</v>
          </cell>
          <cell r="AA471">
            <v>0</v>
          </cell>
          <cell r="AB471">
            <v>0</v>
          </cell>
          <cell r="AF471">
            <v>0</v>
          </cell>
          <cell r="AG471">
            <v>0</v>
          </cell>
          <cell r="AH471">
            <v>0</v>
          </cell>
          <cell r="AI471">
            <v>0</v>
          </cell>
          <cell r="AJ471">
            <v>0</v>
          </cell>
          <cell r="BZ471" t="str">
            <v/>
          </cell>
        </row>
        <row r="472">
          <cell r="C472" t="str">
            <v/>
          </cell>
          <cell r="X472">
            <v>0</v>
          </cell>
          <cell r="Y472">
            <v>0</v>
          </cell>
          <cell r="Z472">
            <v>0</v>
          </cell>
          <cell r="AA472">
            <v>0</v>
          </cell>
          <cell r="AB472">
            <v>0</v>
          </cell>
          <cell r="AF472">
            <v>0</v>
          </cell>
          <cell r="AG472">
            <v>0</v>
          </cell>
          <cell r="AH472">
            <v>0</v>
          </cell>
          <cell r="AI472">
            <v>0</v>
          </cell>
          <cell r="AJ472">
            <v>0</v>
          </cell>
          <cell r="BZ472" t="str">
            <v/>
          </cell>
        </row>
        <row r="473">
          <cell r="C473" t="str">
            <v/>
          </cell>
          <cell r="X473">
            <v>0</v>
          </cell>
          <cell r="Y473">
            <v>0</v>
          </cell>
          <cell r="Z473">
            <v>0</v>
          </cell>
          <cell r="AA473">
            <v>0</v>
          </cell>
          <cell r="AB473">
            <v>0</v>
          </cell>
          <cell r="AF473">
            <v>0</v>
          </cell>
          <cell r="AG473">
            <v>0</v>
          </cell>
          <cell r="AH473">
            <v>0</v>
          </cell>
          <cell r="AI473">
            <v>0</v>
          </cell>
          <cell r="AJ473">
            <v>0</v>
          </cell>
          <cell r="BZ473" t="str">
            <v/>
          </cell>
        </row>
        <row r="474">
          <cell r="C474" t="str">
            <v/>
          </cell>
          <cell r="X474">
            <v>0</v>
          </cell>
          <cell r="Y474">
            <v>0</v>
          </cell>
          <cell r="Z474">
            <v>0</v>
          </cell>
          <cell r="AA474">
            <v>0</v>
          </cell>
          <cell r="AB474">
            <v>0</v>
          </cell>
          <cell r="AF474">
            <v>0</v>
          </cell>
          <cell r="AG474">
            <v>0</v>
          </cell>
          <cell r="AH474">
            <v>0</v>
          </cell>
          <cell r="AI474">
            <v>0</v>
          </cell>
          <cell r="AJ474">
            <v>0</v>
          </cell>
          <cell r="BZ474" t="str">
            <v/>
          </cell>
        </row>
        <row r="475">
          <cell r="C475" t="str">
            <v/>
          </cell>
          <cell r="X475">
            <v>0</v>
          </cell>
          <cell r="Y475">
            <v>0</v>
          </cell>
          <cell r="Z475">
            <v>0</v>
          </cell>
          <cell r="AA475">
            <v>0</v>
          </cell>
          <cell r="AB475">
            <v>0</v>
          </cell>
          <cell r="AF475">
            <v>0</v>
          </cell>
          <cell r="AG475">
            <v>0</v>
          </cell>
          <cell r="AH475">
            <v>0</v>
          </cell>
          <cell r="AI475">
            <v>0</v>
          </cell>
          <cell r="AJ475">
            <v>0</v>
          </cell>
          <cell r="BZ475" t="str">
            <v/>
          </cell>
        </row>
        <row r="476">
          <cell r="C476" t="str">
            <v/>
          </cell>
          <cell r="X476">
            <v>0</v>
          </cell>
          <cell r="Y476">
            <v>0</v>
          </cell>
          <cell r="Z476">
            <v>0</v>
          </cell>
          <cell r="AA476">
            <v>0</v>
          </cell>
          <cell r="AB476">
            <v>0</v>
          </cell>
          <cell r="AF476">
            <v>0</v>
          </cell>
          <cell r="AG476">
            <v>0</v>
          </cell>
          <cell r="AH476">
            <v>0</v>
          </cell>
          <cell r="AI476">
            <v>0</v>
          </cell>
          <cell r="AJ476">
            <v>0</v>
          </cell>
          <cell r="BZ476" t="str">
            <v/>
          </cell>
        </row>
        <row r="477">
          <cell r="C477" t="str">
            <v/>
          </cell>
          <cell r="X477">
            <v>0</v>
          </cell>
          <cell r="Y477">
            <v>0</v>
          </cell>
          <cell r="Z477">
            <v>0</v>
          </cell>
          <cell r="AA477">
            <v>0</v>
          </cell>
          <cell r="AB477">
            <v>0</v>
          </cell>
          <cell r="AF477">
            <v>0</v>
          </cell>
          <cell r="AG477">
            <v>0</v>
          </cell>
          <cell r="AH477">
            <v>0</v>
          </cell>
          <cell r="AI477">
            <v>0</v>
          </cell>
          <cell r="AJ477">
            <v>0</v>
          </cell>
          <cell r="BZ477" t="str">
            <v/>
          </cell>
        </row>
        <row r="478">
          <cell r="C478" t="str">
            <v/>
          </cell>
          <cell r="X478">
            <v>0</v>
          </cell>
          <cell r="Y478">
            <v>0</v>
          </cell>
          <cell r="Z478">
            <v>0</v>
          </cell>
          <cell r="AA478">
            <v>0</v>
          </cell>
          <cell r="AB478">
            <v>0</v>
          </cell>
          <cell r="AF478">
            <v>0</v>
          </cell>
          <cell r="AG478">
            <v>0</v>
          </cell>
          <cell r="AH478">
            <v>0</v>
          </cell>
          <cell r="AI478">
            <v>0</v>
          </cell>
          <cell r="AJ478">
            <v>0</v>
          </cell>
          <cell r="BZ478" t="str">
            <v/>
          </cell>
        </row>
        <row r="479">
          <cell r="C479" t="str">
            <v/>
          </cell>
          <cell r="X479">
            <v>0</v>
          </cell>
          <cell r="Y479">
            <v>0</v>
          </cell>
          <cell r="Z479">
            <v>0</v>
          </cell>
          <cell r="AA479">
            <v>0</v>
          </cell>
          <cell r="AB479">
            <v>0</v>
          </cell>
          <cell r="AF479">
            <v>0</v>
          </cell>
          <cell r="AG479">
            <v>0</v>
          </cell>
          <cell r="AH479">
            <v>0</v>
          </cell>
          <cell r="AI479">
            <v>0</v>
          </cell>
          <cell r="AJ479">
            <v>0</v>
          </cell>
          <cell r="BZ479" t="str">
            <v/>
          </cell>
        </row>
        <row r="480">
          <cell r="C480" t="str">
            <v/>
          </cell>
          <cell r="X480">
            <v>0</v>
          </cell>
          <cell r="Y480">
            <v>0</v>
          </cell>
          <cell r="Z480">
            <v>0</v>
          </cell>
          <cell r="AA480">
            <v>0</v>
          </cell>
          <cell r="AB480">
            <v>0</v>
          </cell>
          <cell r="AF480">
            <v>0</v>
          </cell>
          <cell r="AG480">
            <v>0</v>
          </cell>
          <cell r="AH480">
            <v>0</v>
          </cell>
          <cell r="AI480">
            <v>0</v>
          </cell>
          <cell r="AJ480">
            <v>0</v>
          </cell>
          <cell r="BZ480" t="str">
            <v/>
          </cell>
        </row>
        <row r="481">
          <cell r="C481" t="str">
            <v/>
          </cell>
          <cell r="X481">
            <v>0</v>
          </cell>
          <cell r="Y481">
            <v>0</v>
          </cell>
          <cell r="Z481">
            <v>0</v>
          </cell>
          <cell r="AA481">
            <v>0</v>
          </cell>
          <cell r="AB481">
            <v>0</v>
          </cell>
          <cell r="AF481">
            <v>0</v>
          </cell>
          <cell r="AG481">
            <v>0</v>
          </cell>
          <cell r="AH481">
            <v>0</v>
          </cell>
          <cell r="AI481">
            <v>0</v>
          </cell>
          <cell r="AJ481">
            <v>0</v>
          </cell>
          <cell r="BZ481" t="str">
            <v/>
          </cell>
        </row>
        <row r="482">
          <cell r="C482" t="str">
            <v/>
          </cell>
          <cell r="X482">
            <v>0</v>
          </cell>
          <cell r="Y482">
            <v>0</v>
          </cell>
          <cell r="Z482">
            <v>0</v>
          </cell>
          <cell r="AA482">
            <v>0</v>
          </cell>
          <cell r="AB482">
            <v>0</v>
          </cell>
          <cell r="AF482">
            <v>0</v>
          </cell>
          <cell r="AG482">
            <v>0</v>
          </cell>
          <cell r="AH482">
            <v>0</v>
          </cell>
          <cell r="AI482">
            <v>0</v>
          </cell>
          <cell r="AJ482">
            <v>0</v>
          </cell>
          <cell r="BZ482" t="str">
            <v/>
          </cell>
        </row>
        <row r="483">
          <cell r="C483" t="str">
            <v/>
          </cell>
          <cell r="X483">
            <v>0</v>
          </cell>
          <cell r="Y483">
            <v>0</v>
          </cell>
          <cell r="Z483">
            <v>0</v>
          </cell>
          <cell r="AA483">
            <v>0</v>
          </cell>
          <cell r="AB483">
            <v>0</v>
          </cell>
          <cell r="AF483">
            <v>0</v>
          </cell>
          <cell r="AG483">
            <v>0</v>
          </cell>
          <cell r="AH483">
            <v>0</v>
          </cell>
          <cell r="AI483">
            <v>0</v>
          </cell>
          <cell r="AJ483">
            <v>0</v>
          </cell>
          <cell r="BZ483" t="str">
            <v/>
          </cell>
        </row>
        <row r="484">
          <cell r="C484" t="str">
            <v/>
          </cell>
          <cell r="X484">
            <v>0</v>
          </cell>
          <cell r="Y484">
            <v>0</v>
          </cell>
          <cell r="Z484">
            <v>0</v>
          </cell>
          <cell r="AA484">
            <v>0</v>
          </cell>
          <cell r="AB484">
            <v>0</v>
          </cell>
          <cell r="AF484">
            <v>0</v>
          </cell>
          <cell r="AG484">
            <v>0</v>
          </cell>
          <cell r="AH484">
            <v>0</v>
          </cell>
          <cell r="AI484">
            <v>0</v>
          </cell>
          <cell r="AJ484">
            <v>0</v>
          </cell>
          <cell r="BZ484" t="str">
            <v/>
          </cell>
        </row>
        <row r="485">
          <cell r="C485" t="str">
            <v/>
          </cell>
          <cell r="X485">
            <v>0</v>
          </cell>
          <cell r="Y485">
            <v>0</v>
          </cell>
          <cell r="Z485">
            <v>0</v>
          </cell>
          <cell r="AA485">
            <v>0</v>
          </cell>
          <cell r="AB485">
            <v>0</v>
          </cell>
          <cell r="AF485">
            <v>0</v>
          </cell>
          <cell r="AG485">
            <v>0</v>
          </cell>
          <cell r="AH485">
            <v>0</v>
          </cell>
          <cell r="AI485">
            <v>0</v>
          </cell>
          <cell r="AJ485">
            <v>0</v>
          </cell>
          <cell r="BZ485" t="str">
            <v/>
          </cell>
        </row>
        <row r="486">
          <cell r="C486" t="str">
            <v/>
          </cell>
          <cell r="X486">
            <v>0</v>
          </cell>
          <cell r="Y486">
            <v>0</v>
          </cell>
          <cell r="Z486">
            <v>0</v>
          </cell>
          <cell r="AA486">
            <v>0</v>
          </cell>
          <cell r="AB486">
            <v>0</v>
          </cell>
          <cell r="AF486">
            <v>0</v>
          </cell>
          <cell r="AG486">
            <v>0</v>
          </cell>
          <cell r="AH486">
            <v>0</v>
          </cell>
          <cell r="AI486">
            <v>0</v>
          </cell>
          <cell r="AJ486">
            <v>0</v>
          </cell>
          <cell r="BZ486" t="str">
            <v/>
          </cell>
        </row>
        <row r="487">
          <cell r="C487" t="str">
            <v/>
          </cell>
          <cell r="X487">
            <v>0</v>
          </cell>
          <cell r="Y487">
            <v>0</v>
          </cell>
          <cell r="Z487">
            <v>0</v>
          </cell>
          <cell r="AA487">
            <v>0</v>
          </cell>
          <cell r="AB487">
            <v>0</v>
          </cell>
          <cell r="AF487">
            <v>0</v>
          </cell>
          <cell r="AG487">
            <v>0</v>
          </cell>
          <cell r="AH487">
            <v>0</v>
          </cell>
          <cell r="AI487">
            <v>0</v>
          </cell>
          <cell r="AJ487">
            <v>0</v>
          </cell>
          <cell r="BZ487" t="str">
            <v/>
          </cell>
        </row>
        <row r="488">
          <cell r="C488" t="str">
            <v/>
          </cell>
          <cell r="X488">
            <v>0</v>
          </cell>
          <cell r="Y488">
            <v>0</v>
          </cell>
          <cell r="Z488">
            <v>0</v>
          </cell>
          <cell r="AA488">
            <v>0</v>
          </cell>
          <cell r="AB488">
            <v>0</v>
          </cell>
          <cell r="AF488">
            <v>0</v>
          </cell>
          <cell r="AG488">
            <v>0</v>
          </cell>
          <cell r="AH488">
            <v>0</v>
          </cell>
          <cell r="AI488">
            <v>0</v>
          </cell>
          <cell r="AJ488">
            <v>0</v>
          </cell>
          <cell r="BZ488" t="str">
            <v/>
          </cell>
        </row>
        <row r="489">
          <cell r="C489" t="str">
            <v/>
          </cell>
          <cell r="X489">
            <v>0</v>
          </cell>
          <cell r="Y489">
            <v>0</v>
          </cell>
          <cell r="Z489">
            <v>0</v>
          </cell>
          <cell r="AA489">
            <v>0</v>
          </cell>
          <cell r="AB489">
            <v>0</v>
          </cell>
          <cell r="AF489">
            <v>0</v>
          </cell>
          <cell r="AG489">
            <v>0</v>
          </cell>
          <cell r="AH489">
            <v>0</v>
          </cell>
          <cell r="AI489">
            <v>0</v>
          </cell>
          <cell r="AJ489">
            <v>0</v>
          </cell>
          <cell r="BZ489" t="str">
            <v/>
          </cell>
        </row>
        <row r="490">
          <cell r="C490" t="str">
            <v/>
          </cell>
          <cell r="X490">
            <v>0</v>
          </cell>
          <cell r="Y490">
            <v>0</v>
          </cell>
          <cell r="Z490">
            <v>0</v>
          </cell>
          <cell r="AA490">
            <v>0</v>
          </cell>
          <cell r="AB490">
            <v>0</v>
          </cell>
          <cell r="AF490">
            <v>0</v>
          </cell>
          <cell r="AG490">
            <v>0</v>
          </cell>
          <cell r="AH490">
            <v>0</v>
          </cell>
          <cell r="AI490">
            <v>0</v>
          </cell>
          <cell r="AJ490">
            <v>0</v>
          </cell>
          <cell r="BZ490" t="str">
            <v/>
          </cell>
        </row>
        <row r="491">
          <cell r="C491" t="str">
            <v/>
          </cell>
          <cell r="X491">
            <v>0</v>
          </cell>
          <cell r="Y491">
            <v>0</v>
          </cell>
          <cell r="Z491">
            <v>0</v>
          </cell>
          <cell r="AA491">
            <v>0</v>
          </cell>
          <cell r="AB491">
            <v>0</v>
          </cell>
          <cell r="AF491">
            <v>0</v>
          </cell>
          <cell r="AG491">
            <v>0</v>
          </cell>
          <cell r="AH491">
            <v>0</v>
          </cell>
          <cell r="AI491">
            <v>0</v>
          </cell>
          <cell r="AJ491">
            <v>0</v>
          </cell>
          <cell r="BZ491" t="str">
            <v/>
          </cell>
        </row>
        <row r="492">
          <cell r="C492" t="str">
            <v/>
          </cell>
          <cell r="X492">
            <v>0</v>
          </cell>
          <cell r="Y492">
            <v>0</v>
          </cell>
          <cell r="Z492">
            <v>0</v>
          </cell>
          <cell r="AA492">
            <v>0</v>
          </cell>
          <cell r="AB492">
            <v>0</v>
          </cell>
          <cell r="AF492">
            <v>0</v>
          </cell>
          <cell r="AG492">
            <v>0</v>
          </cell>
          <cell r="AH492">
            <v>0</v>
          </cell>
          <cell r="AI492">
            <v>0</v>
          </cell>
          <cell r="AJ492">
            <v>0</v>
          </cell>
          <cell r="BZ492" t="str">
            <v/>
          </cell>
        </row>
        <row r="493">
          <cell r="C493" t="str">
            <v/>
          </cell>
          <cell r="X493">
            <v>0</v>
          </cell>
          <cell r="Y493">
            <v>0</v>
          </cell>
          <cell r="Z493">
            <v>0</v>
          </cell>
          <cell r="AA493">
            <v>0</v>
          </cell>
          <cell r="AB493">
            <v>0</v>
          </cell>
          <cell r="AF493">
            <v>0</v>
          </cell>
          <cell r="AG493">
            <v>0</v>
          </cell>
          <cell r="AH493">
            <v>0</v>
          </cell>
          <cell r="AI493">
            <v>0</v>
          </cell>
          <cell r="AJ493">
            <v>0</v>
          </cell>
          <cell r="BZ493" t="str">
            <v/>
          </cell>
        </row>
        <row r="494">
          <cell r="C494" t="str">
            <v/>
          </cell>
          <cell r="X494">
            <v>0</v>
          </cell>
          <cell r="Y494">
            <v>0</v>
          </cell>
          <cell r="Z494">
            <v>0</v>
          </cell>
          <cell r="AA494">
            <v>0</v>
          </cell>
          <cell r="AB494">
            <v>0</v>
          </cell>
          <cell r="AF494">
            <v>0</v>
          </cell>
          <cell r="AG494">
            <v>0</v>
          </cell>
          <cell r="AH494">
            <v>0</v>
          </cell>
          <cell r="AI494">
            <v>0</v>
          </cell>
          <cell r="AJ494">
            <v>0</v>
          </cell>
          <cell r="BZ494" t="str">
            <v/>
          </cell>
        </row>
        <row r="495">
          <cell r="C495" t="str">
            <v/>
          </cell>
          <cell r="X495">
            <v>0</v>
          </cell>
          <cell r="Y495">
            <v>0</v>
          </cell>
          <cell r="Z495">
            <v>0</v>
          </cell>
          <cell r="AA495">
            <v>0</v>
          </cell>
          <cell r="AB495">
            <v>0</v>
          </cell>
          <cell r="AF495">
            <v>0</v>
          </cell>
          <cell r="AG495">
            <v>0</v>
          </cell>
          <cell r="AH495">
            <v>0</v>
          </cell>
          <cell r="AI495">
            <v>0</v>
          </cell>
          <cell r="AJ495">
            <v>0</v>
          </cell>
          <cell r="BZ495" t="str">
            <v/>
          </cell>
        </row>
        <row r="496">
          <cell r="C496" t="str">
            <v/>
          </cell>
          <cell r="X496">
            <v>0</v>
          </cell>
          <cell r="Y496">
            <v>0</v>
          </cell>
          <cell r="Z496">
            <v>0</v>
          </cell>
          <cell r="AA496">
            <v>0</v>
          </cell>
          <cell r="AB496">
            <v>0</v>
          </cell>
          <cell r="AF496">
            <v>0</v>
          </cell>
          <cell r="AG496">
            <v>0</v>
          </cell>
          <cell r="AH496">
            <v>0</v>
          </cell>
          <cell r="AI496">
            <v>0</v>
          </cell>
          <cell r="AJ496">
            <v>0</v>
          </cell>
          <cell r="BZ496" t="str">
            <v/>
          </cell>
        </row>
        <row r="497">
          <cell r="C497" t="str">
            <v/>
          </cell>
          <cell r="X497">
            <v>0</v>
          </cell>
          <cell r="Y497">
            <v>0</v>
          </cell>
          <cell r="Z497">
            <v>0</v>
          </cell>
          <cell r="AA497">
            <v>0</v>
          </cell>
          <cell r="AB497">
            <v>0</v>
          </cell>
          <cell r="AF497">
            <v>0</v>
          </cell>
          <cell r="AG497">
            <v>0</v>
          </cell>
          <cell r="AH497">
            <v>0</v>
          </cell>
          <cell r="AI497">
            <v>0</v>
          </cell>
          <cell r="AJ497">
            <v>0</v>
          </cell>
          <cell r="BZ497" t="str">
            <v/>
          </cell>
        </row>
        <row r="498">
          <cell r="C498" t="str">
            <v/>
          </cell>
          <cell r="X498">
            <v>0</v>
          </cell>
          <cell r="Y498">
            <v>0</v>
          </cell>
          <cell r="Z498">
            <v>0</v>
          </cell>
          <cell r="AA498">
            <v>0</v>
          </cell>
          <cell r="AB498">
            <v>0</v>
          </cell>
          <cell r="AF498">
            <v>0</v>
          </cell>
          <cell r="AG498">
            <v>0</v>
          </cell>
          <cell r="AH498">
            <v>0</v>
          </cell>
          <cell r="AI498">
            <v>0</v>
          </cell>
          <cell r="AJ498">
            <v>0</v>
          </cell>
          <cell r="BZ498" t="str">
            <v/>
          </cell>
        </row>
        <row r="499">
          <cell r="C499" t="str">
            <v/>
          </cell>
          <cell r="X499">
            <v>0</v>
          </cell>
          <cell r="Y499">
            <v>0</v>
          </cell>
          <cell r="Z499">
            <v>0</v>
          </cell>
          <cell r="AA499">
            <v>0</v>
          </cell>
          <cell r="AB499">
            <v>0</v>
          </cell>
          <cell r="AF499">
            <v>0</v>
          </cell>
          <cell r="AG499">
            <v>0</v>
          </cell>
          <cell r="AH499">
            <v>0</v>
          </cell>
          <cell r="AI499">
            <v>0</v>
          </cell>
          <cell r="AJ499">
            <v>0</v>
          </cell>
          <cell r="BZ499" t="str">
            <v/>
          </cell>
        </row>
        <row r="500">
          <cell r="C500" t="str">
            <v/>
          </cell>
          <cell r="X500">
            <v>0</v>
          </cell>
          <cell r="Y500">
            <v>0</v>
          </cell>
          <cell r="Z500">
            <v>0</v>
          </cell>
          <cell r="AA500">
            <v>0</v>
          </cell>
          <cell r="AB500">
            <v>0</v>
          </cell>
          <cell r="AF500">
            <v>0</v>
          </cell>
          <cell r="AG500">
            <v>0</v>
          </cell>
          <cell r="AH500">
            <v>0</v>
          </cell>
          <cell r="AI500">
            <v>0</v>
          </cell>
          <cell r="AJ500">
            <v>0</v>
          </cell>
          <cell r="BZ500" t="str">
            <v/>
          </cell>
        </row>
        <row r="501">
          <cell r="C501" t="str">
            <v/>
          </cell>
          <cell r="X501">
            <v>0</v>
          </cell>
          <cell r="Y501">
            <v>0</v>
          </cell>
          <cell r="Z501">
            <v>0</v>
          </cell>
          <cell r="AA501">
            <v>0</v>
          </cell>
          <cell r="AB501">
            <v>0</v>
          </cell>
          <cell r="AF501">
            <v>0</v>
          </cell>
          <cell r="AG501">
            <v>0</v>
          </cell>
          <cell r="AH501">
            <v>0</v>
          </cell>
          <cell r="AI501">
            <v>0</v>
          </cell>
          <cell r="AJ501">
            <v>0</v>
          </cell>
          <cell r="BZ501" t="str">
            <v/>
          </cell>
        </row>
        <row r="502">
          <cell r="C502" t="str">
            <v/>
          </cell>
          <cell r="X502">
            <v>0</v>
          </cell>
          <cell r="Y502">
            <v>0</v>
          </cell>
          <cell r="Z502">
            <v>0</v>
          </cell>
          <cell r="AA502">
            <v>0</v>
          </cell>
          <cell r="AB502">
            <v>0</v>
          </cell>
          <cell r="AF502">
            <v>0</v>
          </cell>
          <cell r="AG502">
            <v>0</v>
          </cell>
          <cell r="AH502">
            <v>0</v>
          </cell>
          <cell r="AI502">
            <v>0</v>
          </cell>
          <cell r="AJ502">
            <v>0</v>
          </cell>
          <cell r="BZ502" t="str">
            <v/>
          </cell>
        </row>
        <row r="503">
          <cell r="C503" t="str">
            <v/>
          </cell>
          <cell r="X503">
            <v>0</v>
          </cell>
          <cell r="Y503">
            <v>0</v>
          </cell>
          <cell r="Z503">
            <v>0</v>
          </cell>
          <cell r="AA503">
            <v>0</v>
          </cell>
          <cell r="AB503">
            <v>0</v>
          </cell>
          <cell r="AF503">
            <v>0</v>
          </cell>
          <cell r="AG503">
            <v>0</v>
          </cell>
          <cell r="AH503">
            <v>0</v>
          </cell>
          <cell r="AI503">
            <v>0</v>
          </cell>
          <cell r="AJ503">
            <v>0</v>
          </cell>
          <cell r="BZ503" t="str">
            <v/>
          </cell>
        </row>
        <row r="504">
          <cell r="C504" t="str">
            <v/>
          </cell>
          <cell r="X504">
            <v>0</v>
          </cell>
          <cell r="Y504">
            <v>0</v>
          </cell>
          <cell r="Z504">
            <v>0</v>
          </cell>
          <cell r="AA504">
            <v>0</v>
          </cell>
          <cell r="AB504">
            <v>0</v>
          </cell>
          <cell r="AF504">
            <v>0</v>
          </cell>
          <cell r="AG504">
            <v>0</v>
          </cell>
          <cell r="AH504">
            <v>0</v>
          </cell>
          <cell r="AI504">
            <v>0</v>
          </cell>
          <cell r="AJ504">
            <v>0</v>
          </cell>
          <cell r="BZ504" t="str">
            <v/>
          </cell>
        </row>
        <row r="505">
          <cell r="C505" t="str">
            <v/>
          </cell>
          <cell r="X505">
            <v>0</v>
          </cell>
          <cell r="Y505">
            <v>0</v>
          </cell>
          <cell r="Z505">
            <v>0</v>
          </cell>
          <cell r="AA505">
            <v>0</v>
          </cell>
          <cell r="AB505">
            <v>0</v>
          </cell>
          <cell r="AF505">
            <v>0</v>
          </cell>
          <cell r="AG505">
            <v>0</v>
          </cell>
          <cell r="AH505">
            <v>0</v>
          </cell>
          <cell r="AI505">
            <v>0</v>
          </cell>
          <cell r="AJ505">
            <v>0</v>
          </cell>
          <cell r="BZ505" t="str">
            <v/>
          </cell>
        </row>
        <row r="506">
          <cell r="C506" t="str">
            <v/>
          </cell>
          <cell r="X506">
            <v>0</v>
          </cell>
          <cell r="Y506">
            <v>0</v>
          </cell>
          <cell r="Z506">
            <v>0</v>
          </cell>
          <cell r="AA506">
            <v>0</v>
          </cell>
          <cell r="AB506">
            <v>0</v>
          </cell>
          <cell r="AF506">
            <v>0</v>
          </cell>
          <cell r="AG506">
            <v>0</v>
          </cell>
          <cell r="AH506">
            <v>0</v>
          </cell>
          <cell r="AI506">
            <v>0</v>
          </cell>
          <cell r="AJ506">
            <v>0</v>
          </cell>
          <cell r="BZ506" t="str">
            <v/>
          </cell>
        </row>
        <row r="507">
          <cell r="C507" t="str">
            <v/>
          </cell>
          <cell r="X507">
            <v>0</v>
          </cell>
          <cell r="Y507">
            <v>0</v>
          </cell>
          <cell r="Z507">
            <v>0</v>
          </cell>
          <cell r="AA507">
            <v>0</v>
          </cell>
          <cell r="AB507">
            <v>0</v>
          </cell>
          <cell r="AF507">
            <v>0</v>
          </cell>
          <cell r="AG507">
            <v>0</v>
          </cell>
          <cell r="AH507">
            <v>0</v>
          </cell>
          <cell r="AI507">
            <v>0</v>
          </cell>
          <cell r="AJ507">
            <v>0</v>
          </cell>
          <cell r="BZ507" t="str">
            <v/>
          </cell>
        </row>
        <row r="508">
          <cell r="C508" t="str">
            <v/>
          </cell>
          <cell r="X508">
            <v>0</v>
          </cell>
          <cell r="Y508">
            <v>0</v>
          </cell>
          <cell r="Z508">
            <v>0</v>
          </cell>
          <cell r="AA508">
            <v>0</v>
          </cell>
          <cell r="AB508">
            <v>0</v>
          </cell>
          <cell r="AF508">
            <v>0</v>
          </cell>
          <cell r="AG508">
            <v>0</v>
          </cell>
          <cell r="AH508">
            <v>0</v>
          </cell>
          <cell r="AI508">
            <v>0</v>
          </cell>
          <cell r="AJ508">
            <v>0</v>
          </cell>
          <cell r="BZ508" t="str">
            <v/>
          </cell>
        </row>
        <row r="509">
          <cell r="C509" t="str">
            <v/>
          </cell>
          <cell r="X509">
            <v>0</v>
          </cell>
          <cell r="Y509">
            <v>0</v>
          </cell>
          <cell r="Z509">
            <v>0</v>
          </cell>
          <cell r="AA509">
            <v>0</v>
          </cell>
          <cell r="AB509">
            <v>0</v>
          </cell>
          <cell r="AF509">
            <v>0</v>
          </cell>
          <cell r="AG509">
            <v>0</v>
          </cell>
          <cell r="AH509">
            <v>0</v>
          </cell>
          <cell r="AI509">
            <v>0</v>
          </cell>
          <cell r="AJ509">
            <v>0</v>
          </cell>
          <cell r="BZ509" t="str">
            <v/>
          </cell>
        </row>
        <row r="510">
          <cell r="C510" t="str">
            <v/>
          </cell>
          <cell r="X510">
            <v>0</v>
          </cell>
          <cell r="Y510">
            <v>0</v>
          </cell>
          <cell r="Z510">
            <v>0</v>
          </cell>
          <cell r="AA510">
            <v>0</v>
          </cell>
          <cell r="AB510">
            <v>0</v>
          </cell>
          <cell r="AF510">
            <v>0</v>
          </cell>
          <cell r="AG510">
            <v>0</v>
          </cell>
          <cell r="AH510">
            <v>0</v>
          </cell>
          <cell r="AI510">
            <v>0</v>
          </cell>
          <cell r="AJ510">
            <v>0</v>
          </cell>
          <cell r="BZ510" t="str">
            <v/>
          </cell>
        </row>
        <row r="511">
          <cell r="C511" t="str">
            <v/>
          </cell>
          <cell r="X511">
            <v>0</v>
          </cell>
          <cell r="Y511">
            <v>0</v>
          </cell>
          <cell r="Z511">
            <v>0</v>
          </cell>
          <cell r="AA511">
            <v>0</v>
          </cell>
          <cell r="AB511">
            <v>0</v>
          </cell>
          <cell r="AF511">
            <v>0</v>
          </cell>
          <cell r="AG511">
            <v>0</v>
          </cell>
          <cell r="AH511">
            <v>0</v>
          </cell>
          <cell r="AI511">
            <v>0</v>
          </cell>
          <cell r="AJ511">
            <v>0</v>
          </cell>
          <cell r="BZ511" t="str">
            <v/>
          </cell>
        </row>
        <row r="512">
          <cell r="C512" t="str">
            <v/>
          </cell>
          <cell r="X512">
            <v>0</v>
          </cell>
          <cell r="Y512">
            <v>0</v>
          </cell>
          <cell r="Z512">
            <v>0</v>
          </cell>
          <cell r="AA512">
            <v>0</v>
          </cell>
          <cell r="AB512">
            <v>0</v>
          </cell>
          <cell r="AF512">
            <v>0</v>
          </cell>
          <cell r="AG512">
            <v>0</v>
          </cell>
          <cell r="AH512">
            <v>0</v>
          </cell>
          <cell r="AI512">
            <v>0</v>
          </cell>
          <cell r="AJ512">
            <v>0</v>
          </cell>
          <cell r="BZ512" t="str">
            <v/>
          </cell>
        </row>
        <row r="513">
          <cell r="C513" t="str">
            <v/>
          </cell>
          <cell r="X513">
            <v>0</v>
          </cell>
          <cell r="Y513">
            <v>0</v>
          </cell>
          <cell r="Z513">
            <v>0</v>
          </cell>
          <cell r="AA513">
            <v>0</v>
          </cell>
          <cell r="AB513">
            <v>0</v>
          </cell>
          <cell r="AF513">
            <v>0</v>
          </cell>
          <cell r="AG513">
            <v>0</v>
          </cell>
          <cell r="AH513">
            <v>0</v>
          </cell>
          <cell r="AI513">
            <v>0</v>
          </cell>
          <cell r="AJ513">
            <v>0</v>
          </cell>
          <cell r="BZ513" t="str">
            <v/>
          </cell>
        </row>
        <row r="514">
          <cell r="C514" t="str">
            <v/>
          </cell>
          <cell r="X514">
            <v>0</v>
          </cell>
          <cell r="Y514">
            <v>0</v>
          </cell>
          <cell r="Z514">
            <v>0</v>
          </cell>
          <cell r="AA514">
            <v>0</v>
          </cell>
          <cell r="AB514">
            <v>0</v>
          </cell>
          <cell r="AF514">
            <v>0</v>
          </cell>
          <cell r="AG514">
            <v>0</v>
          </cell>
          <cell r="AH514">
            <v>0</v>
          </cell>
          <cell r="AI514">
            <v>0</v>
          </cell>
          <cell r="AJ514">
            <v>0</v>
          </cell>
          <cell r="BZ514" t="str">
            <v/>
          </cell>
        </row>
        <row r="515">
          <cell r="C515" t="str">
            <v/>
          </cell>
          <cell r="X515">
            <v>0</v>
          </cell>
          <cell r="Y515">
            <v>0</v>
          </cell>
          <cell r="Z515">
            <v>0</v>
          </cell>
          <cell r="AA515">
            <v>0</v>
          </cell>
          <cell r="AB515">
            <v>0</v>
          </cell>
          <cell r="AF515">
            <v>0</v>
          </cell>
          <cell r="AG515">
            <v>0</v>
          </cell>
          <cell r="AH515">
            <v>0</v>
          </cell>
          <cell r="AI515">
            <v>0</v>
          </cell>
          <cell r="AJ515">
            <v>0</v>
          </cell>
          <cell r="BZ515" t="str">
            <v/>
          </cell>
        </row>
        <row r="516">
          <cell r="C516" t="str">
            <v/>
          </cell>
          <cell r="X516">
            <v>0</v>
          </cell>
          <cell r="Y516">
            <v>0</v>
          </cell>
          <cell r="Z516">
            <v>0</v>
          </cell>
          <cell r="AA516">
            <v>0</v>
          </cell>
          <cell r="AB516">
            <v>0</v>
          </cell>
          <cell r="AF516">
            <v>0</v>
          </cell>
          <cell r="AG516">
            <v>0</v>
          </cell>
          <cell r="AH516">
            <v>0</v>
          </cell>
          <cell r="AI516">
            <v>0</v>
          </cell>
          <cell r="AJ516">
            <v>0</v>
          </cell>
          <cell r="BZ516" t="str">
            <v/>
          </cell>
        </row>
        <row r="517">
          <cell r="C517" t="str">
            <v/>
          </cell>
          <cell r="X517">
            <v>0</v>
          </cell>
          <cell r="Y517">
            <v>0</v>
          </cell>
          <cell r="Z517">
            <v>0</v>
          </cell>
          <cell r="AA517">
            <v>0</v>
          </cell>
          <cell r="AB517">
            <v>0</v>
          </cell>
          <cell r="AF517">
            <v>0</v>
          </cell>
          <cell r="AG517">
            <v>0</v>
          </cell>
          <cell r="AH517">
            <v>0</v>
          </cell>
          <cell r="AI517">
            <v>0</v>
          </cell>
          <cell r="AJ517">
            <v>0</v>
          </cell>
          <cell r="BZ517" t="str">
            <v/>
          </cell>
        </row>
        <row r="518">
          <cell r="C518" t="str">
            <v/>
          </cell>
          <cell r="X518">
            <v>0</v>
          </cell>
          <cell r="Y518">
            <v>0</v>
          </cell>
          <cell r="Z518">
            <v>0</v>
          </cell>
          <cell r="AA518">
            <v>0</v>
          </cell>
          <cell r="AB518">
            <v>0</v>
          </cell>
          <cell r="AF518">
            <v>0</v>
          </cell>
          <cell r="AG518">
            <v>0</v>
          </cell>
          <cell r="AH518">
            <v>0</v>
          </cell>
          <cell r="AI518">
            <v>0</v>
          </cell>
          <cell r="AJ518">
            <v>0</v>
          </cell>
          <cell r="BZ518" t="str">
            <v/>
          </cell>
        </row>
        <row r="519">
          <cell r="C519" t="str">
            <v/>
          </cell>
          <cell r="X519">
            <v>0</v>
          </cell>
          <cell r="Y519">
            <v>0</v>
          </cell>
          <cell r="Z519">
            <v>0</v>
          </cell>
          <cell r="AA519">
            <v>0</v>
          </cell>
          <cell r="AB519">
            <v>0</v>
          </cell>
          <cell r="AF519">
            <v>0</v>
          </cell>
          <cell r="AG519">
            <v>0</v>
          </cell>
          <cell r="AH519">
            <v>0</v>
          </cell>
          <cell r="AI519">
            <v>0</v>
          </cell>
          <cell r="AJ519">
            <v>0</v>
          </cell>
          <cell r="BZ519" t="str">
            <v/>
          </cell>
        </row>
        <row r="520">
          <cell r="C520" t="str">
            <v/>
          </cell>
          <cell r="X520">
            <v>0</v>
          </cell>
          <cell r="Y520">
            <v>0</v>
          </cell>
          <cell r="Z520">
            <v>0</v>
          </cell>
          <cell r="AA520">
            <v>0</v>
          </cell>
          <cell r="AB520">
            <v>0</v>
          </cell>
          <cell r="AF520">
            <v>0</v>
          </cell>
          <cell r="AG520">
            <v>0</v>
          </cell>
          <cell r="AH520">
            <v>0</v>
          </cell>
          <cell r="AI520">
            <v>0</v>
          </cell>
          <cell r="AJ520">
            <v>0</v>
          </cell>
          <cell r="BZ520" t="str">
            <v/>
          </cell>
        </row>
        <row r="521">
          <cell r="C521" t="str">
            <v/>
          </cell>
          <cell r="X521">
            <v>0</v>
          </cell>
          <cell r="Y521">
            <v>0</v>
          </cell>
          <cell r="Z521">
            <v>0</v>
          </cell>
          <cell r="AA521">
            <v>0</v>
          </cell>
          <cell r="AB521">
            <v>0</v>
          </cell>
          <cell r="AF521">
            <v>0</v>
          </cell>
          <cell r="AG521">
            <v>0</v>
          </cell>
          <cell r="AH521">
            <v>0</v>
          </cell>
          <cell r="AI521">
            <v>0</v>
          </cell>
          <cell r="AJ521">
            <v>0</v>
          </cell>
          <cell r="BZ521" t="str">
            <v/>
          </cell>
        </row>
        <row r="522">
          <cell r="C522" t="str">
            <v/>
          </cell>
          <cell r="X522">
            <v>0</v>
          </cell>
          <cell r="Y522">
            <v>0</v>
          </cell>
          <cell r="Z522">
            <v>0</v>
          </cell>
          <cell r="AA522">
            <v>0</v>
          </cell>
          <cell r="AB522">
            <v>0</v>
          </cell>
          <cell r="AF522">
            <v>0</v>
          </cell>
          <cell r="AG522">
            <v>0</v>
          </cell>
          <cell r="AH522">
            <v>0</v>
          </cell>
          <cell r="AI522">
            <v>0</v>
          </cell>
          <cell r="AJ522">
            <v>0</v>
          </cell>
          <cell r="BZ522" t="str">
            <v/>
          </cell>
        </row>
        <row r="523">
          <cell r="C523" t="str">
            <v/>
          </cell>
          <cell r="X523">
            <v>0</v>
          </cell>
          <cell r="Y523">
            <v>0</v>
          </cell>
          <cell r="Z523">
            <v>0</v>
          </cell>
          <cell r="AA523">
            <v>0</v>
          </cell>
          <cell r="AB523">
            <v>0</v>
          </cell>
          <cell r="AF523">
            <v>0</v>
          </cell>
          <cell r="AG523">
            <v>0</v>
          </cell>
          <cell r="AH523">
            <v>0</v>
          </cell>
          <cell r="AI523">
            <v>0</v>
          </cell>
          <cell r="AJ523">
            <v>0</v>
          </cell>
          <cell r="BZ523" t="str">
            <v/>
          </cell>
        </row>
        <row r="524">
          <cell r="C524" t="str">
            <v/>
          </cell>
          <cell r="X524">
            <v>0</v>
          </cell>
          <cell r="Y524">
            <v>0</v>
          </cell>
          <cell r="Z524">
            <v>0</v>
          </cell>
          <cell r="AA524">
            <v>0</v>
          </cell>
          <cell r="AB524">
            <v>0</v>
          </cell>
          <cell r="AF524">
            <v>0</v>
          </cell>
          <cell r="AG524">
            <v>0</v>
          </cell>
          <cell r="AH524">
            <v>0</v>
          </cell>
          <cell r="AI524">
            <v>0</v>
          </cell>
          <cell r="AJ524">
            <v>0</v>
          </cell>
          <cell r="BZ524" t="str">
            <v/>
          </cell>
        </row>
        <row r="525">
          <cell r="C525" t="str">
            <v/>
          </cell>
          <cell r="X525">
            <v>0</v>
          </cell>
          <cell r="Y525">
            <v>0</v>
          </cell>
          <cell r="Z525">
            <v>0</v>
          </cell>
          <cell r="AA525">
            <v>0</v>
          </cell>
          <cell r="AB525">
            <v>0</v>
          </cell>
          <cell r="AF525">
            <v>0</v>
          </cell>
          <cell r="AG525">
            <v>0</v>
          </cell>
          <cell r="AH525">
            <v>0</v>
          </cell>
          <cell r="AI525">
            <v>0</v>
          </cell>
          <cell r="AJ525">
            <v>0</v>
          </cell>
          <cell r="BZ525" t="str">
            <v/>
          </cell>
        </row>
        <row r="526">
          <cell r="C526" t="str">
            <v/>
          </cell>
          <cell r="X526">
            <v>0</v>
          </cell>
          <cell r="Y526">
            <v>0</v>
          </cell>
          <cell r="Z526">
            <v>0</v>
          </cell>
          <cell r="AA526">
            <v>0</v>
          </cell>
          <cell r="AB526">
            <v>0</v>
          </cell>
          <cell r="AF526">
            <v>0</v>
          </cell>
          <cell r="AG526">
            <v>0</v>
          </cell>
          <cell r="AH526">
            <v>0</v>
          </cell>
          <cell r="AI526">
            <v>0</v>
          </cell>
          <cell r="AJ526">
            <v>0</v>
          </cell>
          <cell r="BZ526" t="str">
            <v/>
          </cell>
        </row>
        <row r="527">
          <cell r="C527" t="str">
            <v/>
          </cell>
          <cell r="X527">
            <v>0</v>
          </cell>
          <cell r="Y527">
            <v>0</v>
          </cell>
          <cell r="Z527">
            <v>0</v>
          </cell>
          <cell r="AA527">
            <v>0</v>
          </cell>
          <cell r="AB527">
            <v>0</v>
          </cell>
          <cell r="AF527">
            <v>0</v>
          </cell>
          <cell r="AG527">
            <v>0</v>
          </cell>
          <cell r="AH527">
            <v>0</v>
          </cell>
          <cell r="AI527">
            <v>0</v>
          </cell>
          <cell r="AJ527">
            <v>0</v>
          </cell>
          <cell r="BZ527" t="str">
            <v/>
          </cell>
        </row>
        <row r="528">
          <cell r="C528" t="str">
            <v/>
          </cell>
          <cell r="X528">
            <v>0</v>
          </cell>
          <cell r="Y528">
            <v>0</v>
          </cell>
          <cell r="Z528">
            <v>0</v>
          </cell>
          <cell r="AA528">
            <v>0</v>
          </cell>
          <cell r="AB528">
            <v>0</v>
          </cell>
          <cell r="AF528">
            <v>0</v>
          </cell>
          <cell r="AG528">
            <v>0</v>
          </cell>
          <cell r="AH528">
            <v>0</v>
          </cell>
          <cell r="AI528">
            <v>0</v>
          </cell>
          <cell r="AJ528">
            <v>0</v>
          </cell>
          <cell r="BZ528" t="str">
            <v/>
          </cell>
        </row>
        <row r="529">
          <cell r="C529" t="str">
            <v/>
          </cell>
          <cell r="X529">
            <v>0</v>
          </cell>
          <cell r="Y529">
            <v>0</v>
          </cell>
          <cell r="Z529">
            <v>0</v>
          </cell>
          <cell r="AA529">
            <v>0</v>
          </cell>
          <cell r="AB529">
            <v>0</v>
          </cell>
          <cell r="AF529">
            <v>0</v>
          </cell>
          <cell r="AG529">
            <v>0</v>
          </cell>
          <cell r="AH529">
            <v>0</v>
          </cell>
          <cell r="AI529">
            <v>0</v>
          </cell>
          <cell r="AJ529">
            <v>0</v>
          </cell>
          <cell r="BZ529" t="str">
            <v/>
          </cell>
        </row>
        <row r="530">
          <cell r="C530" t="str">
            <v/>
          </cell>
          <cell r="X530">
            <v>0</v>
          </cell>
          <cell r="Y530">
            <v>0</v>
          </cell>
          <cell r="Z530">
            <v>0</v>
          </cell>
          <cell r="AA530">
            <v>0</v>
          </cell>
          <cell r="AB530">
            <v>0</v>
          </cell>
          <cell r="AF530">
            <v>0</v>
          </cell>
          <cell r="AG530">
            <v>0</v>
          </cell>
          <cell r="AH530">
            <v>0</v>
          </cell>
          <cell r="AI530">
            <v>0</v>
          </cell>
          <cell r="AJ530">
            <v>0</v>
          </cell>
          <cell r="BZ530" t="str">
            <v/>
          </cell>
        </row>
        <row r="531">
          <cell r="C531" t="str">
            <v/>
          </cell>
          <cell r="X531">
            <v>0</v>
          </cell>
          <cell r="Y531">
            <v>0</v>
          </cell>
          <cell r="Z531">
            <v>0</v>
          </cell>
          <cell r="AA531">
            <v>0</v>
          </cell>
          <cell r="AB531">
            <v>0</v>
          </cell>
          <cell r="AF531">
            <v>0</v>
          </cell>
          <cell r="AG531">
            <v>0</v>
          </cell>
          <cell r="AH531">
            <v>0</v>
          </cell>
          <cell r="AI531">
            <v>0</v>
          </cell>
          <cell r="AJ531">
            <v>0</v>
          </cell>
          <cell r="BZ531" t="str">
            <v/>
          </cell>
        </row>
        <row r="532">
          <cell r="C532" t="str">
            <v/>
          </cell>
          <cell r="X532">
            <v>0</v>
          </cell>
          <cell r="Y532">
            <v>0</v>
          </cell>
          <cell r="Z532">
            <v>0</v>
          </cell>
          <cell r="AA532">
            <v>0</v>
          </cell>
          <cell r="AB532">
            <v>0</v>
          </cell>
          <cell r="AF532">
            <v>0</v>
          </cell>
          <cell r="AG532">
            <v>0</v>
          </cell>
          <cell r="AH532">
            <v>0</v>
          </cell>
          <cell r="AI532">
            <v>0</v>
          </cell>
          <cell r="AJ532">
            <v>0</v>
          </cell>
          <cell r="BZ532" t="str">
            <v/>
          </cell>
        </row>
        <row r="533">
          <cell r="C533" t="str">
            <v/>
          </cell>
          <cell r="X533">
            <v>0</v>
          </cell>
          <cell r="Y533">
            <v>0</v>
          </cell>
          <cell r="Z533">
            <v>0</v>
          </cell>
          <cell r="AA533">
            <v>0</v>
          </cell>
          <cell r="AB533">
            <v>0</v>
          </cell>
          <cell r="AF533">
            <v>0</v>
          </cell>
          <cell r="AG533">
            <v>0</v>
          </cell>
          <cell r="AH533">
            <v>0</v>
          </cell>
          <cell r="AI533">
            <v>0</v>
          </cell>
          <cell r="AJ533">
            <v>0</v>
          </cell>
          <cell r="BZ533" t="str">
            <v/>
          </cell>
        </row>
        <row r="534">
          <cell r="C534" t="str">
            <v/>
          </cell>
          <cell r="X534">
            <v>0</v>
          </cell>
          <cell r="Y534">
            <v>0</v>
          </cell>
          <cell r="Z534">
            <v>0</v>
          </cell>
          <cell r="AA534">
            <v>0</v>
          </cell>
          <cell r="AB534">
            <v>0</v>
          </cell>
          <cell r="AF534">
            <v>0</v>
          </cell>
          <cell r="AG534">
            <v>0</v>
          </cell>
          <cell r="AH534">
            <v>0</v>
          </cell>
          <cell r="AI534">
            <v>0</v>
          </cell>
          <cell r="AJ534">
            <v>0</v>
          </cell>
          <cell r="BZ534" t="str">
            <v/>
          </cell>
        </row>
        <row r="535">
          <cell r="C535" t="str">
            <v/>
          </cell>
          <cell r="X535">
            <v>0</v>
          </cell>
          <cell r="Y535">
            <v>0</v>
          </cell>
          <cell r="Z535">
            <v>0</v>
          </cell>
          <cell r="AA535">
            <v>0</v>
          </cell>
          <cell r="AB535">
            <v>0</v>
          </cell>
          <cell r="AF535">
            <v>0</v>
          </cell>
          <cell r="AG535">
            <v>0</v>
          </cell>
          <cell r="AH535">
            <v>0</v>
          </cell>
          <cell r="AI535">
            <v>0</v>
          </cell>
          <cell r="AJ535">
            <v>0</v>
          </cell>
          <cell r="BZ535" t="str">
            <v/>
          </cell>
        </row>
        <row r="536">
          <cell r="C536" t="str">
            <v/>
          </cell>
          <cell r="X536">
            <v>0</v>
          </cell>
          <cell r="Y536">
            <v>0</v>
          </cell>
          <cell r="Z536">
            <v>0</v>
          </cell>
          <cell r="AA536">
            <v>0</v>
          </cell>
          <cell r="AB536">
            <v>0</v>
          </cell>
          <cell r="AF536">
            <v>0</v>
          </cell>
          <cell r="AG536">
            <v>0</v>
          </cell>
          <cell r="AH536">
            <v>0</v>
          </cell>
          <cell r="AI536">
            <v>0</v>
          </cell>
          <cell r="AJ536">
            <v>0</v>
          </cell>
          <cell r="BZ536" t="str">
            <v/>
          </cell>
        </row>
        <row r="537">
          <cell r="C537" t="str">
            <v/>
          </cell>
          <cell r="X537">
            <v>0</v>
          </cell>
          <cell r="Y537">
            <v>0</v>
          </cell>
          <cell r="Z537">
            <v>0</v>
          </cell>
          <cell r="AA537">
            <v>0</v>
          </cell>
          <cell r="AB537">
            <v>0</v>
          </cell>
          <cell r="AF537">
            <v>0</v>
          </cell>
          <cell r="AG537">
            <v>0</v>
          </cell>
          <cell r="AH537">
            <v>0</v>
          </cell>
          <cell r="AI537">
            <v>0</v>
          </cell>
          <cell r="AJ537">
            <v>0</v>
          </cell>
          <cell r="BZ537" t="str">
            <v/>
          </cell>
        </row>
        <row r="538">
          <cell r="C538" t="str">
            <v/>
          </cell>
          <cell r="X538">
            <v>0</v>
          </cell>
          <cell r="Y538">
            <v>0</v>
          </cell>
          <cell r="Z538">
            <v>0</v>
          </cell>
          <cell r="AA538">
            <v>0</v>
          </cell>
          <cell r="AB538">
            <v>0</v>
          </cell>
          <cell r="AF538">
            <v>0</v>
          </cell>
          <cell r="AG538">
            <v>0</v>
          </cell>
          <cell r="AH538">
            <v>0</v>
          </cell>
          <cell r="AI538">
            <v>0</v>
          </cell>
          <cell r="AJ538">
            <v>0</v>
          </cell>
          <cell r="BZ538" t="str">
            <v/>
          </cell>
        </row>
        <row r="539">
          <cell r="C539" t="str">
            <v/>
          </cell>
          <cell r="X539">
            <v>0</v>
          </cell>
          <cell r="Y539">
            <v>0</v>
          </cell>
          <cell r="Z539">
            <v>0</v>
          </cell>
          <cell r="AA539">
            <v>0</v>
          </cell>
          <cell r="AB539">
            <v>0</v>
          </cell>
          <cell r="AF539">
            <v>0</v>
          </cell>
          <cell r="AG539">
            <v>0</v>
          </cell>
          <cell r="AH539">
            <v>0</v>
          </cell>
          <cell r="AI539">
            <v>0</v>
          </cell>
          <cell r="AJ539">
            <v>0</v>
          </cell>
          <cell r="BZ539" t="str">
            <v/>
          </cell>
        </row>
        <row r="540">
          <cell r="C540" t="str">
            <v/>
          </cell>
          <cell r="X540">
            <v>0</v>
          </cell>
          <cell r="Y540">
            <v>0</v>
          </cell>
          <cell r="Z540">
            <v>0</v>
          </cell>
          <cell r="AA540">
            <v>0</v>
          </cell>
          <cell r="AB540">
            <v>0</v>
          </cell>
          <cell r="AF540">
            <v>0</v>
          </cell>
          <cell r="AG540">
            <v>0</v>
          </cell>
          <cell r="AH540">
            <v>0</v>
          </cell>
          <cell r="AI540">
            <v>0</v>
          </cell>
          <cell r="AJ540">
            <v>0</v>
          </cell>
          <cell r="BZ540" t="str">
            <v/>
          </cell>
        </row>
        <row r="541">
          <cell r="C541" t="str">
            <v/>
          </cell>
          <cell r="X541">
            <v>0</v>
          </cell>
          <cell r="Y541">
            <v>0</v>
          </cell>
          <cell r="Z541">
            <v>0</v>
          </cell>
          <cell r="AA541">
            <v>0</v>
          </cell>
          <cell r="AB541">
            <v>0</v>
          </cell>
          <cell r="AF541">
            <v>0</v>
          </cell>
          <cell r="AG541">
            <v>0</v>
          </cell>
          <cell r="AH541">
            <v>0</v>
          </cell>
          <cell r="AI541">
            <v>0</v>
          </cell>
          <cell r="AJ541">
            <v>0</v>
          </cell>
          <cell r="BZ541" t="str">
            <v/>
          </cell>
        </row>
        <row r="542">
          <cell r="C542" t="str">
            <v/>
          </cell>
          <cell r="X542">
            <v>0</v>
          </cell>
          <cell r="Y542">
            <v>0</v>
          </cell>
          <cell r="Z542">
            <v>0</v>
          </cell>
          <cell r="AA542">
            <v>0</v>
          </cell>
          <cell r="AB542">
            <v>0</v>
          </cell>
          <cell r="AF542">
            <v>0</v>
          </cell>
          <cell r="AG542">
            <v>0</v>
          </cell>
          <cell r="AH542">
            <v>0</v>
          </cell>
          <cell r="AI542">
            <v>0</v>
          </cell>
          <cell r="AJ542">
            <v>0</v>
          </cell>
          <cell r="BZ542" t="str">
            <v/>
          </cell>
        </row>
        <row r="543">
          <cell r="C543" t="str">
            <v/>
          </cell>
          <cell r="X543">
            <v>0</v>
          </cell>
          <cell r="Y543">
            <v>0</v>
          </cell>
          <cell r="Z543">
            <v>0</v>
          </cell>
          <cell r="AA543">
            <v>0</v>
          </cell>
          <cell r="AB543">
            <v>0</v>
          </cell>
          <cell r="AF543">
            <v>0</v>
          </cell>
          <cell r="AG543">
            <v>0</v>
          </cell>
          <cell r="AH543">
            <v>0</v>
          </cell>
          <cell r="AI543">
            <v>0</v>
          </cell>
          <cell r="AJ543">
            <v>0</v>
          </cell>
          <cell r="BZ543" t="str">
            <v/>
          </cell>
        </row>
        <row r="544">
          <cell r="C544" t="str">
            <v/>
          </cell>
          <cell r="X544">
            <v>0</v>
          </cell>
          <cell r="Y544">
            <v>0</v>
          </cell>
          <cell r="Z544">
            <v>0</v>
          </cell>
          <cell r="AA544">
            <v>0</v>
          </cell>
          <cell r="AB544">
            <v>0</v>
          </cell>
          <cell r="AF544">
            <v>0</v>
          </cell>
          <cell r="AG544">
            <v>0</v>
          </cell>
          <cell r="AH544">
            <v>0</v>
          </cell>
          <cell r="AI544">
            <v>0</v>
          </cell>
          <cell r="AJ544">
            <v>0</v>
          </cell>
          <cell r="BZ544" t="str">
            <v/>
          </cell>
        </row>
        <row r="545">
          <cell r="C545" t="str">
            <v/>
          </cell>
          <cell r="X545">
            <v>0</v>
          </cell>
          <cell r="Y545">
            <v>0</v>
          </cell>
          <cell r="Z545">
            <v>0</v>
          </cell>
          <cell r="AA545">
            <v>0</v>
          </cell>
          <cell r="AB545">
            <v>0</v>
          </cell>
          <cell r="AF545">
            <v>0</v>
          </cell>
          <cell r="AG545">
            <v>0</v>
          </cell>
          <cell r="AH545">
            <v>0</v>
          </cell>
          <cell r="AI545">
            <v>0</v>
          </cell>
          <cell r="AJ545">
            <v>0</v>
          </cell>
          <cell r="BZ545" t="str">
            <v/>
          </cell>
        </row>
        <row r="546">
          <cell r="C546" t="str">
            <v/>
          </cell>
          <cell r="X546">
            <v>0</v>
          </cell>
          <cell r="Y546">
            <v>0</v>
          </cell>
          <cell r="Z546">
            <v>0</v>
          </cell>
          <cell r="AA546">
            <v>0</v>
          </cell>
          <cell r="AB546">
            <v>0</v>
          </cell>
          <cell r="AF546">
            <v>0</v>
          </cell>
          <cell r="AG546">
            <v>0</v>
          </cell>
          <cell r="AH546">
            <v>0</v>
          </cell>
          <cell r="AI546">
            <v>0</v>
          </cell>
          <cell r="AJ546">
            <v>0</v>
          </cell>
          <cell r="BZ546" t="str">
            <v/>
          </cell>
        </row>
        <row r="547">
          <cell r="C547" t="str">
            <v/>
          </cell>
          <cell r="X547">
            <v>0</v>
          </cell>
          <cell r="Y547">
            <v>0</v>
          </cell>
          <cell r="Z547">
            <v>0</v>
          </cell>
          <cell r="AA547">
            <v>0</v>
          </cell>
          <cell r="AB547">
            <v>0</v>
          </cell>
          <cell r="AF547">
            <v>0</v>
          </cell>
          <cell r="AG547">
            <v>0</v>
          </cell>
          <cell r="AH547">
            <v>0</v>
          </cell>
          <cell r="AI547">
            <v>0</v>
          </cell>
          <cell r="AJ547">
            <v>0</v>
          </cell>
          <cell r="BZ547" t="str">
            <v/>
          </cell>
        </row>
        <row r="548">
          <cell r="C548" t="str">
            <v/>
          </cell>
          <cell r="X548">
            <v>0</v>
          </cell>
          <cell r="Y548">
            <v>0</v>
          </cell>
          <cell r="Z548">
            <v>0</v>
          </cell>
          <cell r="AA548">
            <v>0</v>
          </cell>
          <cell r="AB548">
            <v>0</v>
          </cell>
          <cell r="AF548">
            <v>0</v>
          </cell>
          <cell r="AG548">
            <v>0</v>
          </cell>
          <cell r="AH548">
            <v>0</v>
          </cell>
          <cell r="AI548">
            <v>0</v>
          </cell>
          <cell r="AJ548">
            <v>0</v>
          </cell>
          <cell r="BZ548" t="str">
            <v/>
          </cell>
        </row>
        <row r="549">
          <cell r="C549" t="str">
            <v/>
          </cell>
          <cell r="X549">
            <v>0</v>
          </cell>
          <cell r="Y549">
            <v>0</v>
          </cell>
          <cell r="Z549">
            <v>0</v>
          </cell>
          <cell r="AA549">
            <v>0</v>
          </cell>
          <cell r="AB549">
            <v>0</v>
          </cell>
          <cell r="AF549">
            <v>0</v>
          </cell>
          <cell r="AG549">
            <v>0</v>
          </cell>
          <cell r="AH549">
            <v>0</v>
          </cell>
          <cell r="AI549">
            <v>0</v>
          </cell>
          <cell r="AJ549">
            <v>0</v>
          </cell>
          <cell r="BZ549" t="str">
            <v/>
          </cell>
        </row>
        <row r="550">
          <cell r="C550" t="str">
            <v/>
          </cell>
          <cell r="X550">
            <v>0</v>
          </cell>
          <cell r="Y550">
            <v>0</v>
          </cell>
          <cell r="Z550">
            <v>0</v>
          </cell>
          <cell r="AA550">
            <v>0</v>
          </cell>
          <cell r="AB550">
            <v>0</v>
          </cell>
          <cell r="AF550">
            <v>0</v>
          </cell>
          <cell r="AG550">
            <v>0</v>
          </cell>
          <cell r="AH550">
            <v>0</v>
          </cell>
          <cell r="AI550">
            <v>0</v>
          </cell>
          <cell r="AJ550">
            <v>0</v>
          </cell>
          <cell r="BZ550" t="str">
            <v/>
          </cell>
        </row>
        <row r="551">
          <cell r="C551" t="str">
            <v/>
          </cell>
          <cell r="X551">
            <v>0</v>
          </cell>
          <cell r="Y551">
            <v>0</v>
          </cell>
          <cell r="Z551">
            <v>0</v>
          </cell>
          <cell r="AA551">
            <v>0</v>
          </cell>
          <cell r="AB551">
            <v>0</v>
          </cell>
          <cell r="AF551">
            <v>0</v>
          </cell>
          <cell r="AG551">
            <v>0</v>
          </cell>
          <cell r="AH551">
            <v>0</v>
          </cell>
          <cell r="AI551">
            <v>0</v>
          </cell>
          <cell r="AJ551">
            <v>0</v>
          </cell>
          <cell r="BZ551" t="str">
            <v/>
          </cell>
        </row>
        <row r="552">
          <cell r="C552" t="str">
            <v/>
          </cell>
          <cell r="X552">
            <v>0</v>
          </cell>
          <cell r="Y552">
            <v>0</v>
          </cell>
          <cell r="Z552">
            <v>0</v>
          </cell>
          <cell r="AA552">
            <v>0</v>
          </cell>
          <cell r="AB552">
            <v>0</v>
          </cell>
          <cell r="AF552">
            <v>0</v>
          </cell>
          <cell r="AG552">
            <v>0</v>
          </cell>
          <cell r="AH552">
            <v>0</v>
          </cell>
          <cell r="AI552">
            <v>0</v>
          </cell>
          <cell r="AJ552">
            <v>0</v>
          </cell>
          <cell r="BZ552" t="str">
            <v/>
          </cell>
        </row>
        <row r="553">
          <cell r="C553" t="str">
            <v/>
          </cell>
          <cell r="X553">
            <v>0</v>
          </cell>
          <cell r="Y553">
            <v>0</v>
          </cell>
          <cell r="Z553">
            <v>0</v>
          </cell>
          <cell r="AA553">
            <v>0</v>
          </cell>
          <cell r="AB553">
            <v>0</v>
          </cell>
          <cell r="AF553">
            <v>0</v>
          </cell>
          <cell r="AG553">
            <v>0</v>
          </cell>
          <cell r="AH553">
            <v>0</v>
          </cell>
          <cell r="AI553">
            <v>0</v>
          </cell>
          <cell r="AJ553">
            <v>0</v>
          </cell>
          <cell r="BZ553" t="str">
            <v/>
          </cell>
        </row>
        <row r="554">
          <cell r="C554" t="str">
            <v/>
          </cell>
          <cell r="X554">
            <v>0</v>
          </cell>
          <cell r="Y554">
            <v>0</v>
          </cell>
          <cell r="Z554">
            <v>0</v>
          </cell>
          <cell r="AA554">
            <v>0</v>
          </cell>
          <cell r="AB554">
            <v>0</v>
          </cell>
          <cell r="AF554">
            <v>0</v>
          </cell>
          <cell r="AG554">
            <v>0</v>
          </cell>
          <cell r="AH554">
            <v>0</v>
          </cell>
          <cell r="AI554">
            <v>0</v>
          </cell>
          <cell r="AJ554">
            <v>0</v>
          </cell>
          <cell r="BZ554" t="str">
            <v/>
          </cell>
        </row>
        <row r="555">
          <cell r="C555" t="str">
            <v/>
          </cell>
          <cell r="X555">
            <v>0</v>
          </cell>
          <cell r="Y555">
            <v>0</v>
          </cell>
          <cell r="Z555">
            <v>0</v>
          </cell>
          <cell r="AA555">
            <v>0</v>
          </cell>
          <cell r="AB555">
            <v>0</v>
          </cell>
          <cell r="AF555">
            <v>0</v>
          </cell>
          <cell r="AG555">
            <v>0</v>
          </cell>
          <cell r="AH555">
            <v>0</v>
          </cell>
          <cell r="AI555">
            <v>0</v>
          </cell>
          <cell r="AJ555">
            <v>0</v>
          </cell>
          <cell r="BZ555" t="str">
            <v/>
          </cell>
        </row>
        <row r="556">
          <cell r="C556" t="str">
            <v/>
          </cell>
          <cell r="X556">
            <v>0</v>
          </cell>
          <cell r="Y556">
            <v>0</v>
          </cell>
          <cell r="Z556">
            <v>0</v>
          </cell>
          <cell r="AA556">
            <v>0</v>
          </cell>
          <cell r="AB556">
            <v>0</v>
          </cell>
          <cell r="AF556">
            <v>0</v>
          </cell>
          <cell r="AG556">
            <v>0</v>
          </cell>
          <cell r="AH556">
            <v>0</v>
          </cell>
          <cell r="AI556">
            <v>0</v>
          </cell>
          <cell r="AJ556">
            <v>0</v>
          </cell>
          <cell r="BZ556" t="str">
            <v/>
          </cell>
        </row>
        <row r="557">
          <cell r="C557" t="str">
            <v/>
          </cell>
          <cell r="X557">
            <v>0</v>
          </cell>
          <cell r="Y557">
            <v>0</v>
          </cell>
          <cell r="Z557">
            <v>0</v>
          </cell>
          <cell r="AA557">
            <v>0</v>
          </cell>
          <cell r="AB557">
            <v>0</v>
          </cell>
          <cell r="AF557">
            <v>0</v>
          </cell>
          <cell r="AG557">
            <v>0</v>
          </cell>
          <cell r="AH557">
            <v>0</v>
          </cell>
          <cell r="AI557">
            <v>0</v>
          </cell>
          <cell r="AJ557">
            <v>0</v>
          </cell>
          <cell r="BZ557" t="str">
            <v/>
          </cell>
        </row>
        <row r="558">
          <cell r="C558" t="str">
            <v/>
          </cell>
          <cell r="X558">
            <v>0</v>
          </cell>
          <cell r="Y558">
            <v>0</v>
          </cell>
          <cell r="Z558">
            <v>0</v>
          </cell>
          <cell r="AA558">
            <v>0</v>
          </cell>
          <cell r="AB558">
            <v>0</v>
          </cell>
          <cell r="AF558">
            <v>0</v>
          </cell>
          <cell r="AG558">
            <v>0</v>
          </cell>
          <cell r="AH558">
            <v>0</v>
          </cell>
          <cell r="AI558">
            <v>0</v>
          </cell>
          <cell r="AJ558">
            <v>0</v>
          </cell>
          <cell r="BZ558" t="str">
            <v/>
          </cell>
        </row>
        <row r="559">
          <cell r="C559" t="str">
            <v/>
          </cell>
          <cell r="X559">
            <v>0</v>
          </cell>
          <cell r="Y559">
            <v>0</v>
          </cell>
          <cell r="Z559">
            <v>0</v>
          </cell>
          <cell r="AA559">
            <v>0</v>
          </cell>
          <cell r="AB559">
            <v>0</v>
          </cell>
          <cell r="AF559">
            <v>0</v>
          </cell>
          <cell r="AG559">
            <v>0</v>
          </cell>
          <cell r="AH559">
            <v>0</v>
          </cell>
          <cell r="AI559">
            <v>0</v>
          </cell>
          <cell r="AJ559">
            <v>0</v>
          </cell>
          <cell r="BZ559" t="str">
            <v/>
          </cell>
        </row>
        <row r="560">
          <cell r="C560" t="str">
            <v/>
          </cell>
          <cell r="X560">
            <v>0</v>
          </cell>
          <cell r="Y560">
            <v>0</v>
          </cell>
          <cell r="Z560">
            <v>0</v>
          </cell>
          <cell r="AA560">
            <v>0</v>
          </cell>
          <cell r="AB560">
            <v>0</v>
          </cell>
          <cell r="AF560">
            <v>0</v>
          </cell>
          <cell r="AG560">
            <v>0</v>
          </cell>
          <cell r="AH560">
            <v>0</v>
          </cell>
          <cell r="AI560">
            <v>0</v>
          </cell>
          <cell r="AJ560">
            <v>0</v>
          </cell>
          <cell r="BZ560" t="str">
            <v/>
          </cell>
        </row>
        <row r="561">
          <cell r="C561" t="str">
            <v/>
          </cell>
          <cell r="X561">
            <v>0</v>
          </cell>
          <cell r="Y561">
            <v>0</v>
          </cell>
          <cell r="Z561">
            <v>0</v>
          </cell>
          <cell r="AA561">
            <v>0</v>
          </cell>
          <cell r="AB561">
            <v>0</v>
          </cell>
          <cell r="AF561">
            <v>0</v>
          </cell>
          <cell r="AG561">
            <v>0</v>
          </cell>
          <cell r="AH561">
            <v>0</v>
          </cell>
          <cell r="AI561">
            <v>0</v>
          </cell>
          <cell r="AJ561">
            <v>0</v>
          </cell>
          <cell r="BZ561" t="str">
            <v/>
          </cell>
        </row>
        <row r="562">
          <cell r="C562" t="str">
            <v/>
          </cell>
          <cell r="X562">
            <v>0</v>
          </cell>
          <cell r="Y562">
            <v>0</v>
          </cell>
          <cell r="Z562">
            <v>0</v>
          </cell>
          <cell r="AA562">
            <v>0</v>
          </cell>
          <cell r="AB562">
            <v>0</v>
          </cell>
          <cell r="AF562">
            <v>0</v>
          </cell>
          <cell r="AG562">
            <v>0</v>
          </cell>
          <cell r="AH562">
            <v>0</v>
          </cell>
          <cell r="AI562">
            <v>0</v>
          </cell>
          <cell r="AJ562">
            <v>0</v>
          </cell>
          <cell r="BZ562" t="str">
            <v/>
          </cell>
        </row>
        <row r="563">
          <cell r="C563" t="str">
            <v/>
          </cell>
          <cell r="X563">
            <v>0</v>
          </cell>
          <cell r="Y563">
            <v>0</v>
          </cell>
          <cell r="Z563">
            <v>0</v>
          </cell>
          <cell r="AA563">
            <v>0</v>
          </cell>
          <cell r="AB563">
            <v>0</v>
          </cell>
          <cell r="AF563">
            <v>0</v>
          </cell>
          <cell r="AG563">
            <v>0</v>
          </cell>
          <cell r="AH563">
            <v>0</v>
          </cell>
          <cell r="AI563">
            <v>0</v>
          </cell>
          <cell r="AJ563">
            <v>0</v>
          </cell>
          <cell r="BZ563" t="str">
            <v/>
          </cell>
        </row>
        <row r="564">
          <cell r="C564" t="str">
            <v/>
          </cell>
          <cell r="X564">
            <v>0</v>
          </cell>
          <cell r="Y564">
            <v>0</v>
          </cell>
          <cell r="Z564">
            <v>0</v>
          </cell>
          <cell r="AA564">
            <v>0</v>
          </cell>
          <cell r="AB564">
            <v>0</v>
          </cell>
          <cell r="AF564">
            <v>0</v>
          </cell>
          <cell r="AG564">
            <v>0</v>
          </cell>
          <cell r="AH564">
            <v>0</v>
          </cell>
          <cell r="AI564">
            <v>0</v>
          </cell>
          <cell r="AJ564">
            <v>0</v>
          </cell>
          <cell r="BZ564" t="str">
            <v/>
          </cell>
        </row>
        <row r="565">
          <cell r="C565" t="str">
            <v/>
          </cell>
          <cell r="X565">
            <v>0</v>
          </cell>
          <cell r="Y565">
            <v>0</v>
          </cell>
          <cell r="Z565">
            <v>0</v>
          </cell>
          <cell r="AA565">
            <v>0</v>
          </cell>
          <cell r="AB565">
            <v>0</v>
          </cell>
          <cell r="AF565">
            <v>0</v>
          </cell>
          <cell r="AG565">
            <v>0</v>
          </cell>
          <cell r="AH565">
            <v>0</v>
          </cell>
          <cell r="AI565">
            <v>0</v>
          </cell>
          <cell r="AJ565">
            <v>0</v>
          </cell>
          <cell r="BZ565" t="str">
            <v/>
          </cell>
        </row>
        <row r="566">
          <cell r="C566" t="str">
            <v/>
          </cell>
          <cell r="X566">
            <v>0</v>
          </cell>
          <cell r="Y566">
            <v>0</v>
          </cell>
          <cell r="Z566">
            <v>0</v>
          </cell>
          <cell r="AA566">
            <v>0</v>
          </cell>
          <cell r="AB566">
            <v>0</v>
          </cell>
          <cell r="AF566">
            <v>0</v>
          </cell>
          <cell r="AG566">
            <v>0</v>
          </cell>
          <cell r="AH566">
            <v>0</v>
          </cell>
          <cell r="AI566">
            <v>0</v>
          </cell>
          <cell r="AJ566">
            <v>0</v>
          </cell>
          <cell r="BZ566" t="str">
            <v/>
          </cell>
        </row>
        <row r="567">
          <cell r="C567" t="str">
            <v/>
          </cell>
          <cell r="X567">
            <v>0</v>
          </cell>
          <cell r="Y567">
            <v>0</v>
          </cell>
          <cell r="Z567">
            <v>0</v>
          </cell>
          <cell r="AA567">
            <v>0</v>
          </cell>
          <cell r="AB567">
            <v>0</v>
          </cell>
          <cell r="AF567">
            <v>0</v>
          </cell>
          <cell r="AG567">
            <v>0</v>
          </cell>
          <cell r="AH567">
            <v>0</v>
          </cell>
          <cell r="AI567">
            <v>0</v>
          </cell>
          <cell r="AJ567">
            <v>0</v>
          </cell>
          <cell r="BZ567" t="str">
            <v/>
          </cell>
        </row>
        <row r="568">
          <cell r="C568" t="str">
            <v/>
          </cell>
          <cell r="X568">
            <v>0</v>
          </cell>
          <cell r="Y568">
            <v>0</v>
          </cell>
          <cell r="Z568">
            <v>0</v>
          </cell>
          <cell r="AA568">
            <v>0</v>
          </cell>
          <cell r="AB568">
            <v>0</v>
          </cell>
          <cell r="AF568">
            <v>0</v>
          </cell>
          <cell r="AG568">
            <v>0</v>
          </cell>
          <cell r="AH568">
            <v>0</v>
          </cell>
          <cell r="AI568">
            <v>0</v>
          </cell>
          <cell r="AJ568">
            <v>0</v>
          </cell>
          <cell r="BZ568" t="str">
            <v/>
          </cell>
        </row>
        <row r="569">
          <cell r="C569" t="str">
            <v/>
          </cell>
          <cell r="X569">
            <v>0</v>
          </cell>
          <cell r="Y569">
            <v>0</v>
          </cell>
          <cell r="Z569">
            <v>0</v>
          </cell>
          <cell r="AA569">
            <v>0</v>
          </cell>
          <cell r="AB569">
            <v>0</v>
          </cell>
          <cell r="AF569">
            <v>0</v>
          </cell>
          <cell r="AG569">
            <v>0</v>
          </cell>
          <cell r="AH569">
            <v>0</v>
          </cell>
          <cell r="AI569">
            <v>0</v>
          </cell>
          <cell r="AJ569">
            <v>0</v>
          </cell>
          <cell r="BZ569" t="str">
            <v/>
          </cell>
        </row>
        <row r="570">
          <cell r="C570" t="str">
            <v/>
          </cell>
          <cell r="X570">
            <v>0</v>
          </cell>
          <cell r="Y570">
            <v>0</v>
          </cell>
          <cell r="Z570">
            <v>0</v>
          </cell>
          <cell r="AA570">
            <v>0</v>
          </cell>
          <cell r="AB570">
            <v>0</v>
          </cell>
          <cell r="AF570">
            <v>0</v>
          </cell>
          <cell r="AG570">
            <v>0</v>
          </cell>
          <cell r="AH570">
            <v>0</v>
          </cell>
          <cell r="AI570">
            <v>0</v>
          </cell>
          <cell r="AJ570">
            <v>0</v>
          </cell>
          <cell r="BZ570" t="str">
            <v/>
          </cell>
        </row>
        <row r="571">
          <cell r="C571" t="str">
            <v/>
          </cell>
          <cell r="X571">
            <v>0</v>
          </cell>
          <cell r="Y571">
            <v>0</v>
          </cell>
          <cell r="Z571">
            <v>0</v>
          </cell>
          <cell r="AA571">
            <v>0</v>
          </cell>
          <cell r="AB571">
            <v>0</v>
          </cell>
          <cell r="AF571">
            <v>0</v>
          </cell>
          <cell r="AG571">
            <v>0</v>
          </cell>
          <cell r="AH571">
            <v>0</v>
          </cell>
          <cell r="AI571">
            <v>0</v>
          </cell>
          <cell r="AJ571">
            <v>0</v>
          </cell>
          <cell r="BZ571" t="str">
            <v/>
          </cell>
        </row>
        <row r="572">
          <cell r="C572" t="str">
            <v/>
          </cell>
          <cell r="X572">
            <v>0</v>
          </cell>
          <cell r="Y572">
            <v>0</v>
          </cell>
          <cell r="Z572">
            <v>0</v>
          </cell>
          <cell r="AA572">
            <v>0</v>
          </cell>
          <cell r="AB572">
            <v>0</v>
          </cell>
          <cell r="AF572">
            <v>0</v>
          </cell>
          <cell r="AG572">
            <v>0</v>
          </cell>
          <cell r="AH572">
            <v>0</v>
          </cell>
          <cell r="AI572">
            <v>0</v>
          </cell>
          <cell r="AJ572">
            <v>0</v>
          </cell>
          <cell r="BZ572" t="str">
            <v/>
          </cell>
        </row>
        <row r="573">
          <cell r="C573" t="str">
            <v/>
          </cell>
          <cell r="X573">
            <v>0</v>
          </cell>
          <cell r="Y573">
            <v>0</v>
          </cell>
          <cell r="Z573">
            <v>0</v>
          </cell>
          <cell r="AA573">
            <v>0</v>
          </cell>
          <cell r="AB573">
            <v>0</v>
          </cell>
          <cell r="AF573">
            <v>0</v>
          </cell>
          <cell r="AG573">
            <v>0</v>
          </cell>
          <cell r="AH573">
            <v>0</v>
          </cell>
          <cell r="AI573">
            <v>0</v>
          </cell>
          <cell r="AJ573">
            <v>0</v>
          </cell>
          <cell r="BZ573" t="str">
            <v/>
          </cell>
        </row>
        <row r="574">
          <cell r="C574" t="str">
            <v/>
          </cell>
          <cell r="X574">
            <v>0</v>
          </cell>
          <cell r="Y574">
            <v>0</v>
          </cell>
          <cell r="Z574">
            <v>0</v>
          </cell>
          <cell r="AA574">
            <v>0</v>
          </cell>
          <cell r="AB574">
            <v>0</v>
          </cell>
          <cell r="AF574">
            <v>0</v>
          </cell>
          <cell r="AG574">
            <v>0</v>
          </cell>
          <cell r="AH574">
            <v>0</v>
          </cell>
          <cell r="AI574">
            <v>0</v>
          </cell>
          <cell r="AJ574">
            <v>0</v>
          </cell>
          <cell r="BZ574" t="str">
            <v/>
          </cell>
        </row>
        <row r="575">
          <cell r="C575" t="str">
            <v/>
          </cell>
          <cell r="X575">
            <v>0</v>
          </cell>
          <cell r="Y575">
            <v>0</v>
          </cell>
          <cell r="Z575">
            <v>0</v>
          </cell>
          <cell r="AA575">
            <v>0</v>
          </cell>
          <cell r="AB575">
            <v>0</v>
          </cell>
          <cell r="AF575">
            <v>0</v>
          </cell>
          <cell r="AG575">
            <v>0</v>
          </cell>
          <cell r="AH575">
            <v>0</v>
          </cell>
          <cell r="AI575">
            <v>0</v>
          </cell>
          <cell r="AJ575">
            <v>0</v>
          </cell>
          <cell r="BZ575" t="str">
            <v/>
          </cell>
        </row>
        <row r="576">
          <cell r="C576" t="str">
            <v/>
          </cell>
          <cell r="X576">
            <v>0</v>
          </cell>
          <cell r="Y576">
            <v>0</v>
          </cell>
          <cell r="Z576">
            <v>0</v>
          </cell>
          <cell r="AA576">
            <v>0</v>
          </cell>
          <cell r="AB576">
            <v>0</v>
          </cell>
          <cell r="AF576">
            <v>0</v>
          </cell>
          <cell r="AG576">
            <v>0</v>
          </cell>
          <cell r="AH576">
            <v>0</v>
          </cell>
          <cell r="AI576">
            <v>0</v>
          </cell>
          <cell r="AJ576">
            <v>0</v>
          </cell>
          <cell r="BZ576" t="str">
            <v/>
          </cell>
        </row>
        <row r="577">
          <cell r="C577" t="str">
            <v/>
          </cell>
          <cell r="X577">
            <v>0</v>
          </cell>
          <cell r="Y577">
            <v>0</v>
          </cell>
          <cell r="Z577">
            <v>0</v>
          </cell>
          <cell r="AA577">
            <v>0</v>
          </cell>
          <cell r="AB577">
            <v>0</v>
          </cell>
          <cell r="AF577">
            <v>0</v>
          </cell>
          <cell r="AG577">
            <v>0</v>
          </cell>
          <cell r="AH577">
            <v>0</v>
          </cell>
          <cell r="AI577">
            <v>0</v>
          </cell>
          <cell r="AJ577">
            <v>0</v>
          </cell>
          <cell r="BZ577" t="str">
            <v/>
          </cell>
        </row>
        <row r="578">
          <cell r="C578" t="str">
            <v/>
          </cell>
          <cell r="X578">
            <v>0</v>
          </cell>
          <cell r="Y578">
            <v>0</v>
          </cell>
          <cell r="Z578">
            <v>0</v>
          </cell>
          <cell r="AA578">
            <v>0</v>
          </cell>
          <cell r="AB578">
            <v>0</v>
          </cell>
          <cell r="AF578">
            <v>0</v>
          </cell>
          <cell r="AG578">
            <v>0</v>
          </cell>
          <cell r="AH578">
            <v>0</v>
          </cell>
          <cell r="AI578">
            <v>0</v>
          </cell>
          <cell r="AJ578">
            <v>0</v>
          </cell>
          <cell r="BZ578" t="str">
            <v/>
          </cell>
        </row>
        <row r="579">
          <cell r="C579" t="str">
            <v/>
          </cell>
          <cell r="X579">
            <v>0</v>
          </cell>
          <cell r="Y579">
            <v>0</v>
          </cell>
          <cell r="Z579">
            <v>0</v>
          </cell>
          <cell r="AA579">
            <v>0</v>
          </cell>
          <cell r="AB579">
            <v>0</v>
          </cell>
          <cell r="AF579">
            <v>0</v>
          </cell>
          <cell r="AG579">
            <v>0</v>
          </cell>
          <cell r="AH579">
            <v>0</v>
          </cell>
          <cell r="AI579">
            <v>0</v>
          </cell>
          <cell r="AJ579">
            <v>0</v>
          </cell>
          <cell r="BZ579" t="str">
            <v/>
          </cell>
        </row>
        <row r="580">
          <cell r="C580" t="str">
            <v/>
          </cell>
          <cell r="X580">
            <v>0</v>
          </cell>
          <cell r="Y580">
            <v>0</v>
          </cell>
          <cell r="Z580">
            <v>0</v>
          </cell>
          <cell r="AA580">
            <v>0</v>
          </cell>
          <cell r="AB580">
            <v>0</v>
          </cell>
          <cell r="AF580">
            <v>0</v>
          </cell>
          <cell r="AG580">
            <v>0</v>
          </cell>
          <cell r="AH580">
            <v>0</v>
          </cell>
          <cell r="AI580">
            <v>0</v>
          </cell>
          <cell r="AJ580">
            <v>0</v>
          </cell>
          <cell r="BZ580" t="str">
            <v/>
          </cell>
        </row>
        <row r="581">
          <cell r="C581" t="str">
            <v/>
          </cell>
          <cell r="X581">
            <v>0</v>
          </cell>
          <cell r="Y581">
            <v>0</v>
          </cell>
          <cell r="Z581">
            <v>0</v>
          </cell>
          <cell r="AA581">
            <v>0</v>
          </cell>
          <cell r="AB581">
            <v>0</v>
          </cell>
          <cell r="AF581">
            <v>0</v>
          </cell>
          <cell r="AG581">
            <v>0</v>
          </cell>
          <cell r="AH581">
            <v>0</v>
          </cell>
          <cell r="AI581">
            <v>0</v>
          </cell>
          <cell r="AJ581">
            <v>0</v>
          </cell>
          <cell r="BZ581" t="str">
            <v/>
          </cell>
        </row>
        <row r="582">
          <cell r="C582" t="str">
            <v/>
          </cell>
          <cell r="X582">
            <v>0</v>
          </cell>
          <cell r="Y582">
            <v>0</v>
          </cell>
          <cell r="Z582">
            <v>0</v>
          </cell>
          <cell r="AA582">
            <v>0</v>
          </cell>
          <cell r="AB582">
            <v>0</v>
          </cell>
          <cell r="AF582">
            <v>0</v>
          </cell>
          <cell r="AG582">
            <v>0</v>
          </cell>
          <cell r="AH582">
            <v>0</v>
          </cell>
          <cell r="AI582">
            <v>0</v>
          </cell>
          <cell r="AJ582">
            <v>0</v>
          </cell>
          <cell r="BZ582" t="str">
            <v/>
          </cell>
        </row>
        <row r="583">
          <cell r="C583" t="str">
            <v/>
          </cell>
          <cell r="X583">
            <v>0</v>
          </cell>
          <cell r="Y583">
            <v>0</v>
          </cell>
          <cell r="Z583">
            <v>0</v>
          </cell>
          <cell r="AA583">
            <v>0</v>
          </cell>
          <cell r="AB583">
            <v>0</v>
          </cell>
          <cell r="AF583">
            <v>0</v>
          </cell>
          <cell r="AG583">
            <v>0</v>
          </cell>
          <cell r="AH583">
            <v>0</v>
          </cell>
          <cell r="AI583">
            <v>0</v>
          </cell>
          <cell r="AJ583">
            <v>0</v>
          </cell>
          <cell r="BZ583" t="str">
            <v/>
          </cell>
        </row>
        <row r="584">
          <cell r="C584" t="str">
            <v/>
          </cell>
          <cell r="X584">
            <v>0</v>
          </cell>
          <cell r="Y584">
            <v>0</v>
          </cell>
          <cell r="Z584">
            <v>0</v>
          </cell>
          <cell r="AA584">
            <v>0</v>
          </cell>
          <cell r="AB584">
            <v>0</v>
          </cell>
          <cell r="AF584">
            <v>0</v>
          </cell>
          <cell r="AG584">
            <v>0</v>
          </cell>
          <cell r="AH584">
            <v>0</v>
          </cell>
          <cell r="AI584">
            <v>0</v>
          </cell>
          <cell r="AJ584">
            <v>0</v>
          </cell>
          <cell r="BZ584" t="str">
            <v/>
          </cell>
        </row>
        <row r="585">
          <cell r="C585" t="str">
            <v/>
          </cell>
          <cell r="X585">
            <v>0</v>
          </cell>
          <cell r="Y585">
            <v>0</v>
          </cell>
          <cell r="Z585">
            <v>0</v>
          </cell>
          <cell r="AA585">
            <v>0</v>
          </cell>
          <cell r="AB585">
            <v>0</v>
          </cell>
          <cell r="AF585">
            <v>0</v>
          </cell>
          <cell r="AG585">
            <v>0</v>
          </cell>
          <cell r="AH585">
            <v>0</v>
          </cell>
          <cell r="AI585">
            <v>0</v>
          </cell>
          <cell r="AJ585">
            <v>0</v>
          </cell>
          <cell r="BZ585" t="str">
            <v/>
          </cell>
        </row>
        <row r="586">
          <cell r="C586" t="str">
            <v/>
          </cell>
          <cell r="X586">
            <v>0</v>
          </cell>
          <cell r="Y586">
            <v>0</v>
          </cell>
          <cell r="Z586">
            <v>0</v>
          </cell>
          <cell r="AA586">
            <v>0</v>
          </cell>
          <cell r="AB586">
            <v>0</v>
          </cell>
          <cell r="AF586">
            <v>0</v>
          </cell>
          <cell r="AG586">
            <v>0</v>
          </cell>
          <cell r="AH586">
            <v>0</v>
          </cell>
          <cell r="AI586">
            <v>0</v>
          </cell>
          <cell r="AJ586">
            <v>0</v>
          </cell>
          <cell r="BZ586" t="str">
            <v/>
          </cell>
        </row>
        <row r="587">
          <cell r="C587" t="str">
            <v/>
          </cell>
          <cell r="X587">
            <v>0</v>
          </cell>
          <cell r="Y587">
            <v>0</v>
          </cell>
          <cell r="Z587">
            <v>0</v>
          </cell>
          <cell r="AA587">
            <v>0</v>
          </cell>
          <cell r="AB587">
            <v>0</v>
          </cell>
          <cell r="AF587">
            <v>0</v>
          </cell>
          <cell r="AG587">
            <v>0</v>
          </cell>
          <cell r="AH587">
            <v>0</v>
          </cell>
          <cell r="AI587">
            <v>0</v>
          </cell>
          <cell r="AJ587">
            <v>0</v>
          </cell>
          <cell r="BZ587" t="str">
            <v/>
          </cell>
        </row>
        <row r="588">
          <cell r="C588" t="str">
            <v/>
          </cell>
          <cell r="X588">
            <v>0</v>
          </cell>
          <cell r="Y588">
            <v>0</v>
          </cell>
          <cell r="Z588">
            <v>0</v>
          </cell>
          <cell r="AA588">
            <v>0</v>
          </cell>
          <cell r="AB588">
            <v>0</v>
          </cell>
          <cell r="AF588">
            <v>0</v>
          </cell>
          <cell r="AG588">
            <v>0</v>
          </cell>
          <cell r="AH588">
            <v>0</v>
          </cell>
          <cell r="AI588">
            <v>0</v>
          </cell>
          <cell r="AJ588">
            <v>0</v>
          </cell>
          <cell r="BZ588" t="str">
            <v/>
          </cell>
        </row>
        <row r="589">
          <cell r="C589" t="str">
            <v/>
          </cell>
          <cell r="X589">
            <v>0</v>
          </cell>
          <cell r="Y589">
            <v>0</v>
          </cell>
          <cell r="Z589">
            <v>0</v>
          </cell>
          <cell r="AA589">
            <v>0</v>
          </cell>
          <cell r="AB589">
            <v>0</v>
          </cell>
          <cell r="AF589">
            <v>0</v>
          </cell>
          <cell r="AG589">
            <v>0</v>
          </cell>
          <cell r="AH589">
            <v>0</v>
          </cell>
          <cell r="AI589">
            <v>0</v>
          </cell>
          <cell r="AJ589">
            <v>0</v>
          </cell>
          <cell r="BZ589" t="str">
            <v/>
          </cell>
        </row>
        <row r="590">
          <cell r="C590" t="str">
            <v/>
          </cell>
          <cell r="X590">
            <v>0</v>
          </cell>
          <cell r="Y590">
            <v>0</v>
          </cell>
          <cell r="Z590">
            <v>0</v>
          </cell>
          <cell r="AA590">
            <v>0</v>
          </cell>
          <cell r="AB590">
            <v>0</v>
          </cell>
          <cell r="AF590">
            <v>0</v>
          </cell>
          <cell r="AG590">
            <v>0</v>
          </cell>
          <cell r="AH590">
            <v>0</v>
          </cell>
          <cell r="AI590">
            <v>0</v>
          </cell>
          <cell r="AJ590">
            <v>0</v>
          </cell>
          <cell r="BZ590" t="str">
            <v/>
          </cell>
        </row>
        <row r="591">
          <cell r="C591" t="str">
            <v/>
          </cell>
          <cell r="X591">
            <v>0</v>
          </cell>
          <cell r="Y591">
            <v>0</v>
          </cell>
          <cell r="Z591">
            <v>0</v>
          </cell>
          <cell r="AA591">
            <v>0</v>
          </cell>
          <cell r="AB591">
            <v>0</v>
          </cell>
          <cell r="AF591">
            <v>0</v>
          </cell>
          <cell r="AG591">
            <v>0</v>
          </cell>
          <cell r="AH591">
            <v>0</v>
          </cell>
          <cell r="AI591">
            <v>0</v>
          </cell>
          <cell r="AJ591">
            <v>0</v>
          </cell>
          <cell r="BZ591" t="str">
            <v/>
          </cell>
        </row>
        <row r="592">
          <cell r="C592" t="str">
            <v/>
          </cell>
          <cell r="X592">
            <v>0</v>
          </cell>
          <cell r="Y592">
            <v>0</v>
          </cell>
          <cell r="Z592">
            <v>0</v>
          </cell>
          <cell r="AA592">
            <v>0</v>
          </cell>
          <cell r="AB592">
            <v>0</v>
          </cell>
          <cell r="AF592">
            <v>0</v>
          </cell>
          <cell r="AG592">
            <v>0</v>
          </cell>
          <cell r="AH592">
            <v>0</v>
          </cell>
          <cell r="AI592">
            <v>0</v>
          </cell>
          <cell r="AJ592">
            <v>0</v>
          </cell>
          <cell r="BZ592" t="str">
            <v/>
          </cell>
        </row>
        <row r="593">
          <cell r="C593" t="str">
            <v/>
          </cell>
          <cell r="X593">
            <v>0</v>
          </cell>
          <cell r="Y593">
            <v>0</v>
          </cell>
          <cell r="Z593">
            <v>0</v>
          </cell>
          <cell r="AA593">
            <v>0</v>
          </cell>
          <cell r="AB593">
            <v>0</v>
          </cell>
          <cell r="AF593">
            <v>0</v>
          </cell>
          <cell r="AG593">
            <v>0</v>
          </cell>
          <cell r="AH593">
            <v>0</v>
          </cell>
          <cell r="AI593">
            <v>0</v>
          </cell>
          <cell r="AJ593">
            <v>0</v>
          </cell>
          <cell r="BZ593" t="str">
            <v/>
          </cell>
        </row>
        <row r="594">
          <cell r="C594" t="str">
            <v/>
          </cell>
          <cell r="X594">
            <v>0</v>
          </cell>
          <cell r="Y594">
            <v>0</v>
          </cell>
          <cell r="Z594">
            <v>0</v>
          </cell>
          <cell r="AA594">
            <v>0</v>
          </cell>
          <cell r="AB594">
            <v>0</v>
          </cell>
          <cell r="AF594">
            <v>0</v>
          </cell>
          <cell r="AG594">
            <v>0</v>
          </cell>
          <cell r="AH594">
            <v>0</v>
          </cell>
          <cell r="AI594">
            <v>0</v>
          </cell>
          <cell r="AJ594">
            <v>0</v>
          </cell>
          <cell r="BZ594" t="str">
            <v/>
          </cell>
        </row>
        <row r="595">
          <cell r="C595" t="str">
            <v/>
          </cell>
          <cell r="X595">
            <v>0</v>
          </cell>
          <cell r="Y595">
            <v>0</v>
          </cell>
          <cell r="Z595">
            <v>0</v>
          </cell>
          <cell r="AA595">
            <v>0</v>
          </cell>
          <cell r="AB595">
            <v>0</v>
          </cell>
          <cell r="AF595">
            <v>0</v>
          </cell>
          <cell r="AG595">
            <v>0</v>
          </cell>
          <cell r="AH595">
            <v>0</v>
          </cell>
          <cell r="AI595">
            <v>0</v>
          </cell>
          <cell r="AJ595">
            <v>0</v>
          </cell>
          <cell r="BZ595" t="str">
            <v/>
          </cell>
        </row>
        <row r="596">
          <cell r="C596" t="str">
            <v/>
          </cell>
          <cell r="X596">
            <v>0</v>
          </cell>
          <cell r="Y596">
            <v>0</v>
          </cell>
          <cell r="Z596">
            <v>0</v>
          </cell>
          <cell r="AA596">
            <v>0</v>
          </cell>
          <cell r="AB596">
            <v>0</v>
          </cell>
          <cell r="AF596">
            <v>0</v>
          </cell>
          <cell r="AG596">
            <v>0</v>
          </cell>
          <cell r="AH596">
            <v>0</v>
          </cell>
          <cell r="AI596">
            <v>0</v>
          </cell>
          <cell r="AJ596">
            <v>0</v>
          </cell>
          <cell r="BZ596" t="str">
            <v/>
          </cell>
        </row>
        <row r="597">
          <cell r="C597" t="str">
            <v/>
          </cell>
          <cell r="X597">
            <v>0</v>
          </cell>
          <cell r="Y597">
            <v>0</v>
          </cell>
          <cell r="Z597">
            <v>0</v>
          </cell>
          <cell r="AA597">
            <v>0</v>
          </cell>
          <cell r="AB597">
            <v>0</v>
          </cell>
          <cell r="AF597">
            <v>0</v>
          </cell>
          <cell r="AG597">
            <v>0</v>
          </cell>
          <cell r="AH597">
            <v>0</v>
          </cell>
          <cell r="AI597">
            <v>0</v>
          </cell>
          <cell r="AJ597">
            <v>0</v>
          </cell>
          <cell r="BZ597" t="str">
            <v/>
          </cell>
        </row>
        <row r="598">
          <cell r="C598" t="str">
            <v/>
          </cell>
          <cell r="X598">
            <v>0</v>
          </cell>
          <cell r="Y598">
            <v>0</v>
          </cell>
          <cell r="Z598">
            <v>0</v>
          </cell>
          <cell r="AA598">
            <v>0</v>
          </cell>
          <cell r="AB598">
            <v>0</v>
          </cell>
          <cell r="AF598">
            <v>0</v>
          </cell>
          <cell r="AG598">
            <v>0</v>
          </cell>
          <cell r="AH598">
            <v>0</v>
          </cell>
          <cell r="AI598">
            <v>0</v>
          </cell>
          <cell r="AJ598">
            <v>0</v>
          </cell>
          <cell r="BZ598" t="str">
            <v/>
          </cell>
        </row>
        <row r="599">
          <cell r="C599" t="str">
            <v/>
          </cell>
          <cell r="X599">
            <v>0</v>
          </cell>
          <cell r="Y599">
            <v>0</v>
          </cell>
          <cell r="Z599">
            <v>0</v>
          </cell>
          <cell r="AA599">
            <v>0</v>
          </cell>
          <cell r="AB599">
            <v>0</v>
          </cell>
          <cell r="AF599">
            <v>0</v>
          </cell>
          <cell r="AG599">
            <v>0</v>
          </cell>
          <cell r="AH599">
            <v>0</v>
          </cell>
          <cell r="AI599">
            <v>0</v>
          </cell>
          <cell r="AJ599">
            <v>0</v>
          </cell>
          <cell r="BZ599" t="str">
            <v/>
          </cell>
        </row>
        <row r="600">
          <cell r="C600" t="str">
            <v/>
          </cell>
          <cell r="X600">
            <v>0</v>
          </cell>
          <cell r="Y600">
            <v>0</v>
          </cell>
          <cell r="Z600">
            <v>0</v>
          </cell>
          <cell r="AA600">
            <v>0</v>
          </cell>
          <cell r="AB600">
            <v>0</v>
          </cell>
          <cell r="AF600">
            <v>0</v>
          </cell>
          <cell r="AG600">
            <v>0</v>
          </cell>
          <cell r="AH600">
            <v>0</v>
          </cell>
          <cell r="AI600">
            <v>0</v>
          </cell>
          <cell r="AJ600">
            <v>0</v>
          </cell>
          <cell r="BZ600" t="str">
            <v/>
          </cell>
        </row>
        <row r="601">
          <cell r="C601" t="str">
            <v/>
          </cell>
          <cell r="X601">
            <v>0</v>
          </cell>
          <cell r="Y601">
            <v>0</v>
          </cell>
          <cell r="Z601">
            <v>0</v>
          </cell>
          <cell r="AA601">
            <v>0</v>
          </cell>
          <cell r="AB601">
            <v>0</v>
          </cell>
          <cell r="AF601">
            <v>0</v>
          </cell>
          <cell r="AG601">
            <v>0</v>
          </cell>
          <cell r="AH601">
            <v>0</v>
          </cell>
          <cell r="AI601">
            <v>0</v>
          </cell>
          <cell r="AJ601">
            <v>0</v>
          </cell>
          <cell r="BZ601" t="str">
            <v/>
          </cell>
        </row>
        <row r="602">
          <cell r="C602" t="str">
            <v/>
          </cell>
          <cell r="X602">
            <v>0</v>
          </cell>
          <cell r="Y602">
            <v>0</v>
          </cell>
          <cell r="Z602">
            <v>0</v>
          </cell>
          <cell r="AA602">
            <v>0</v>
          </cell>
          <cell r="AB602">
            <v>0</v>
          </cell>
          <cell r="AF602">
            <v>0</v>
          </cell>
          <cell r="AG602">
            <v>0</v>
          </cell>
          <cell r="AH602">
            <v>0</v>
          </cell>
          <cell r="AI602">
            <v>0</v>
          </cell>
          <cell r="AJ602">
            <v>0</v>
          </cell>
          <cell r="BZ602" t="str">
            <v/>
          </cell>
        </row>
        <row r="603">
          <cell r="C603" t="str">
            <v/>
          </cell>
          <cell r="X603">
            <v>0</v>
          </cell>
          <cell r="Y603">
            <v>0</v>
          </cell>
          <cell r="Z603">
            <v>0</v>
          </cell>
          <cell r="AA603">
            <v>0</v>
          </cell>
          <cell r="AB603">
            <v>0</v>
          </cell>
          <cell r="AF603">
            <v>0</v>
          </cell>
          <cell r="AG603">
            <v>0</v>
          </cell>
          <cell r="AH603">
            <v>0</v>
          </cell>
          <cell r="AI603">
            <v>0</v>
          </cell>
          <cell r="AJ603">
            <v>0</v>
          </cell>
          <cell r="BZ603" t="str">
            <v/>
          </cell>
        </row>
        <row r="604">
          <cell r="C604" t="str">
            <v/>
          </cell>
          <cell r="X604">
            <v>0</v>
          </cell>
          <cell r="Y604">
            <v>0</v>
          </cell>
          <cell r="Z604">
            <v>0</v>
          </cell>
          <cell r="AA604">
            <v>0</v>
          </cell>
          <cell r="AB604">
            <v>0</v>
          </cell>
          <cell r="AF604">
            <v>0</v>
          </cell>
          <cell r="AG604">
            <v>0</v>
          </cell>
          <cell r="AH604">
            <v>0</v>
          </cell>
          <cell r="AI604">
            <v>0</v>
          </cell>
          <cell r="AJ604">
            <v>0</v>
          </cell>
          <cell r="BZ604" t="str">
            <v/>
          </cell>
        </row>
        <row r="605">
          <cell r="C605" t="str">
            <v/>
          </cell>
          <cell r="X605">
            <v>0</v>
          </cell>
          <cell r="Y605">
            <v>0</v>
          </cell>
          <cell r="Z605">
            <v>0</v>
          </cell>
          <cell r="AA605">
            <v>0</v>
          </cell>
          <cell r="AB605">
            <v>0</v>
          </cell>
          <cell r="AF605">
            <v>0</v>
          </cell>
          <cell r="AG605">
            <v>0</v>
          </cell>
          <cell r="AH605">
            <v>0</v>
          </cell>
          <cell r="AI605">
            <v>0</v>
          </cell>
          <cell r="AJ605">
            <v>0</v>
          </cell>
          <cell r="BZ605" t="str">
            <v/>
          </cell>
        </row>
        <row r="606">
          <cell r="C606" t="str">
            <v/>
          </cell>
          <cell r="X606">
            <v>0</v>
          </cell>
          <cell r="Y606">
            <v>0</v>
          </cell>
          <cell r="Z606">
            <v>0</v>
          </cell>
          <cell r="AA606">
            <v>0</v>
          </cell>
          <cell r="AB606">
            <v>0</v>
          </cell>
          <cell r="AF606">
            <v>0</v>
          </cell>
          <cell r="AG606">
            <v>0</v>
          </cell>
          <cell r="AH606">
            <v>0</v>
          </cell>
          <cell r="AI606">
            <v>0</v>
          </cell>
          <cell r="AJ606">
            <v>0</v>
          </cell>
          <cell r="BZ606" t="str">
            <v/>
          </cell>
        </row>
        <row r="607">
          <cell r="C607" t="str">
            <v/>
          </cell>
          <cell r="X607">
            <v>0</v>
          </cell>
          <cell r="Y607">
            <v>0</v>
          </cell>
          <cell r="Z607">
            <v>0</v>
          </cell>
          <cell r="AA607">
            <v>0</v>
          </cell>
          <cell r="AB607">
            <v>0</v>
          </cell>
          <cell r="AF607">
            <v>0</v>
          </cell>
          <cell r="AG607">
            <v>0</v>
          </cell>
          <cell r="AH607">
            <v>0</v>
          </cell>
          <cell r="AI607">
            <v>0</v>
          </cell>
          <cell r="AJ607">
            <v>0</v>
          </cell>
          <cell r="BZ607" t="str">
            <v/>
          </cell>
        </row>
        <row r="608">
          <cell r="C608" t="str">
            <v/>
          </cell>
          <cell r="X608">
            <v>0</v>
          </cell>
          <cell r="Y608">
            <v>0</v>
          </cell>
          <cell r="Z608">
            <v>0</v>
          </cell>
          <cell r="AA608">
            <v>0</v>
          </cell>
          <cell r="AB608">
            <v>0</v>
          </cell>
          <cell r="AF608">
            <v>0</v>
          </cell>
          <cell r="AG608">
            <v>0</v>
          </cell>
          <cell r="AH608">
            <v>0</v>
          </cell>
          <cell r="AI608">
            <v>0</v>
          </cell>
          <cell r="AJ608">
            <v>0</v>
          </cell>
          <cell r="BZ608" t="str">
            <v/>
          </cell>
        </row>
        <row r="609">
          <cell r="C609" t="str">
            <v/>
          </cell>
          <cell r="X609">
            <v>0</v>
          </cell>
          <cell r="Y609">
            <v>0</v>
          </cell>
          <cell r="Z609">
            <v>0</v>
          </cell>
          <cell r="AA609">
            <v>0</v>
          </cell>
          <cell r="AB609">
            <v>0</v>
          </cell>
          <cell r="AF609">
            <v>0</v>
          </cell>
          <cell r="AG609">
            <v>0</v>
          </cell>
          <cell r="AH609">
            <v>0</v>
          </cell>
          <cell r="AI609">
            <v>0</v>
          </cell>
          <cell r="AJ609">
            <v>0</v>
          </cell>
          <cell r="BZ609" t="str">
            <v/>
          </cell>
        </row>
        <row r="610">
          <cell r="C610" t="str">
            <v/>
          </cell>
          <cell r="X610">
            <v>0</v>
          </cell>
          <cell r="Y610">
            <v>0</v>
          </cell>
          <cell r="Z610">
            <v>0</v>
          </cell>
          <cell r="AA610">
            <v>0</v>
          </cell>
          <cell r="AB610">
            <v>0</v>
          </cell>
          <cell r="AF610">
            <v>0</v>
          </cell>
          <cell r="AG610">
            <v>0</v>
          </cell>
          <cell r="AH610">
            <v>0</v>
          </cell>
          <cell r="AI610">
            <v>0</v>
          </cell>
          <cell r="AJ610">
            <v>0</v>
          </cell>
          <cell r="BZ610" t="str">
            <v/>
          </cell>
        </row>
        <row r="611">
          <cell r="C611" t="str">
            <v/>
          </cell>
          <cell r="X611">
            <v>0</v>
          </cell>
          <cell r="Y611">
            <v>0</v>
          </cell>
          <cell r="Z611">
            <v>0</v>
          </cell>
          <cell r="AA611">
            <v>0</v>
          </cell>
          <cell r="AB611">
            <v>0</v>
          </cell>
          <cell r="AF611">
            <v>0</v>
          </cell>
          <cell r="AG611">
            <v>0</v>
          </cell>
          <cell r="AH611">
            <v>0</v>
          </cell>
          <cell r="AI611">
            <v>0</v>
          </cell>
          <cell r="AJ611">
            <v>0</v>
          </cell>
          <cell r="BZ611" t="str">
            <v/>
          </cell>
        </row>
        <row r="612">
          <cell r="C612" t="str">
            <v/>
          </cell>
          <cell r="X612">
            <v>0</v>
          </cell>
          <cell r="Y612">
            <v>0</v>
          </cell>
          <cell r="Z612">
            <v>0</v>
          </cell>
          <cell r="AA612">
            <v>0</v>
          </cell>
          <cell r="AB612">
            <v>0</v>
          </cell>
          <cell r="AF612">
            <v>0</v>
          </cell>
          <cell r="AG612">
            <v>0</v>
          </cell>
          <cell r="AH612">
            <v>0</v>
          </cell>
          <cell r="AI612">
            <v>0</v>
          </cell>
          <cell r="AJ612">
            <v>0</v>
          </cell>
          <cell r="BZ612" t="str">
            <v/>
          </cell>
        </row>
        <row r="613">
          <cell r="C613" t="str">
            <v/>
          </cell>
          <cell r="X613">
            <v>0</v>
          </cell>
          <cell r="Y613">
            <v>0</v>
          </cell>
          <cell r="Z613">
            <v>0</v>
          </cell>
          <cell r="AA613">
            <v>0</v>
          </cell>
          <cell r="AB613">
            <v>0</v>
          </cell>
          <cell r="AF613">
            <v>0</v>
          </cell>
          <cell r="AG613">
            <v>0</v>
          </cell>
          <cell r="AH613">
            <v>0</v>
          </cell>
          <cell r="AI613">
            <v>0</v>
          </cell>
          <cell r="AJ613">
            <v>0</v>
          </cell>
          <cell r="BZ613" t="str">
            <v/>
          </cell>
        </row>
        <row r="614">
          <cell r="C614" t="str">
            <v/>
          </cell>
          <cell r="X614">
            <v>0</v>
          </cell>
          <cell r="Y614">
            <v>0</v>
          </cell>
          <cell r="Z614">
            <v>0</v>
          </cell>
          <cell r="AA614">
            <v>0</v>
          </cell>
          <cell r="AB614">
            <v>0</v>
          </cell>
          <cell r="AF614">
            <v>0</v>
          </cell>
          <cell r="AG614">
            <v>0</v>
          </cell>
          <cell r="AH614">
            <v>0</v>
          </cell>
          <cell r="AI614">
            <v>0</v>
          </cell>
          <cell r="AJ614">
            <v>0</v>
          </cell>
          <cell r="BZ614" t="str">
            <v/>
          </cell>
        </row>
        <row r="615">
          <cell r="C615" t="str">
            <v/>
          </cell>
          <cell r="X615">
            <v>0</v>
          </cell>
          <cell r="Y615">
            <v>0</v>
          </cell>
          <cell r="Z615">
            <v>0</v>
          </cell>
          <cell r="AA615">
            <v>0</v>
          </cell>
          <cell r="AB615">
            <v>0</v>
          </cell>
          <cell r="AF615">
            <v>0</v>
          </cell>
          <cell r="AG615">
            <v>0</v>
          </cell>
          <cell r="AH615">
            <v>0</v>
          </cell>
          <cell r="AI615">
            <v>0</v>
          </cell>
          <cell r="AJ615">
            <v>0</v>
          </cell>
          <cell r="BZ615" t="str">
            <v/>
          </cell>
        </row>
        <row r="616">
          <cell r="C616" t="str">
            <v/>
          </cell>
          <cell r="X616">
            <v>0</v>
          </cell>
          <cell r="Y616">
            <v>0</v>
          </cell>
          <cell r="Z616">
            <v>0</v>
          </cell>
          <cell r="AA616">
            <v>0</v>
          </cell>
          <cell r="AB616">
            <v>0</v>
          </cell>
          <cell r="AF616">
            <v>0</v>
          </cell>
          <cell r="AG616">
            <v>0</v>
          </cell>
          <cell r="AH616">
            <v>0</v>
          </cell>
          <cell r="AI616">
            <v>0</v>
          </cell>
          <cell r="AJ616">
            <v>0</v>
          </cell>
          <cell r="BZ616" t="str">
            <v/>
          </cell>
        </row>
        <row r="617">
          <cell r="C617" t="str">
            <v/>
          </cell>
          <cell r="X617">
            <v>0</v>
          </cell>
          <cell r="Y617">
            <v>0</v>
          </cell>
          <cell r="Z617">
            <v>0</v>
          </cell>
          <cell r="AA617">
            <v>0</v>
          </cell>
          <cell r="AB617">
            <v>0</v>
          </cell>
          <cell r="AF617">
            <v>0</v>
          </cell>
          <cell r="AG617">
            <v>0</v>
          </cell>
          <cell r="AH617">
            <v>0</v>
          </cell>
          <cell r="AI617">
            <v>0</v>
          </cell>
          <cell r="AJ617">
            <v>0</v>
          </cell>
          <cell r="BZ617" t="str">
            <v/>
          </cell>
        </row>
        <row r="618">
          <cell r="C618" t="str">
            <v/>
          </cell>
          <cell r="X618">
            <v>0</v>
          </cell>
          <cell r="Y618">
            <v>0</v>
          </cell>
          <cell r="Z618">
            <v>0</v>
          </cell>
          <cell r="AA618">
            <v>0</v>
          </cell>
          <cell r="AB618">
            <v>0</v>
          </cell>
          <cell r="AF618">
            <v>0</v>
          </cell>
          <cell r="AG618">
            <v>0</v>
          </cell>
          <cell r="AH618">
            <v>0</v>
          </cell>
          <cell r="AI618">
            <v>0</v>
          </cell>
          <cell r="AJ618">
            <v>0</v>
          </cell>
          <cell r="BZ618" t="str">
            <v/>
          </cell>
        </row>
        <row r="619">
          <cell r="C619" t="str">
            <v/>
          </cell>
          <cell r="X619">
            <v>0</v>
          </cell>
          <cell r="Y619">
            <v>0</v>
          </cell>
          <cell r="Z619">
            <v>0</v>
          </cell>
          <cell r="AA619">
            <v>0</v>
          </cell>
          <cell r="AB619">
            <v>0</v>
          </cell>
          <cell r="AF619">
            <v>0</v>
          </cell>
          <cell r="AG619">
            <v>0</v>
          </cell>
          <cell r="AH619">
            <v>0</v>
          </cell>
          <cell r="AI619">
            <v>0</v>
          </cell>
          <cell r="AJ619">
            <v>0</v>
          </cell>
          <cell r="BZ619" t="str">
            <v/>
          </cell>
        </row>
        <row r="620">
          <cell r="C620" t="str">
            <v/>
          </cell>
          <cell r="X620">
            <v>0</v>
          </cell>
          <cell r="Y620">
            <v>0</v>
          </cell>
          <cell r="Z620">
            <v>0</v>
          </cell>
          <cell r="AA620">
            <v>0</v>
          </cell>
          <cell r="AB620">
            <v>0</v>
          </cell>
          <cell r="AF620">
            <v>0</v>
          </cell>
          <cell r="AG620">
            <v>0</v>
          </cell>
          <cell r="AH620">
            <v>0</v>
          </cell>
          <cell r="AI620">
            <v>0</v>
          </cell>
          <cell r="AJ620">
            <v>0</v>
          </cell>
          <cell r="BZ620" t="str">
            <v/>
          </cell>
        </row>
        <row r="621">
          <cell r="C621" t="str">
            <v/>
          </cell>
          <cell r="X621">
            <v>0</v>
          </cell>
          <cell r="Y621">
            <v>0</v>
          </cell>
          <cell r="Z621">
            <v>0</v>
          </cell>
          <cell r="AA621">
            <v>0</v>
          </cell>
          <cell r="AB621">
            <v>0</v>
          </cell>
          <cell r="AF621">
            <v>0</v>
          </cell>
          <cell r="AG621">
            <v>0</v>
          </cell>
          <cell r="AH621">
            <v>0</v>
          </cell>
          <cell r="AI621">
            <v>0</v>
          </cell>
          <cell r="AJ621">
            <v>0</v>
          </cell>
          <cell r="BZ621" t="str">
            <v/>
          </cell>
        </row>
        <row r="622">
          <cell r="C622" t="str">
            <v/>
          </cell>
          <cell r="X622">
            <v>0</v>
          </cell>
          <cell r="Y622">
            <v>0</v>
          </cell>
          <cell r="Z622">
            <v>0</v>
          </cell>
          <cell r="AA622">
            <v>0</v>
          </cell>
          <cell r="AB622">
            <v>0</v>
          </cell>
          <cell r="AF622">
            <v>0</v>
          </cell>
          <cell r="AG622">
            <v>0</v>
          </cell>
          <cell r="AH622">
            <v>0</v>
          </cell>
          <cell r="AI622">
            <v>0</v>
          </cell>
          <cell r="AJ622">
            <v>0</v>
          </cell>
          <cell r="BZ622" t="str">
            <v/>
          </cell>
        </row>
        <row r="623">
          <cell r="C623" t="str">
            <v/>
          </cell>
          <cell r="X623">
            <v>0</v>
          </cell>
          <cell r="Y623">
            <v>0</v>
          </cell>
          <cell r="Z623">
            <v>0</v>
          </cell>
          <cell r="AA623">
            <v>0</v>
          </cell>
          <cell r="AB623">
            <v>0</v>
          </cell>
          <cell r="AF623">
            <v>0</v>
          </cell>
          <cell r="AG623">
            <v>0</v>
          </cell>
          <cell r="AH623">
            <v>0</v>
          </cell>
          <cell r="AI623">
            <v>0</v>
          </cell>
          <cell r="AJ623">
            <v>0</v>
          </cell>
          <cell r="BZ623" t="str">
            <v/>
          </cell>
        </row>
        <row r="624">
          <cell r="C624" t="str">
            <v/>
          </cell>
          <cell r="X624">
            <v>0</v>
          </cell>
          <cell r="Y624">
            <v>0</v>
          </cell>
          <cell r="Z624">
            <v>0</v>
          </cell>
          <cell r="AA624">
            <v>0</v>
          </cell>
          <cell r="AB624">
            <v>0</v>
          </cell>
          <cell r="AF624">
            <v>0</v>
          </cell>
          <cell r="AG624">
            <v>0</v>
          </cell>
          <cell r="AH624">
            <v>0</v>
          </cell>
          <cell r="AI624">
            <v>0</v>
          </cell>
          <cell r="AJ624">
            <v>0</v>
          </cell>
          <cell r="BZ624" t="str">
            <v/>
          </cell>
        </row>
        <row r="625">
          <cell r="C625" t="str">
            <v/>
          </cell>
          <cell r="X625">
            <v>0</v>
          </cell>
          <cell r="Y625">
            <v>0</v>
          </cell>
          <cell r="Z625">
            <v>0</v>
          </cell>
          <cell r="AA625">
            <v>0</v>
          </cell>
          <cell r="AB625">
            <v>0</v>
          </cell>
          <cell r="AF625">
            <v>0</v>
          </cell>
          <cell r="AG625">
            <v>0</v>
          </cell>
          <cell r="AH625">
            <v>0</v>
          </cell>
          <cell r="AI625">
            <v>0</v>
          </cell>
          <cell r="AJ625">
            <v>0</v>
          </cell>
          <cell r="BZ625" t="str">
            <v/>
          </cell>
        </row>
        <row r="626">
          <cell r="C626" t="str">
            <v/>
          </cell>
          <cell r="X626">
            <v>0</v>
          </cell>
          <cell r="Y626">
            <v>0</v>
          </cell>
          <cell r="Z626">
            <v>0</v>
          </cell>
          <cell r="AA626">
            <v>0</v>
          </cell>
          <cell r="AB626">
            <v>0</v>
          </cell>
          <cell r="AF626">
            <v>0</v>
          </cell>
          <cell r="AG626">
            <v>0</v>
          </cell>
          <cell r="AH626">
            <v>0</v>
          </cell>
          <cell r="AI626">
            <v>0</v>
          </cell>
          <cell r="AJ626">
            <v>0</v>
          </cell>
          <cell r="BZ626" t="str">
            <v/>
          </cell>
        </row>
        <row r="627">
          <cell r="C627" t="str">
            <v/>
          </cell>
          <cell r="X627">
            <v>0</v>
          </cell>
          <cell r="Y627">
            <v>0</v>
          </cell>
          <cell r="Z627">
            <v>0</v>
          </cell>
          <cell r="AA627">
            <v>0</v>
          </cell>
          <cell r="AB627">
            <v>0</v>
          </cell>
          <cell r="AF627">
            <v>0</v>
          </cell>
          <cell r="AG627">
            <v>0</v>
          </cell>
          <cell r="AH627">
            <v>0</v>
          </cell>
          <cell r="AI627">
            <v>0</v>
          </cell>
          <cell r="AJ627">
            <v>0</v>
          </cell>
          <cell r="BZ627" t="str">
            <v/>
          </cell>
        </row>
        <row r="628">
          <cell r="C628" t="str">
            <v/>
          </cell>
          <cell r="X628">
            <v>0</v>
          </cell>
          <cell r="Y628">
            <v>0</v>
          </cell>
          <cell r="Z628">
            <v>0</v>
          </cell>
          <cell r="AA628">
            <v>0</v>
          </cell>
          <cell r="AB628">
            <v>0</v>
          </cell>
          <cell r="AF628">
            <v>0</v>
          </cell>
          <cell r="AG628">
            <v>0</v>
          </cell>
          <cell r="AH628">
            <v>0</v>
          </cell>
          <cell r="AI628">
            <v>0</v>
          </cell>
          <cell r="AJ628">
            <v>0</v>
          </cell>
          <cell r="BZ628" t="str">
            <v/>
          </cell>
        </row>
        <row r="629">
          <cell r="C629" t="str">
            <v/>
          </cell>
          <cell r="X629">
            <v>0</v>
          </cell>
          <cell r="Y629">
            <v>0</v>
          </cell>
          <cell r="Z629">
            <v>0</v>
          </cell>
          <cell r="AA629">
            <v>0</v>
          </cell>
          <cell r="AB629">
            <v>0</v>
          </cell>
          <cell r="AF629">
            <v>0</v>
          </cell>
          <cell r="AG629">
            <v>0</v>
          </cell>
          <cell r="AH629">
            <v>0</v>
          </cell>
          <cell r="AI629">
            <v>0</v>
          </cell>
          <cell r="AJ629">
            <v>0</v>
          </cell>
          <cell r="BZ629" t="str">
            <v/>
          </cell>
        </row>
        <row r="630">
          <cell r="C630" t="str">
            <v/>
          </cell>
          <cell r="X630">
            <v>0</v>
          </cell>
          <cell r="Y630">
            <v>0</v>
          </cell>
          <cell r="Z630">
            <v>0</v>
          </cell>
          <cell r="AA630">
            <v>0</v>
          </cell>
          <cell r="AB630">
            <v>0</v>
          </cell>
          <cell r="AF630">
            <v>0</v>
          </cell>
          <cell r="AG630">
            <v>0</v>
          </cell>
          <cell r="AH630">
            <v>0</v>
          </cell>
          <cell r="AI630">
            <v>0</v>
          </cell>
          <cell r="AJ630">
            <v>0</v>
          </cell>
          <cell r="BZ630" t="str">
            <v/>
          </cell>
        </row>
        <row r="631">
          <cell r="C631" t="str">
            <v/>
          </cell>
          <cell r="X631">
            <v>0</v>
          </cell>
          <cell r="Y631">
            <v>0</v>
          </cell>
          <cell r="Z631">
            <v>0</v>
          </cell>
          <cell r="AA631">
            <v>0</v>
          </cell>
          <cell r="AB631">
            <v>0</v>
          </cell>
          <cell r="AF631">
            <v>0</v>
          </cell>
          <cell r="AG631">
            <v>0</v>
          </cell>
          <cell r="AH631">
            <v>0</v>
          </cell>
          <cell r="AI631">
            <v>0</v>
          </cell>
          <cell r="AJ631">
            <v>0</v>
          </cell>
          <cell r="BZ631" t="str">
            <v/>
          </cell>
        </row>
        <row r="632">
          <cell r="C632" t="str">
            <v/>
          </cell>
          <cell r="X632">
            <v>0</v>
          </cell>
          <cell r="Y632">
            <v>0</v>
          </cell>
          <cell r="Z632">
            <v>0</v>
          </cell>
          <cell r="AA632">
            <v>0</v>
          </cell>
          <cell r="AB632">
            <v>0</v>
          </cell>
          <cell r="AF632">
            <v>0</v>
          </cell>
          <cell r="AG632">
            <v>0</v>
          </cell>
          <cell r="AH632">
            <v>0</v>
          </cell>
          <cell r="AI632">
            <v>0</v>
          </cell>
          <cell r="AJ632">
            <v>0</v>
          </cell>
          <cell r="BZ632" t="str">
            <v/>
          </cell>
        </row>
        <row r="633">
          <cell r="C633" t="str">
            <v/>
          </cell>
          <cell r="X633">
            <v>0</v>
          </cell>
          <cell r="Y633">
            <v>0</v>
          </cell>
          <cell r="Z633">
            <v>0</v>
          </cell>
          <cell r="AA633">
            <v>0</v>
          </cell>
          <cell r="AB633">
            <v>0</v>
          </cell>
          <cell r="AF633">
            <v>0</v>
          </cell>
          <cell r="AG633">
            <v>0</v>
          </cell>
          <cell r="AH633">
            <v>0</v>
          </cell>
          <cell r="AI633">
            <v>0</v>
          </cell>
          <cell r="AJ633">
            <v>0</v>
          </cell>
          <cell r="BZ633" t="str">
            <v/>
          </cell>
        </row>
        <row r="634">
          <cell r="C634" t="str">
            <v/>
          </cell>
          <cell r="X634">
            <v>0</v>
          </cell>
          <cell r="Y634">
            <v>0</v>
          </cell>
          <cell r="Z634">
            <v>0</v>
          </cell>
          <cell r="AA634">
            <v>0</v>
          </cell>
          <cell r="AB634">
            <v>0</v>
          </cell>
          <cell r="AF634">
            <v>0</v>
          </cell>
          <cell r="AG634">
            <v>0</v>
          </cell>
          <cell r="AH634">
            <v>0</v>
          </cell>
          <cell r="AI634">
            <v>0</v>
          </cell>
          <cell r="AJ634">
            <v>0</v>
          </cell>
          <cell r="BZ634" t="str">
            <v/>
          </cell>
        </row>
        <row r="635">
          <cell r="C635" t="str">
            <v/>
          </cell>
          <cell r="X635">
            <v>0</v>
          </cell>
          <cell r="Y635">
            <v>0</v>
          </cell>
          <cell r="Z635">
            <v>0</v>
          </cell>
          <cell r="AA635">
            <v>0</v>
          </cell>
          <cell r="AB635">
            <v>0</v>
          </cell>
          <cell r="AF635">
            <v>0</v>
          </cell>
          <cell r="AG635">
            <v>0</v>
          </cell>
          <cell r="AH635">
            <v>0</v>
          </cell>
          <cell r="AI635">
            <v>0</v>
          </cell>
          <cell r="AJ635">
            <v>0</v>
          </cell>
          <cell r="BZ635" t="str">
            <v/>
          </cell>
        </row>
        <row r="636">
          <cell r="C636" t="str">
            <v/>
          </cell>
          <cell r="X636">
            <v>0</v>
          </cell>
          <cell r="Y636">
            <v>0</v>
          </cell>
          <cell r="Z636">
            <v>0</v>
          </cell>
          <cell r="AA636">
            <v>0</v>
          </cell>
          <cell r="AB636">
            <v>0</v>
          </cell>
          <cell r="AF636">
            <v>0</v>
          </cell>
          <cell r="AG636">
            <v>0</v>
          </cell>
          <cell r="AH636">
            <v>0</v>
          </cell>
          <cell r="AI636">
            <v>0</v>
          </cell>
          <cell r="AJ636">
            <v>0</v>
          </cell>
          <cell r="BZ636" t="str">
            <v/>
          </cell>
        </row>
        <row r="637">
          <cell r="C637" t="str">
            <v/>
          </cell>
          <cell r="X637">
            <v>0</v>
          </cell>
          <cell r="Y637">
            <v>0</v>
          </cell>
          <cell r="Z637">
            <v>0</v>
          </cell>
          <cell r="AA637">
            <v>0</v>
          </cell>
          <cell r="AB637">
            <v>0</v>
          </cell>
          <cell r="AF637">
            <v>0</v>
          </cell>
          <cell r="AG637">
            <v>0</v>
          </cell>
          <cell r="AH637">
            <v>0</v>
          </cell>
          <cell r="AI637">
            <v>0</v>
          </cell>
          <cell r="AJ637">
            <v>0</v>
          </cell>
          <cell r="BZ637" t="str">
            <v/>
          </cell>
        </row>
        <row r="638">
          <cell r="C638" t="str">
            <v/>
          </cell>
          <cell r="X638">
            <v>0</v>
          </cell>
          <cell r="Y638">
            <v>0</v>
          </cell>
          <cell r="Z638">
            <v>0</v>
          </cell>
          <cell r="AA638">
            <v>0</v>
          </cell>
          <cell r="AB638">
            <v>0</v>
          </cell>
          <cell r="AF638">
            <v>0</v>
          </cell>
          <cell r="AG638">
            <v>0</v>
          </cell>
          <cell r="AH638">
            <v>0</v>
          </cell>
          <cell r="AI638">
            <v>0</v>
          </cell>
          <cell r="AJ638">
            <v>0</v>
          </cell>
          <cell r="BZ638" t="str">
            <v/>
          </cell>
        </row>
        <row r="639">
          <cell r="C639" t="str">
            <v/>
          </cell>
          <cell r="X639">
            <v>0</v>
          </cell>
          <cell r="Y639">
            <v>0</v>
          </cell>
          <cell r="Z639">
            <v>0</v>
          </cell>
          <cell r="AA639">
            <v>0</v>
          </cell>
          <cell r="AB639">
            <v>0</v>
          </cell>
          <cell r="AF639">
            <v>0</v>
          </cell>
          <cell r="AG639">
            <v>0</v>
          </cell>
          <cell r="AH639">
            <v>0</v>
          </cell>
          <cell r="AI639">
            <v>0</v>
          </cell>
          <cell r="AJ639">
            <v>0</v>
          </cell>
          <cell r="BZ639" t="str">
            <v/>
          </cell>
        </row>
        <row r="640">
          <cell r="C640" t="str">
            <v/>
          </cell>
          <cell r="X640">
            <v>0</v>
          </cell>
          <cell r="Y640">
            <v>0</v>
          </cell>
          <cell r="Z640">
            <v>0</v>
          </cell>
          <cell r="AA640">
            <v>0</v>
          </cell>
          <cell r="AB640">
            <v>0</v>
          </cell>
          <cell r="AF640">
            <v>0</v>
          </cell>
          <cell r="AG640">
            <v>0</v>
          </cell>
          <cell r="AH640">
            <v>0</v>
          </cell>
          <cell r="AI640">
            <v>0</v>
          </cell>
          <cell r="AJ640">
            <v>0</v>
          </cell>
          <cell r="BZ640" t="str">
            <v/>
          </cell>
        </row>
        <row r="641">
          <cell r="C641" t="str">
            <v/>
          </cell>
          <cell r="X641">
            <v>0</v>
          </cell>
          <cell r="Y641">
            <v>0</v>
          </cell>
          <cell r="Z641">
            <v>0</v>
          </cell>
          <cell r="AA641">
            <v>0</v>
          </cell>
          <cell r="AB641">
            <v>0</v>
          </cell>
          <cell r="AF641">
            <v>0</v>
          </cell>
          <cell r="AG641">
            <v>0</v>
          </cell>
          <cell r="AH641">
            <v>0</v>
          </cell>
          <cell r="AI641">
            <v>0</v>
          </cell>
          <cell r="AJ641">
            <v>0</v>
          </cell>
          <cell r="BZ641" t="str">
            <v/>
          </cell>
        </row>
        <row r="642">
          <cell r="C642" t="str">
            <v/>
          </cell>
          <cell r="X642">
            <v>0</v>
          </cell>
          <cell r="Y642">
            <v>0</v>
          </cell>
          <cell r="Z642">
            <v>0</v>
          </cell>
          <cell r="AA642">
            <v>0</v>
          </cell>
          <cell r="AB642">
            <v>0</v>
          </cell>
          <cell r="AF642">
            <v>0</v>
          </cell>
          <cell r="AG642">
            <v>0</v>
          </cell>
          <cell r="AH642">
            <v>0</v>
          </cell>
          <cell r="AI642">
            <v>0</v>
          </cell>
          <cell r="AJ642">
            <v>0</v>
          </cell>
          <cell r="BZ642" t="str">
            <v/>
          </cell>
        </row>
        <row r="643">
          <cell r="C643" t="str">
            <v/>
          </cell>
          <cell r="X643">
            <v>0</v>
          </cell>
          <cell r="Y643">
            <v>0</v>
          </cell>
          <cell r="Z643">
            <v>0</v>
          </cell>
          <cell r="AA643">
            <v>0</v>
          </cell>
          <cell r="AB643">
            <v>0</v>
          </cell>
          <cell r="AF643">
            <v>0</v>
          </cell>
          <cell r="AG643">
            <v>0</v>
          </cell>
          <cell r="AH643">
            <v>0</v>
          </cell>
          <cell r="AI643">
            <v>0</v>
          </cell>
          <cell r="AJ643">
            <v>0</v>
          </cell>
          <cell r="BZ643" t="str">
            <v/>
          </cell>
        </row>
        <row r="644">
          <cell r="C644" t="str">
            <v/>
          </cell>
          <cell r="X644">
            <v>0</v>
          </cell>
          <cell r="Y644">
            <v>0</v>
          </cell>
          <cell r="Z644">
            <v>0</v>
          </cell>
          <cell r="AA644">
            <v>0</v>
          </cell>
          <cell r="AB644">
            <v>0</v>
          </cell>
          <cell r="AF644">
            <v>0</v>
          </cell>
          <cell r="AG644">
            <v>0</v>
          </cell>
          <cell r="AH644">
            <v>0</v>
          </cell>
          <cell r="AI644">
            <v>0</v>
          </cell>
          <cell r="AJ644">
            <v>0</v>
          </cell>
          <cell r="BZ644" t="str">
            <v/>
          </cell>
        </row>
        <row r="645">
          <cell r="C645" t="str">
            <v/>
          </cell>
          <cell r="X645">
            <v>0</v>
          </cell>
          <cell r="Y645">
            <v>0</v>
          </cell>
          <cell r="Z645">
            <v>0</v>
          </cell>
          <cell r="AA645">
            <v>0</v>
          </cell>
          <cell r="AB645">
            <v>0</v>
          </cell>
          <cell r="AF645">
            <v>0</v>
          </cell>
          <cell r="AG645">
            <v>0</v>
          </cell>
          <cell r="AH645">
            <v>0</v>
          </cell>
          <cell r="AI645">
            <v>0</v>
          </cell>
          <cell r="AJ645">
            <v>0</v>
          </cell>
          <cell r="BZ645" t="str">
            <v/>
          </cell>
        </row>
        <row r="646">
          <cell r="C646" t="str">
            <v/>
          </cell>
          <cell r="X646">
            <v>0</v>
          </cell>
          <cell r="Y646">
            <v>0</v>
          </cell>
          <cell r="Z646">
            <v>0</v>
          </cell>
          <cell r="AA646">
            <v>0</v>
          </cell>
          <cell r="AB646">
            <v>0</v>
          </cell>
          <cell r="AF646">
            <v>0</v>
          </cell>
          <cell r="AG646">
            <v>0</v>
          </cell>
          <cell r="AH646">
            <v>0</v>
          </cell>
          <cell r="AI646">
            <v>0</v>
          </cell>
          <cell r="AJ646">
            <v>0</v>
          </cell>
          <cell r="BZ646" t="str">
            <v/>
          </cell>
        </row>
        <row r="647">
          <cell r="C647" t="str">
            <v/>
          </cell>
          <cell r="X647">
            <v>0</v>
          </cell>
          <cell r="Y647">
            <v>0</v>
          </cell>
          <cell r="Z647">
            <v>0</v>
          </cell>
          <cell r="AA647">
            <v>0</v>
          </cell>
          <cell r="AB647">
            <v>0</v>
          </cell>
          <cell r="AF647">
            <v>0</v>
          </cell>
          <cell r="AG647">
            <v>0</v>
          </cell>
          <cell r="AH647">
            <v>0</v>
          </cell>
          <cell r="AI647">
            <v>0</v>
          </cell>
          <cell r="AJ647">
            <v>0</v>
          </cell>
          <cell r="BZ647" t="str">
            <v/>
          </cell>
        </row>
        <row r="648">
          <cell r="C648" t="str">
            <v/>
          </cell>
          <cell r="X648">
            <v>0</v>
          </cell>
          <cell r="Y648">
            <v>0</v>
          </cell>
          <cell r="Z648">
            <v>0</v>
          </cell>
          <cell r="AA648">
            <v>0</v>
          </cell>
          <cell r="AB648">
            <v>0</v>
          </cell>
          <cell r="AF648">
            <v>0</v>
          </cell>
          <cell r="AG648">
            <v>0</v>
          </cell>
          <cell r="AH648">
            <v>0</v>
          </cell>
          <cell r="AI648">
            <v>0</v>
          </cell>
          <cell r="AJ648">
            <v>0</v>
          </cell>
          <cell r="BZ648" t="str">
            <v/>
          </cell>
        </row>
        <row r="649">
          <cell r="C649" t="str">
            <v/>
          </cell>
          <cell r="X649">
            <v>0</v>
          </cell>
          <cell r="Y649">
            <v>0</v>
          </cell>
          <cell r="Z649">
            <v>0</v>
          </cell>
          <cell r="AA649">
            <v>0</v>
          </cell>
          <cell r="AB649">
            <v>0</v>
          </cell>
          <cell r="AF649">
            <v>0</v>
          </cell>
          <cell r="AG649">
            <v>0</v>
          </cell>
          <cell r="AH649">
            <v>0</v>
          </cell>
          <cell r="AI649">
            <v>0</v>
          </cell>
          <cell r="AJ649">
            <v>0</v>
          </cell>
          <cell r="BZ649" t="str">
            <v/>
          </cell>
        </row>
        <row r="650">
          <cell r="C650" t="str">
            <v/>
          </cell>
          <cell r="X650">
            <v>0</v>
          </cell>
          <cell r="Y650">
            <v>0</v>
          </cell>
          <cell r="Z650">
            <v>0</v>
          </cell>
          <cell r="AA650">
            <v>0</v>
          </cell>
          <cell r="AB650">
            <v>0</v>
          </cell>
          <cell r="AF650">
            <v>0</v>
          </cell>
          <cell r="AG650">
            <v>0</v>
          </cell>
          <cell r="AH650">
            <v>0</v>
          </cell>
          <cell r="AI650">
            <v>0</v>
          </cell>
          <cell r="AJ650">
            <v>0</v>
          </cell>
          <cell r="BZ650" t="str">
            <v/>
          </cell>
        </row>
        <row r="651">
          <cell r="C651" t="str">
            <v/>
          </cell>
          <cell r="X651">
            <v>0</v>
          </cell>
          <cell r="Y651">
            <v>0</v>
          </cell>
          <cell r="Z651">
            <v>0</v>
          </cell>
          <cell r="AA651">
            <v>0</v>
          </cell>
          <cell r="AB651">
            <v>0</v>
          </cell>
          <cell r="AF651">
            <v>0</v>
          </cell>
          <cell r="AG651">
            <v>0</v>
          </cell>
          <cell r="AH651">
            <v>0</v>
          </cell>
          <cell r="AI651">
            <v>0</v>
          </cell>
          <cell r="AJ651">
            <v>0</v>
          </cell>
          <cell r="BZ651" t="str">
            <v/>
          </cell>
        </row>
        <row r="652">
          <cell r="C652" t="str">
            <v/>
          </cell>
          <cell r="X652">
            <v>0</v>
          </cell>
          <cell r="Y652">
            <v>0</v>
          </cell>
          <cell r="Z652">
            <v>0</v>
          </cell>
          <cell r="AA652">
            <v>0</v>
          </cell>
          <cell r="AB652">
            <v>0</v>
          </cell>
          <cell r="AF652">
            <v>0</v>
          </cell>
          <cell r="AG652">
            <v>0</v>
          </cell>
          <cell r="AH652">
            <v>0</v>
          </cell>
          <cell r="AI652">
            <v>0</v>
          </cell>
          <cell r="AJ652">
            <v>0</v>
          </cell>
          <cell r="BZ652" t="str">
            <v/>
          </cell>
        </row>
        <row r="653">
          <cell r="C653" t="str">
            <v/>
          </cell>
          <cell r="X653">
            <v>0</v>
          </cell>
          <cell r="Y653">
            <v>0</v>
          </cell>
          <cell r="Z653">
            <v>0</v>
          </cell>
          <cell r="AA653">
            <v>0</v>
          </cell>
          <cell r="AB653">
            <v>0</v>
          </cell>
          <cell r="AF653">
            <v>0</v>
          </cell>
          <cell r="AG653">
            <v>0</v>
          </cell>
          <cell r="AH653">
            <v>0</v>
          </cell>
          <cell r="AI653">
            <v>0</v>
          </cell>
          <cell r="AJ653">
            <v>0</v>
          </cell>
          <cell r="BZ653" t="str">
            <v/>
          </cell>
        </row>
        <row r="654">
          <cell r="C654" t="str">
            <v/>
          </cell>
          <cell r="X654">
            <v>0</v>
          </cell>
          <cell r="Y654">
            <v>0</v>
          </cell>
          <cell r="Z654">
            <v>0</v>
          </cell>
          <cell r="AA654">
            <v>0</v>
          </cell>
          <cell r="AB654">
            <v>0</v>
          </cell>
          <cell r="AF654">
            <v>0</v>
          </cell>
          <cell r="AG654">
            <v>0</v>
          </cell>
          <cell r="AH654">
            <v>0</v>
          </cell>
          <cell r="AI654">
            <v>0</v>
          </cell>
          <cell r="AJ654">
            <v>0</v>
          </cell>
          <cell r="BZ654" t="str">
            <v/>
          </cell>
        </row>
        <row r="655">
          <cell r="C655" t="str">
            <v/>
          </cell>
          <cell r="X655">
            <v>0</v>
          </cell>
          <cell r="Y655">
            <v>0</v>
          </cell>
          <cell r="Z655">
            <v>0</v>
          </cell>
          <cell r="AA655">
            <v>0</v>
          </cell>
          <cell r="AB655">
            <v>0</v>
          </cell>
          <cell r="AF655">
            <v>0</v>
          </cell>
          <cell r="AG655">
            <v>0</v>
          </cell>
          <cell r="AH655">
            <v>0</v>
          </cell>
          <cell r="AI655">
            <v>0</v>
          </cell>
          <cell r="AJ655">
            <v>0</v>
          </cell>
          <cell r="BZ655" t="str">
            <v/>
          </cell>
        </row>
        <row r="656">
          <cell r="C656" t="str">
            <v/>
          </cell>
          <cell r="X656">
            <v>0</v>
          </cell>
          <cell r="Y656">
            <v>0</v>
          </cell>
          <cell r="Z656">
            <v>0</v>
          </cell>
          <cell r="AA656">
            <v>0</v>
          </cell>
          <cell r="AB656">
            <v>0</v>
          </cell>
          <cell r="AF656">
            <v>0</v>
          </cell>
          <cell r="AG656">
            <v>0</v>
          </cell>
          <cell r="AH656">
            <v>0</v>
          </cell>
          <cell r="AI656">
            <v>0</v>
          </cell>
          <cell r="AJ656">
            <v>0</v>
          </cell>
          <cell r="BZ656" t="str">
            <v/>
          </cell>
        </row>
        <row r="657">
          <cell r="C657" t="str">
            <v/>
          </cell>
          <cell r="X657">
            <v>0</v>
          </cell>
          <cell r="Y657">
            <v>0</v>
          </cell>
          <cell r="Z657">
            <v>0</v>
          </cell>
          <cell r="AA657">
            <v>0</v>
          </cell>
          <cell r="AB657">
            <v>0</v>
          </cell>
          <cell r="AF657">
            <v>0</v>
          </cell>
          <cell r="AG657">
            <v>0</v>
          </cell>
          <cell r="AH657">
            <v>0</v>
          </cell>
          <cell r="AI657">
            <v>0</v>
          </cell>
          <cell r="AJ657">
            <v>0</v>
          </cell>
          <cell r="BZ657" t="str">
            <v/>
          </cell>
        </row>
        <row r="658">
          <cell r="C658" t="str">
            <v/>
          </cell>
          <cell r="X658">
            <v>0</v>
          </cell>
          <cell r="Y658">
            <v>0</v>
          </cell>
          <cell r="Z658">
            <v>0</v>
          </cell>
          <cell r="AA658">
            <v>0</v>
          </cell>
          <cell r="AB658">
            <v>0</v>
          </cell>
          <cell r="AF658">
            <v>0</v>
          </cell>
          <cell r="AG658">
            <v>0</v>
          </cell>
          <cell r="AH658">
            <v>0</v>
          </cell>
          <cell r="AI658">
            <v>0</v>
          </cell>
          <cell r="AJ658">
            <v>0</v>
          </cell>
          <cell r="BZ658" t="str">
            <v/>
          </cell>
        </row>
        <row r="659">
          <cell r="C659" t="str">
            <v/>
          </cell>
          <cell r="X659">
            <v>0</v>
          </cell>
          <cell r="Y659">
            <v>0</v>
          </cell>
          <cell r="Z659">
            <v>0</v>
          </cell>
          <cell r="AA659">
            <v>0</v>
          </cell>
          <cell r="AB659">
            <v>0</v>
          </cell>
          <cell r="AF659">
            <v>0</v>
          </cell>
          <cell r="AG659">
            <v>0</v>
          </cell>
          <cell r="AH659">
            <v>0</v>
          </cell>
          <cell r="AI659">
            <v>0</v>
          </cell>
          <cell r="AJ659">
            <v>0</v>
          </cell>
          <cell r="BZ659" t="str">
            <v/>
          </cell>
        </row>
        <row r="660">
          <cell r="C660" t="str">
            <v/>
          </cell>
          <cell r="X660">
            <v>0</v>
          </cell>
          <cell r="Y660">
            <v>0</v>
          </cell>
          <cell r="Z660">
            <v>0</v>
          </cell>
          <cell r="AA660">
            <v>0</v>
          </cell>
          <cell r="AB660">
            <v>0</v>
          </cell>
          <cell r="AF660">
            <v>0</v>
          </cell>
          <cell r="AG660">
            <v>0</v>
          </cell>
          <cell r="AH660">
            <v>0</v>
          </cell>
          <cell r="AI660">
            <v>0</v>
          </cell>
          <cell r="AJ660">
            <v>0</v>
          </cell>
          <cell r="BZ660" t="str">
            <v/>
          </cell>
        </row>
        <row r="661">
          <cell r="C661" t="str">
            <v/>
          </cell>
          <cell r="X661">
            <v>0</v>
          </cell>
          <cell r="Y661">
            <v>0</v>
          </cell>
          <cell r="Z661">
            <v>0</v>
          </cell>
          <cell r="AA661">
            <v>0</v>
          </cell>
          <cell r="AB661">
            <v>0</v>
          </cell>
          <cell r="AF661">
            <v>0</v>
          </cell>
          <cell r="AG661">
            <v>0</v>
          </cell>
          <cell r="AH661">
            <v>0</v>
          </cell>
          <cell r="AI661">
            <v>0</v>
          </cell>
          <cell r="AJ661">
            <v>0</v>
          </cell>
          <cell r="BZ661" t="str">
            <v/>
          </cell>
        </row>
        <row r="662">
          <cell r="C662" t="str">
            <v/>
          </cell>
          <cell r="X662">
            <v>0</v>
          </cell>
          <cell r="Y662">
            <v>0</v>
          </cell>
          <cell r="Z662">
            <v>0</v>
          </cell>
          <cell r="AA662">
            <v>0</v>
          </cell>
          <cell r="AB662">
            <v>0</v>
          </cell>
          <cell r="AF662">
            <v>0</v>
          </cell>
          <cell r="AG662">
            <v>0</v>
          </cell>
          <cell r="AH662">
            <v>0</v>
          </cell>
          <cell r="AI662">
            <v>0</v>
          </cell>
          <cell r="AJ662">
            <v>0</v>
          </cell>
          <cell r="BZ662" t="str">
            <v/>
          </cell>
        </row>
        <row r="663">
          <cell r="C663" t="str">
            <v/>
          </cell>
          <cell r="X663">
            <v>0</v>
          </cell>
          <cell r="Y663">
            <v>0</v>
          </cell>
          <cell r="Z663">
            <v>0</v>
          </cell>
          <cell r="AA663">
            <v>0</v>
          </cell>
          <cell r="AB663">
            <v>0</v>
          </cell>
          <cell r="AF663">
            <v>0</v>
          </cell>
          <cell r="AG663">
            <v>0</v>
          </cell>
          <cell r="AH663">
            <v>0</v>
          </cell>
          <cell r="AI663">
            <v>0</v>
          </cell>
          <cell r="AJ663">
            <v>0</v>
          </cell>
          <cell r="BZ663" t="str">
            <v/>
          </cell>
        </row>
        <row r="664">
          <cell r="C664" t="str">
            <v/>
          </cell>
          <cell r="X664">
            <v>0</v>
          </cell>
          <cell r="Y664">
            <v>0</v>
          </cell>
          <cell r="Z664">
            <v>0</v>
          </cell>
          <cell r="AA664">
            <v>0</v>
          </cell>
          <cell r="AB664">
            <v>0</v>
          </cell>
          <cell r="AF664">
            <v>0</v>
          </cell>
          <cell r="AG664">
            <v>0</v>
          </cell>
          <cell r="AH664">
            <v>0</v>
          </cell>
          <cell r="AI664">
            <v>0</v>
          </cell>
          <cell r="AJ664">
            <v>0</v>
          </cell>
          <cell r="BZ664" t="str">
            <v/>
          </cell>
        </row>
        <row r="665">
          <cell r="C665" t="str">
            <v/>
          </cell>
          <cell r="X665">
            <v>0</v>
          </cell>
          <cell r="Y665">
            <v>0</v>
          </cell>
          <cell r="Z665">
            <v>0</v>
          </cell>
          <cell r="AA665">
            <v>0</v>
          </cell>
          <cell r="AB665">
            <v>0</v>
          </cell>
          <cell r="AF665">
            <v>0</v>
          </cell>
          <cell r="AG665">
            <v>0</v>
          </cell>
          <cell r="AH665">
            <v>0</v>
          </cell>
          <cell r="AI665">
            <v>0</v>
          </cell>
          <cell r="AJ665">
            <v>0</v>
          </cell>
          <cell r="BZ665" t="str">
            <v/>
          </cell>
        </row>
        <row r="666">
          <cell r="C666" t="str">
            <v/>
          </cell>
          <cell r="X666">
            <v>0</v>
          </cell>
          <cell r="Y666">
            <v>0</v>
          </cell>
          <cell r="Z666">
            <v>0</v>
          </cell>
          <cell r="AA666">
            <v>0</v>
          </cell>
          <cell r="AB666">
            <v>0</v>
          </cell>
          <cell r="AF666">
            <v>0</v>
          </cell>
          <cell r="AG666">
            <v>0</v>
          </cell>
          <cell r="AH666">
            <v>0</v>
          </cell>
          <cell r="AI666">
            <v>0</v>
          </cell>
          <cell r="AJ666">
            <v>0</v>
          </cell>
          <cell r="BZ666" t="str">
            <v/>
          </cell>
        </row>
        <row r="667">
          <cell r="C667" t="str">
            <v/>
          </cell>
          <cell r="X667">
            <v>0</v>
          </cell>
          <cell r="Y667">
            <v>0</v>
          </cell>
          <cell r="Z667">
            <v>0</v>
          </cell>
          <cell r="AA667">
            <v>0</v>
          </cell>
          <cell r="AB667">
            <v>0</v>
          </cell>
          <cell r="AF667">
            <v>0</v>
          </cell>
          <cell r="AG667">
            <v>0</v>
          </cell>
          <cell r="AH667">
            <v>0</v>
          </cell>
          <cell r="AI667">
            <v>0</v>
          </cell>
          <cell r="AJ667">
            <v>0</v>
          </cell>
          <cell r="BZ667" t="str">
            <v/>
          </cell>
        </row>
        <row r="668">
          <cell r="C668" t="str">
            <v/>
          </cell>
          <cell r="X668">
            <v>0</v>
          </cell>
          <cell r="Y668">
            <v>0</v>
          </cell>
          <cell r="Z668">
            <v>0</v>
          </cell>
          <cell r="AA668">
            <v>0</v>
          </cell>
          <cell r="AB668">
            <v>0</v>
          </cell>
          <cell r="AF668">
            <v>0</v>
          </cell>
          <cell r="AG668">
            <v>0</v>
          </cell>
          <cell r="AH668">
            <v>0</v>
          </cell>
          <cell r="AI668">
            <v>0</v>
          </cell>
          <cell r="AJ668">
            <v>0</v>
          </cell>
          <cell r="BZ668" t="str">
            <v/>
          </cell>
        </row>
        <row r="669">
          <cell r="C669" t="str">
            <v/>
          </cell>
          <cell r="X669">
            <v>0</v>
          </cell>
          <cell r="Y669">
            <v>0</v>
          </cell>
          <cell r="Z669">
            <v>0</v>
          </cell>
          <cell r="AA669">
            <v>0</v>
          </cell>
          <cell r="AB669">
            <v>0</v>
          </cell>
          <cell r="AF669">
            <v>0</v>
          </cell>
          <cell r="AG669">
            <v>0</v>
          </cell>
          <cell r="AH669">
            <v>0</v>
          </cell>
          <cell r="AI669">
            <v>0</v>
          </cell>
          <cell r="AJ669">
            <v>0</v>
          </cell>
          <cell r="BZ669" t="str">
            <v/>
          </cell>
        </row>
        <row r="670">
          <cell r="C670" t="str">
            <v/>
          </cell>
          <cell r="X670">
            <v>0</v>
          </cell>
          <cell r="Y670">
            <v>0</v>
          </cell>
          <cell r="Z670">
            <v>0</v>
          </cell>
          <cell r="AA670">
            <v>0</v>
          </cell>
          <cell r="AB670">
            <v>0</v>
          </cell>
          <cell r="AF670">
            <v>0</v>
          </cell>
          <cell r="AG670">
            <v>0</v>
          </cell>
          <cell r="AH670">
            <v>0</v>
          </cell>
          <cell r="AI670">
            <v>0</v>
          </cell>
          <cell r="AJ670">
            <v>0</v>
          </cell>
          <cell r="BZ670" t="str">
            <v/>
          </cell>
        </row>
        <row r="671">
          <cell r="C671" t="str">
            <v/>
          </cell>
          <cell r="X671">
            <v>0</v>
          </cell>
          <cell r="Y671">
            <v>0</v>
          </cell>
          <cell r="Z671">
            <v>0</v>
          </cell>
          <cell r="AA671">
            <v>0</v>
          </cell>
          <cell r="AB671">
            <v>0</v>
          </cell>
          <cell r="AF671">
            <v>0</v>
          </cell>
          <cell r="AG671">
            <v>0</v>
          </cell>
          <cell r="AH671">
            <v>0</v>
          </cell>
          <cell r="AI671">
            <v>0</v>
          </cell>
          <cell r="AJ671">
            <v>0</v>
          </cell>
          <cell r="BZ671" t="str">
            <v/>
          </cell>
        </row>
        <row r="672">
          <cell r="C672" t="str">
            <v/>
          </cell>
          <cell r="X672">
            <v>0</v>
          </cell>
          <cell r="Y672">
            <v>0</v>
          </cell>
          <cell r="Z672">
            <v>0</v>
          </cell>
          <cell r="AA672">
            <v>0</v>
          </cell>
          <cell r="AB672">
            <v>0</v>
          </cell>
          <cell r="AF672">
            <v>0</v>
          </cell>
          <cell r="AG672">
            <v>0</v>
          </cell>
          <cell r="AH672">
            <v>0</v>
          </cell>
          <cell r="AI672">
            <v>0</v>
          </cell>
          <cell r="AJ672">
            <v>0</v>
          </cell>
          <cell r="BZ672" t="str">
            <v/>
          </cell>
        </row>
        <row r="673">
          <cell r="C673" t="str">
            <v/>
          </cell>
          <cell r="X673">
            <v>0</v>
          </cell>
          <cell r="Y673">
            <v>0</v>
          </cell>
          <cell r="Z673">
            <v>0</v>
          </cell>
          <cell r="AA673">
            <v>0</v>
          </cell>
          <cell r="AB673">
            <v>0</v>
          </cell>
          <cell r="AF673">
            <v>0</v>
          </cell>
          <cell r="AG673">
            <v>0</v>
          </cell>
          <cell r="AH673">
            <v>0</v>
          </cell>
          <cell r="AI673">
            <v>0</v>
          </cell>
          <cell r="AJ673">
            <v>0</v>
          </cell>
          <cell r="BZ673" t="str">
            <v/>
          </cell>
        </row>
        <row r="674">
          <cell r="C674" t="str">
            <v/>
          </cell>
          <cell r="X674">
            <v>0</v>
          </cell>
          <cell r="Y674">
            <v>0</v>
          </cell>
          <cell r="Z674">
            <v>0</v>
          </cell>
          <cell r="AA674">
            <v>0</v>
          </cell>
          <cell r="AB674">
            <v>0</v>
          </cell>
          <cell r="AF674">
            <v>0</v>
          </cell>
          <cell r="AG674">
            <v>0</v>
          </cell>
          <cell r="AH674">
            <v>0</v>
          </cell>
          <cell r="AI674">
            <v>0</v>
          </cell>
          <cell r="AJ674">
            <v>0</v>
          </cell>
          <cell r="BZ674" t="str">
            <v/>
          </cell>
        </row>
        <row r="675">
          <cell r="C675" t="str">
            <v/>
          </cell>
          <cell r="X675">
            <v>0</v>
          </cell>
          <cell r="Y675">
            <v>0</v>
          </cell>
          <cell r="Z675">
            <v>0</v>
          </cell>
          <cell r="AA675">
            <v>0</v>
          </cell>
          <cell r="AB675">
            <v>0</v>
          </cell>
          <cell r="AF675">
            <v>0</v>
          </cell>
          <cell r="AG675">
            <v>0</v>
          </cell>
          <cell r="AH675">
            <v>0</v>
          </cell>
          <cell r="AI675">
            <v>0</v>
          </cell>
          <cell r="AJ675">
            <v>0</v>
          </cell>
          <cell r="BZ675" t="str">
            <v/>
          </cell>
        </row>
        <row r="676">
          <cell r="C676" t="str">
            <v/>
          </cell>
          <cell r="X676">
            <v>0</v>
          </cell>
          <cell r="Y676">
            <v>0</v>
          </cell>
          <cell r="Z676">
            <v>0</v>
          </cell>
          <cell r="AA676">
            <v>0</v>
          </cell>
          <cell r="AB676">
            <v>0</v>
          </cell>
          <cell r="AF676">
            <v>0</v>
          </cell>
          <cell r="AG676">
            <v>0</v>
          </cell>
          <cell r="AH676">
            <v>0</v>
          </cell>
          <cell r="AI676">
            <v>0</v>
          </cell>
          <cell r="AJ676">
            <v>0</v>
          </cell>
          <cell r="BZ676" t="str">
            <v/>
          </cell>
        </row>
        <row r="677">
          <cell r="C677" t="str">
            <v/>
          </cell>
          <cell r="X677">
            <v>0</v>
          </cell>
          <cell r="Y677">
            <v>0</v>
          </cell>
          <cell r="Z677">
            <v>0</v>
          </cell>
          <cell r="AA677">
            <v>0</v>
          </cell>
          <cell r="AB677">
            <v>0</v>
          </cell>
          <cell r="AF677">
            <v>0</v>
          </cell>
          <cell r="AG677">
            <v>0</v>
          </cell>
          <cell r="AH677">
            <v>0</v>
          </cell>
          <cell r="AI677">
            <v>0</v>
          </cell>
          <cell r="AJ677">
            <v>0</v>
          </cell>
          <cell r="BZ677" t="str">
            <v/>
          </cell>
        </row>
        <row r="678">
          <cell r="C678" t="str">
            <v/>
          </cell>
          <cell r="X678">
            <v>0</v>
          </cell>
          <cell r="Y678">
            <v>0</v>
          </cell>
          <cell r="Z678">
            <v>0</v>
          </cell>
          <cell r="AA678">
            <v>0</v>
          </cell>
          <cell r="AB678">
            <v>0</v>
          </cell>
          <cell r="AF678">
            <v>0</v>
          </cell>
          <cell r="AG678">
            <v>0</v>
          </cell>
          <cell r="AH678">
            <v>0</v>
          </cell>
          <cell r="AI678">
            <v>0</v>
          </cell>
          <cell r="AJ678">
            <v>0</v>
          </cell>
          <cell r="BZ678" t="str">
            <v/>
          </cell>
        </row>
        <row r="679">
          <cell r="C679" t="str">
            <v/>
          </cell>
          <cell r="X679">
            <v>0</v>
          </cell>
          <cell r="Y679">
            <v>0</v>
          </cell>
          <cell r="Z679">
            <v>0</v>
          </cell>
          <cell r="AA679">
            <v>0</v>
          </cell>
          <cell r="AB679">
            <v>0</v>
          </cell>
          <cell r="AF679">
            <v>0</v>
          </cell>
          <cell r="AG679">
            <v>0</v>
          </cell>
          <cell r="AH679">
            <v>0</v>
          </cell>
          <cell r="AI679">
            <v>0</v>
          </cell>
          <cell r="AJ679">
            <v>0</v>
          </cell>
          <cell r="BZ679" t="str">
            <v/>
          </cell>
        </row>
        <row r="680">
          <cell r="C680" t="str">
            <v/>
          </cell>
          <cell r="X680">
            <v>0</v>
          </cell>
          <cell r="Y680">
            <v>0</v>
          </cell>
          <cell r="Z680">
            <v>0</v>
          </cell>
          <cell r="AA680">
            <v>0</v>
          </cell>
          <cell r="AB680">
            <v>0</v>
          </cell>
          <cell r="AF680">
            <v>0</v>
          </cell>
          <cell r="AG680">
            <v>0</v>
          </cell>
          <cell r="AH680">
            <v>0</v>
          </cell>
          <cell r="AI680">
            <v>0</v>
          </cell>
          <cell r="AJ680">
            <v>0</v>
          </cell>
          <cell r="BZ680" t="str">
            <v/>
          </cell>
        </row>
        <row r="681">
          <cell r="C681" t="str">
            <v/>
          </cell>
          <cell r="X681">
            <v>0</v>
          </cell>
          <cell r="Y681">
            <v>0</v>
          </cell>
          <cell r="Z681">
            <v>0</v>
          </cell>
          <cell r="AA681">
            <v>0</v>
          </cell>
          <cell r="AB681">
            <v>0</v>
          </cell>
          <cell r="AF681">
            <v>0</v>
          </cell>
          <cell r="AG681">
            <v>0</v>
          </cell>
          <cell r="AH681">
            <v>0</v>
          </cell>
          <cell r="AI681">
            <v>0</v>
          </cell>
          <cell r="AJ681">
            <v>0</v>
          </cell>
          <cell r="BZ681" t="str">
            <v/>
          </cell>
        </row>
        <row r="682">
          <cell r="C682" t="str">
            <v/>
          </cell>
          <cell r="X682">
            <v>0</v>
          </cell>
          <cell r="Y682">
            <v>0</v>
          </cell>
          <cell r="Z682">
            <v>0</v>
          </cell>
          <cell r="AA682">
            <v>0</v>
          </cell>
          <cell r="AB682">
            <v>0</v>
          </cell>
          <cell r="AF682">
            <v>0</v>
          </cell>
          <cell r="AG682">
            <v>0</v>
          </cell>
          <cell r="AH682">
            <v>0</v>
          </cell>
          <cell r="AI682">
            <v>0</v>
          </cell>
          <cell r="AJ682">
            <v>0</v>
          </cell>
          <cell r="BZ682" t="str">
            <v/>
          </cell>
        </row>
        <row r="683">
          <cell r="C683" t="str">
            <v/>
          </cell>
          <cell r="X683">
            <v>0</v>
          </cell>
          <cell r="Y683">
            <v>0</v>
          </cell>
          <cell r="Z683">
            <v>0</v>
          </cell>
          <cell r="AA683">
            <v>0</v>
          </cell>
          <cell r="AB683">
            <v>0</v>
          </cell>
          <cell r="AF683">
            <v>0</v>
          </cell>
          <cell r="AG683">
            <v>0</v>
          </cell>
          <cell r="AH683">
            <v>0</v>
          </cell>
          <cell r="AI683">
            <v>0</v>
          </cell>
          <cell r="AJ683">
            <v>0</v>
          </cell>
          <cell r="BZ683" t="str">
            <v/>
          </cell>
        </row>
        <row r="684">
          <cell r="C684" t="str">
            <v/>
          </cell>
          <cell r="X684">
            <v>0</v>
          </cell>
          <cell r="Y684">
            <v>0</v>
          </cell>
          <cell r="Z684">
            <v>0</v>
          </cell>
          <cell r="AA684">
            <v>0</v>
          </cell>
          <cell r="AB684">
            <v>0</v>
          </cell>
          <cell r="AF684">
            <v>0</v>
          </cell>
          <cell r="AG684">
            <v>0</v>
          </cell>
          <cell r="AH684">
            <v>0</v>
          </cell>
          <cell r="AI684">
            <v>0</v>
          </cell>
          <cell r="AJ684">
            <v>0</v>
          </cell>
          <cell r="BZ684" t="str">
            <v/>
          </cell>
        </row>
        <row r="685">
          <cell r="C685" t="str">
            <v/>
          </cell>
          <cell r="X685">
            <v>0</v>
          </cell>
          <cell r="Y685">
            <v>0</v>
          </cell>
          <cell r="Z685">
            <v>0</v>
          </cell>
          <cell r="AA685">
            <v>0</v>
          </cell>
          <cell r="AB685">
            <v>0</v>
          </cell>
          <cell r="AF685">
            <v>0</v>
          </cell>
          <cell r="AG685">
            <v>0</v>
          </cell>
          <cell r="AH685">
            <v>0</v>
          </cell>
          <cell r="AI685">
            <v>0</v>
          </cell>
          <cell r="AJ685">
            <v>0</v>
          </cell>
          <cell r="BZ685" t="str">
            <v/>
          </cell>
        </row>
        <row r="686">
          <cell r="C686" t="str">
            <v/>
          </cell>
          <cell r="X686">
            <v>0</v>
          </cell>
          <cell r="Y686">
            <v>0</v>
          </cell>
          <cell r="Z686">
            <v>0</v>
          </cell>
          <cell r="AA686">
            <v>0</v>
          </cell>
          <cell r="AB686">
            <v>0</v>
          </cell>
          <cell r="AF686">
            <v>0</v>
          </cell>
          <cell r="AG686">
            <v>0</v>
          </cell>
          <cell r="AH686">
            <v>0</v>
          </cell>
          <cell r="AI686">
            <v>0</v>
          </cell>
          <cell r="AJ686">
            <v>0</v>
          </cell>
          <cell r="BZ686" t="str">
            <v/>
          </cell>
        </row>
        <row r="687">
          <cell r="C687" t="str">
            <v/>
          </cell>
          <cell r="X687">
            <v>0</v>
          </cell>
          <cell r="Y687">
            <v>0</v>
          </cell>
          <cell r="Z687">
            <v>0</v>
          </cell>
          <cell r="AA687">
            <v>0</v>
          </cell>
          <cell r="AB687">
            <v>0</v>
          </cell>
          <cell r="AF687">
            <v>0</v>
          </cell>
          <cell r="AG687">
            <v>0</v>
          </cell>
          <cell r="AH687">
            <v>0</v>
          </cell>
          <cell r="AI687">
            <v>0</v>
          </cell>
          <cell r="AJ687">
            <v>0</v>
          </cell>
          <cell r="BZ687" t="str">
            <v/>
          </cell>
        </row>
        <row r="688">
          <cell r="C688" t="str">
            <v/>
          </cell>
          <cell r="X688">
            <v>0</v>
          </cell>
          <cell r="Y688">
            <v>0</v>
          </cell>
          <cell r="Z688">
            <v>0</v>
          </cell>
          <cell r="AA688">
            <v>0</v>
          </cell>
          <cell r="AB688">
            <v>0</v>
          </cell>
          <cell r="AF688">
            <v>0</v>
          </cell>
          <cell r="AG688">
            <v>0</v>
          </cell>
          <cell r="AH688">
            <v>0</v>
          </cell>
          <cell r="AI688">
            <v>0</v>
          </cell>
          <cell r="AJ688">
            <v>0</v>
          </cell>
          <cell r="BZ688" t="str">
            <v/>
          </cell>
        </row>
        <row r="689">
          <cell r="C689" t="str">
            <v/>
          </cell>
          <cell r="X689">
            <v>0</v>
          </cell>
          <cell r="Y689">
            <v>0</v>
          </cell>
          <cell r="Z689">
            <v>0</v>
          </cell>
          <cell r="AA689">
            <v>0</v>
          </cell>
          <cell r="AB689">
            <v>0</v>
          </cell>
          <cell r="AF689">
            <v>0</v>
          </cell>
          <cell r="AG689">
            <v>0</v>
          </cell>
          <cell r="AH689">
            <v>0</v>
          </cell>
          <cell r="AI689">
            <v>0</v>
          </cell>
          <cell r="AJ689">
            <v>0</v>
          </cell>
          <cell r="BZ689" t="str">
            <v/>
          </cell>
        </row>
        <row r="690">
          <cell r="C690" t="str">
            <v/>
          </cell>
          <cell r="X690">
            <v>0</v>
          </cell>
          <cell r="Y690">
            <v>0</v>
          </cell>
          <cell r="Z690">
            <v>0</v>
          </cell>
          <cell r="AA690">
            <v>0</v>
          </cell>
          <cell r="AB690">
            <v>0</v>
          </cell>
          <cell r="AF690">
            <v>0</v>
          </cell>
          <cell r="AG690">
            <v>0</v>
          </cell>
          <cell r="AH690">
            <v>0</v>
          </cell>
          <cell r="AI690">
            <v>0</v>
          </cell>
          <cell r="AJ690">
            <v>0</v>
          </cell>
          <cell r="BZ690" t="str">
            <v/>
          </cell>
        </row>
        <row r="691">
          <cell r="C691" t="str">
            <v/>
          </cell>
          <cell r="X691">
            <v>0</v>
          </cell>
          <cell r="Y691">
            <v>0</v>
          </cell>
          <cell r="Z691">
            <v>0</v>
          </cell>
          <cell r="AA691">
            <v>0</v>
          </cell>
          <cell r="AB691">
            <v>0</v>
          </cell>
          <cell r="AF691">
            <v>0</v>
          </cell>
          <cell r="AG691">
            <v>0</v>
          </cell>
          <cell r="AH691">
            <v>0</v>
          </cell>
          <cell r="AI691">
            <v>0</v>
          </cell>
          <cell r="AJ691">
            <v>0</v>
          </cell>
          <cell r="BZ691" t="str">
            <v/>
          </cell>
        </row>
        <row r="692">
          <cell r="C692" t="str">
            <v/>
          </cell>
          <cell r="X692">
            <v>0</v>
          </cell>
          <cell r="Y692">
            <v>0</v>
          </cell>
          <cell r="Z692">
            <v>0</v>
          </cell>
          <cell r="AA692">
            <v>0</v>
          </cell>
          <cell r="AB692">
            <v>0</v>
          </cell>
          <cell r="AF692">
            <v>0</v>
          </cell>
          <cell r="AG692">
            <v>0</v>
          </cell>
          <cell r="AH692">
            <v>0</v>
          </cell>
          <cell r="AI692">
            <v>0</v>
          </cell>
          <cell r="AJ692">
            <v>0</v>
          </cell>
          <cell r="BZ692" t="str">
            <v/>
          </cell>
        </row>
        <row r="693">
          <cell r="C693" t="str">
            <v/>
          </cell>
          <cell r="X693">
            <v>0</v>
          </cell>
          <cell r="Y693">
            <v>0</v>
          </cell>
          <cell r="Z693">
            <v>0</v>
          </cell>
          <cell r="AA693">
            <v>0</v>
          </cell>
          <cell r="AB693">
            <v>0</v>
          </cell>
          <cell r="AF693">
            <v>0</v>
          </cell>
          <cell r="AG693">
            <v>0</v>
          </cell>
          <cell r="AH693">
            <v>0</v>
          </cell>
          <cell r="AI693">
            <v>0</v>
          </cell>
          <cell r="AJ693">
            <v>0</v>
          </cell>
          <cell r="BZ693" t="str">
            <v/>
          </cell>
        </row>
        <row r="694">
          <cell r="C694" t="str">
            <v/>
          </cell>
          <cell r="X694">
            <v>0</v>
          </cell>
          <cell r="Y694">
            <v>0</v>
          </cell>
          <cell r="Z694">
            <v>0</v>
          </cell>
          <cell r="AA694">
            <v>0</v>
          </cell>
          <cell r="AB694">
            <v>0</v>
          </cell>
          <cell r="AF694">
            <v>0</v>
          </cell>
          <cell r="AG694">
            <v>0</v>
          </cell>
          <cell r="AH694">
            <v>0</v>
          </cell>
          <cell r="AI694">
            <v>0</v>
          </cell>
          <cell r="AJ694">
            <v>0</v>
          </cell>
          <cell r="BZ694" t="str">
            <v/>
          </cell>
        </row>
        <row r="695">
          <cell r="C695" t="str">
            <v/>
          </cell>
          <cell r="X695">
            <v>0</v>
          </cell>
          <cell r="Y695">
            <v>0</v>
          </cell>
          <cell r="Z695">
            <v>0</v>
          </cell>
          <cell r="AA695">
            <v>0</v>
          </cell>
          <cell r="AB695">
            <v>0</v>
          </cell>
          <cell r="AF695">
            <v>0</v>
          </cell>
          <cell r="AG695">
            <v>0</v>
          </cell>
          <cell r="AH695">
            <v>0</v>
          </cell>
          <cell r="AI695">
            <v>0</v>
          </cell>
          <cell r="AJ695">
            <v>0</v>
          </cell>
          <cell r="BZ695" t="str">
            <v/>
          </cell>
        </row>
        <row r="696">
          <cell r="C696" t="str">
            <v/>
          </cell>
          <cell r="X696">
            <v>0</v>
          </cell>
          <cell r="Y696">
            <v>0</v>
          </cell>
          <cell r="Z696">
            <v>0</v>
          </cell>
          <cell r="AA696">
            <v>0</v>
          </cell>
          <cell r="AB696">
            <v>0</v>
          </cell>
          <cell r="AF696">
            <v>0</v>
          </cell>
          <cell r="AG696">
            <v>0</v>
          </cell>
          <cell r="AH696">
            <v>0</v>
          </cell>
          <cell r="AI696">
            <v>0</v>
          </cell>
          <cell r="AJ696">
            <v>0</v>
          </cell>
          <cell r="BZ696" t="str">
            <v/>
          </cell>
        </row>
        <row r="697">
          <cell r="C697" t="str">
            <v/>
          </cell>
          <cell r="X697">
            <v>0</v>
          </cell>
          <cell r="Y697">
            <v>0</v>
          </cell>
          <cell r="Z697">
            <v>0</v>
          </cell>
          <cell r="AA697">
            <v>0</v>
          </cell>
          <cell r="AB697">
            <v>0</v>
          </cell>
          <cell r="AF697">
            <v>0</v>
          </cell>
          <cell r="AG697">
            <v>0</v>
          </cell>
          <cell r="AH697">
            <v>0</v>
          </cell>
          <cell r="AI697">
            <v>0</v>
          </cell>
          <cell r="AJ697">
            <v>0</v>
          </cell>
          <cell r="BZ697" t="str">
            <v/>
          </cell>
        </row>
        <row r="698">
          <cell r="C698" t="str">
            <v/>
          </cell>
          <cell r="X698">
            <v>0</v>
          </cell>
          <cell r="Y698">
            <v>0</v>
          </cell>
          <cell r="Z698">
            <v>0</v>
          </cell>
          <cell r="AA698">
            <v>0</v>
          </cell>
          <cell r="AB698">
            <v>0</v>
          </cell>
          <cell r="AF698">
            <v>0</v>
          </cell>
          <cell r="AG698">
            <v>0</v>
          </cell>
          <cell r="AH698">
            <v>0</v>
          </cell>
          <cell r="AI698">
            <v>0</v>
          </cell>
          <cell r="AJ698">
            <v>0</v>
          </cell>
          <cell r="BZ698" t="str">
            <v/>
          </cell>
        </row>
        <row r="699">
          <cell r="C699" t="str">
            <v/>
          </cell>
          <cell r="X699">
            <v>0</v>
          </cell>
          <cell r="Y699">
            <v>0</v>
          </cell>
          <cell r="Z699">
            <v>0</v>
          </cell>
          <cell r="AA699">
            <v>0</v>
          </cell>
          <cell r="AB699">
            <v>0</v>
          </cell>
          <cell r="AF699">
            <v>0</v>
          </cell>
          <cell r="AG699">
            <v>0</v>
          </cell>
          <cell r="AH699">
            <v>0</v>
          </cell>
          <cell r="AI699">
            <v>0</v>
          </cell>
          <cell r="AJ699">
            <v>0</v>
          </cell>
          <cell r="BZ699" t="str">
            <v/>
          </cell>
        </row>
        <row r="700">
          <cell r="C700" t="str">
            <v/>
          </cell>
          <cell r="X700">
            <v>0</v>
          </cell>
          <cell r="Y700">
            <v>0</v>
          </cell>
          <cell r="Z700">
            <v>0</v>
          </cell>
          <cell r="AA700">
            <v>0</v>
          </cell>
          <cell r="AB700">
            <v>0</v>
          </cell>
          <cell r="AF700">
            <v>0</v>
          </cell>
          <cell r="AG700">
            <v>0</v>
          </cell>
          <cell r="AH700">
            <v>0</v>
          </cell>
          <cell r="AI700">
            <v>0</v>
          </cell>
          <cell r="AJ700">
            <v>0</v>
          </cell>
          <cell r="BZ700" t="str">
            <v/>
          </cell>
        </row>
        <row r="701">
          <cell r="C701" t="str">
            <v/>
          </cell>
          <cell r="X701">
            <v>0</v>
          </cell>
          <cell r="Y701">
            <v>0</v>
          </cell>
          <cell r="Z701">
            <v>0</v>
          </cell>
          <cell r="AA701">
            <v>0</v>
          </cell>
          <cell r="AB701">
            <v>0</v>
          </cell>
          <cell r="AF701">
            <v>0</v>
          </cell>
          <cell r="AG701">
            <v>0</v>
          </cell>
          <cell r="AH701">
            <v>0</v>
          </cell>
          <cell r="AI701">
            <v>0</v>
          </cell>
          <cell r="AJ701">
            <v>0</v>
          </cell>
          <cell r="BZ701" t="str">
            <v/>
          </cell>
        </row>
        <row r="702">
          <cell r="C702" t="str">
            <v/>
          </cell>
          <cell r="X702">
            <v>0</v>
          </cell>
          <cell r="Y702">
            <v>0</v>
          </cell>
          <cell r="Z702">
            <v>0</v>
          </cell>
          <cell r="AA702">
            <v>0</v>
          </cell>
          <cell r="AB702">
            <v>0</v>
          </cell>
          <cell r="AF702">
            <v>0</v>
          </cell>
          <cell r="AG702">
            <v>0</v>
          </cell>
          <cell r="AH702">
            <v>0</v>
          </cell>
          <cell r="AI702">
            <v>0</v>
          </cell>
          <cell r="AJ702">
            <v>0</v>
          </cell>
          <cell r="BZ702" t="str">
            <v/>
          </cell>
        </row>
        <row r="703">
          <cell r="C703" t="str">
            <v/>
          </cell>
          <cell r="X703">
            <v>0</v>
          </cell>
          <cell r="Y703">
            <v>0</v>
          </cell>
          <cell r="Z703">
            <v>0</v>
          </cell>
          <cell r="AA703">
            <v>0</v>
          </cell>
          <cell r="AB703">
            <v>0</v>
          </cell>
          <cell r="AF703">
            <v>0</v>
          </cell>
          <cell r="AG703">
            <v>0</v>
          </cell>
          <cell r="AH703">
            <v>0</v>
          </cell>
          <cell r="AI703">
            <v>0</v>
          </cell>
          <cell r="AJ703">
            <v>0</v>
          </cell>
          <cell r="BZ703" t="str">
            <v/>
          </cell>
        </row>
        <row r="704">
          <cell r="C704" t="str">
            <v/>
          </cell>
          <cell r="X704">
            <v>0</v>
          </cell>
          <cell r="Y704">
            <v>0</v>
          </cell>
          <cell r="Z704">
            <v>0</v>
          </cell>
          <cell r="AA704">
            <v>0</v>
          </cell>
          <cell r="AB704">
            <v>0</v>
          </cell>
          <cell r="AF704">
            <v>0</v>
          </cell>
          <cell r="AG704">
            <v>0</v>
          </cell>
          <cell r="AH704">
            <v>0</v>
          </cell>
          <cell r="AI704">
            <v>0</v>
          </cell>
          <cell r="AJ704">
            <v>0</v>
          </cell>
          <cell r="BZ704" t="str">
            <v/>
          </cell>
        </row>
        <row r="705">
          <cell r="C705" t="str">
            <v/>
          </cell>
          <cell r="X705">
            <v>0</v>
          </cell>
          <cell r="Y705">
            <v>0</v>
          </cell>
          <cell r="Z705">
            <v>0</v>
          </cell>
          <cell r="AA705">
            <v>0</v>
          </cell>
          <cell r="AB705">
            <v>0</v>
          </cell>
          <cell r="AF705">
            <v>0</v>
          </cell>
          <cell r="AG705">
            <v>0</v>
          </cell>
          <cell r="AH705">
            <v>0</v>
          </cell>
          <cell r="AI705">
            <v>0</v>
          </cell>
          <cell r="AJ705">
            <v>0</v>
          </cell>
          <cell r="BZ705" t="str">
            <v/>
          </cell>
        </row>
        <row r="706">
          <cell r="C706" t="str">
            <v/>
          </cell>
          <cell r="X706">
            <v>0</v>
          </cell>
          <cell r="Y706">
            <v>0</v>
          </cell>
          <cell r="Z706">
            <v>0</v>
          </cell>
          <cell r="AA706">
            <v>0</v>
          </cell>
          <cell r="AB706">
            <v>0</v>
          </cell>
          <cell r="AF706">
            <v>0</v>
          </cell>
          <cell r="AG706">
            <v>0</v>
          </cell>
          <cell r="AH706">
            <v>0</v>
          </cell>
          <cell r="AI706">
            <v>0</v>
          </cell>
          <cell r="AJ706">
            <v>0</v>
          </cell>
          <cell r="BZ706" t="str">
            <v/>
          </cell>
        </row>
        <row r="707">
          <cell r="C707" t="str">
            <v/>
          </cell>
          <cell r="X707">
            <v>0</v>
          </cell>
          <cell r="Y707">
            <v>0</v>
          </cell>
          <cell r="Z707">
            <v>0</v>
          </cell>
          <cell r="AA707">
            <v>0</v>
          </cell>
          <cell r="AB707">
            <v>0</v>
          </cell>
          <cell r="AF707">
            <v>0</v>
          </cell>
          <cell r="AG707">
            <v>0</v>
          </cell>
          <cell r="AH707">
            <v>0</v>
          </cell>
          <cell r="AI707">
            <v>0</v>
          </cell>
          <cell r="AJ707">
            <v>0</v>
          </cell>
          <cell r="BZ707" t="str">
            <v/>
          </cell>
        </row>
        <row r="708">
          <cell r="C708" t="str">
            <v/>
          </cell>
          <cell r="X708">
            <v>0</v>
          </cell>
          <cell r="Y708">
            <v>0</v>
          </cell>
          <cell r="Z708">
            <v>0</v>
          </cell>
          <cell r="AA708">
            <v>0</v>
          </cell>
          <cell r="AB708">
            <v>0</v>
          </cell>
          <cell r="AF708">
            <v>0</v>
          </cell>
          <cell r="AG708">
            <v>0</v>
          </cell>
          <cell r="AH708">
            <v>0</v>
          </cell>
          <cell r="AI708">
            <v>0</v>
          </cell>
          <cell r="AJ708">
            <v>0</v>
          </cell>
          <cell r="BZ708" t="str">
            <v/>
          </cell>
        </row>
        <row r="709">
          <cell r="C709" t="str">
            <v/>
          </cell>
          <cell r="X709">
            <v>0</v>
          </cell>
          <cell r="Y709">
            <v>0</v>
          </cell>
          <cell r="Z709">
            <v>0</v>
          </cell>
          <cell r="AA709">
            <v>0</v>
          </cell>
          <cell r="AB709">
            <v>0</v>
          </cell>
          <cell r="AF709">
            <v>0</v>
          </cell>
          <cell r="AG709">
            <v>0</v>
          </cell>
          <cell r="AH709">
            <v>0</v>
          </cell>
          <cell r="AI709">
            <v>0</v>
          </cell>
          <cell r="AJ709">
            <v>0</v>
          </cell>
          <cell r="BZ709" t="str">
            <v/>
          </cell>
        </row>
        <row r="710">
          <cell r="C710" t="str">
            <v/>
          </cell>
          <cell r="X710">
            <v>0</v>
          </cell>
          <cell r="Y710">
            <v>0</v>
          </cell>
          <cell r="Z710">
            <v>0</v>
          </cell>
          <cell r="AA710">
            <v>0</v>
          </cell>
          <cell r="AB710">
            <v>0</v>
          </cell>
          <cell r="AF710">
            <v>0</v>
          </cell>
          <cell r="AG710">
            <v>0</v>
          </cell>
          <cell r="AH710">
            <v>0</v>
          </cell>
          <cell r="AI710">
            <v>0</v>
          </cell>
          <cell r="AJ710">
            <v>0</v>
          </cell>
          <cell r="BZ710" t="str">
            <v/>
          </cell>
        </row>
        <row r="711">
          <cell r="C711" t="str">
            <v/>
          </cell>
          <cell r="X711">
            <v>0</v>
          </cell>
          <cell r="Y711">
            <v>0</v>
          </cell>
          <cell r="Z711">
            <v>0</v>
          </cell>
          <cell r="AA711">
            <v>0</v>
          </cell>
          <cell r="AB711">
            <v>0</v>
          </cell>
          <cell r="AF711">
            <v>0</v>
          </cell>
          <cell r="AG711">
            <v>0</v>
          </cell>
          <cell r="AH711">
            <v>0</v>
          </cell>
          <cell r="AI711">
            <v>0</v>
          </cell>
          <cell r="AJ711">
            <v>0</v>
          </cell>
          <cell r="BZ711" t="str">
            <v/>
          </cell>
        </row>
        <row r="712">
          <cell r="C712" t="str">
            <v/>
          </cell>
          <cell r="X712">
            <v>0</v>
          </cell>
          <cell r="Y712">
            <v>0</v>
          </cell>
          <cell r="Z712">
            <v>0</v>
          </cell>
          <cell r="AA712">
            <v>0</v>
          </cell>
          <cell r="AB712">
            <v>0</v>
          </cell>
          <cell r="AF712">
            <v>0</v>
          </cell>
          <cell r="AG712">
            <v>0</v>
          </cell>
          <cell r="AH712">
            <v>0</v>
          </cell>
          <cell r="AI712">
            <v>0</v>
          </cell>
          <cell r="AJ712">
            <v>0</v>
          </cell>
          <cell r="BZ712" t="str">
            <v/>
          </cell>
        </row>
        <row r="713">
          <cell r="C713" t="str">
            <v/>
          </cell>
          <cell r="X713">
            <v>0</v>
          </cell>
          <cell r="Y713">
            <v>0</v>
          </cell>
          <cell r="Z713">
            <v>0</v>
          </cell>
          <cell r="AA713">
            <v>0</v>
          </cell>
          <cell r="AB713">
            <v>0</v>
          </cell>
          <cell r="AF713">
            <v>0</v>
          </cell>
          <cell r="AG713">
            <v>0</v>
          </cell>
          <cell r="AH713">
            <v>0</v>
          </cell>
          <cell r="AI713">
            <v>0</v>
          </cell>
          <cell r="AJ713">
            <v>0</v>
          </cell>
          <cell r="BZ713" t="str">
            <v/>
          </cell>
        </row>
        <row r="714">
          <cell r="C714" t="str">
            <v/>
          </cell>
          <cell r="X714">
            <v>0</v>
          </cell>
          <cell r="Y714">
            <v>0</v>
          </cell>
          <cell r="Z714">
            <v>0</v>
          </cell>
          <cell r="AA714">
            <v>0</v>
          </cell>
          <cell r="AB714">
            <v>0</v>
          </cell>
          <cell r="AF714">
            <v>0</v>
          </cell>
          <cell r="AG714">
            <v>0</v>
          </cell>
          <cell r="AH714">
            <v>0</v>
          </cell>
          <cell r="AI714">
            <v>0</v>
          </cell>
          <cell r="AJ714">
            <v>0</v>
          </cell>
          <cell r="BZ714" t="str">
            <v/>
          </cell>
        </row>
        <row r="715">
          <cell r="C715" t="str">
            <v/>
          </cell>
          <cell r="X715">
            <v>0</v>
          </cell>
          <cell r="Y715">
            <v>0</v>
          </cell>
          <cell r="Z715">
            <v>0</v>
          </cell>
          <cell r="AA715">
            <v>0</v>
          </cell>
          <cell r="AB715">
            <v>0</v>
          </cell>
          <cell r="AF715">
            <v>0</v>
          </cell>
          <cell r="AG715">
            <v>0</v>
          </cell>
          <cell r="AH715">
            <v>0</v>
          </cell>
          <cell r="AI715">
            <v>0</v>
          </cell>
          <cell r="AJ715">
            <v>0</v>
          </cell>
          <cell r="BZ715" t="str">
            <v/>
          </cell>
        </row>
        <row r="716">
          <cell r="C716" t="str">
            <v/>
          </cell>
          <cell r="X716">
            <v>0</v>
          </cell>
          <cell r="Y716">
            <v>0</v>
          </cell>
          <cell r="Z716">
            <v>0</v>
          </cell>
          <cell r="AA716">
            <v>0</v>
          </cell>
          <cell r="AB716">
            <v>0</v>
          </cell>
          <cell r="AF716">
            <v>0</v>
          </cell>
          <cell r="AG716">
            <v>0</v>
          </cell>
          <cell r="AH716">
            <v>0</v>
          </cell>
          <cell r="AI716">
            <v>0</v>
          </cell>
          <cell r="AJ716">
            <v>0</v>
          </cell>
          <cell r="BZ716" t="str">
            <v/>
          </cell>
        </row>
        <row r="717">
          <cell r="C717" t="str">
            <v/>
          </cell>
          <cell r="X717">
            <v>0</v>
          </cell>
          <cell r="Y717">
            <v>0</v>
          </cell>
          <cell r="Z717">
            <v>0</v>
          </cell>
          <cell r="AA717">
            <v>0</v>
          </cell>
          <cell r="AB717">
            <v>0</v>
          </cell>
          <cell r="AF717">
            <v>0</v>
          </cell>
          <cell r="AG717">
            <v>0</v>
          </cell>
          <cell r="AH717">
            <v>0</v>
          </cell>
          <cell r="AI717">
            <v>0</v>
          </cell>
          <cell r="AJ717">
            <v>0</v>
          </cell>
          <cell r="BZ717" t="str">
            <v/>
          </cell>
        </row>
        <row r="718">
          <cell r="C718" t="str">
            <v/>
          </cell>
          <cell r="X718">
            <v>0</v>
          </cell>
          <cell r="Y718">
            <v>0</v>
          </cell>
          <cell r="Z718">
            <v>0</v>
          </cell>
          <cell r="AA718">
            <v>0</v>
          </cell>
          <cell r="AB718">
            <v>0</v>
          </cell>
          <cell r="AF718">
            <v>0</v>
          </cell>
          <cell r="AG718">
            <v>0</v>
          </cell>
          <cell r="AH718">
            <v>0</v>
          </cell>
          <cell r="AI718">
            <v>0</v>
          </cell>
          <cell r="AJ718">
            <v>0</v>
          </cell>
          <cell r="BZ718" t="str">
            <v/>
          </cell>
        </row>
        <row r="719">
          <cell r="C719" t="str">
            <v/>
          </cell>
          <cell r="X719">
            <v>0</v>
          </cell>
          <cell r="Y719">
            <v>0</v>
          </cell>
          <cell r="Z719">
            <v>0</v>
          </cell>
          <cell r="AA719">
            <v>0</v>
          </cell>
          <cell r="AB719">
            <v>0</v>
          </cell>
          <cell r="AF719">
            <v>0</v>
          </cell>
          <cell r="AG719">
            <v>0</v>
          </cell>
          <cell r="AH719">
            <v>0</v>
          </cell>
          <cell r="AI719">
            <v>0</v>
          </cell>
          <cell r="AJ719">
            <v>0</v>
          </cell>
          <cell r="BZ719" t="str">
            <v/>
          </cell>
        </row>
        <row r="720">
          <cell r="C720" t="str">
            <v/>
          </cell>
          <cell r="X720">
            <v>0</v>
          </cell>
          <cell r="Y720">
            <v>0</v>
          </cell>
          <cell r="Z720">
            <v>0</v>
          </cell>
          <cell r="AA720">
            <v>0</v>
          </cell>
          <cell r="AB720">
            <v>0</v>
          </cell>
          <cell r="AF720">
            <v>0</v>
          </cell>
          <cell r="AG720">
            <v>0</v>
          </cell>
          <cell r="AH720">
            <v>0</v>
          </cell>
          <cell r="AI720">
            <v>0</v>
          </cell>
          <cell r="AJ720">
            <v>0</v>
          </cell>
          <cell r="BZ720" t="str">
            <v/>
          </cell>
        </row>
        <row r="721">
          <cell r="C721" t="str">
            <v/>
          </cell>
          <cell r="X721">
            <v>0</v>
          </cell>
          <cell r="Y721">
            <v>0</v>
          </cell>
          <cell r="Z721">
            <v>0</v>
          </cell>
          <cell r="AA721">
            <v>0</v>
          </cell>
          <cell r="AB721">
            <v>0</v>
          </cell>
          <cell r="AF721">
            <v>0</v>
          </cell>
          <cell r="AG721">
            <v>0</v>
          </cell>
          <cell r="AH721">
            <v>0</v>
          </cell>
          <cell r="AI721">
            <v>0</v>
          </cell>
          <cell r="AJ721">
            <v>0</v>
          </cell>
          <cell r="BZ721" t="str">
            <v/>
          </cell>
        </row>
        <row r="722">
          <cell r="C722" t="str">
            <v/>
          </cell>
          <cell r="X722">
            <v>0</v>
          </cell>
          <cell r="Y722">
            <v>0</v>
          </cell>
          <cell r="Z722">
            <v>0</v>
          </cell>
          <cell r="AA722">
            <v>0</v>
          </cell>
          <cell r="AB722">
            <v>0</v>
          </cell>
          <cell r="AF722">
            <v>0</v>
          </cell>
          <cell r="AG722">
            <v>0</v>
          </cell>
          <cell r="AH722">
            <v>0</v>
          </cell>
          <cell r="AI722">
            <v>0</v>
          </cell>
          <cell r="AJ722">
            <v>0</v>
          </cell>
          <cell r="BZ722" t="str">
            <v/>
          </cell>
        </row>
        <row r="723">
          <cell r="C723" t="str">
            <v/>
          </cell>
          <cell r="X723">
            <v>0</v>
          </cell>
          <cell r="Y723">
            <v>0</v>
          </cell>
          <cell r="Z723">
            <v>0</v>
          </cell>
          <cell r="AA723">
            <v>0</v>
          </cell>
          <cell r="AB723">
            <v>0</v>
          </cell>
          <cell r="AF723">
            <v>0</v>
          </cell>
          <cell r="AG723">
            <v>0</v>
          </cell>
          <cell r="AH723">
            <v>0</v>
          </cell>
          <cell r="AI723">
            <v>0</v>
          </cell>
          <cell r="AJ723">
            <v>0</v>
          </cell>
          <cell r="BZ723" t="str">
            <v/>
          </cell>
        </row>
        <row r="724">
          <cell r="C724" t="str">
            <v/>
          </cell>
          <cell r="X724">
            <v>0</v>
          </cell>
          <cell r="Y724">
            <v>0</v>
          </cell>
          <cell r="Z724">
            <v>0</v>
          </cell>
          <cell r="AA724">
            <v>0</v>
          </cell>
          <cell r="AB724">
            <v>0</v>
          </cell>
          <cell r="AF724">
            <v>0</v>
          </cell>
          <cell r="AG724">
            <v>0</v>
          </cell>
          <cell r="AH724">
            <v>0</v>
          </cell>
          <cell r="AI724">
            <v>0</v>
          </cell>
          <cell r="AJ724">
            <v>0</v>
          </cell>
          <cell r="BZ724" t="str">
            <v/>
          </cell>
        </row>
        <row r="725">
          <cell r="C725" t="str">
            <v/>
          </cell>
          <cell r="X725">
            <v>0</v>
          </cell>
          <cell r="Y725">
            <v>0</v>
          </cell>
          <cell r="Z725">
            <v>0</v>
          </cell>
          <cell r="AA725">
            <v>0</v>
          </cell>
          <cell r="AB725">
            <v>0</v>
          </cell>
          <cell r="AF725">
            <v>0</v>
          </cell>
          <cell r="AG725">
            <v>0</v>
          </cell>
          <cell r="AH725">
            <v>0</v>
          </cell>
          <cell r="AI725">
            <v>0</v>
          </cell>
          <cell r="AJ725">
            <v>0</v>
          </cell>
          <cell r="BZ725" t="str">
            <v/>
          </cell>
        </row>
        <row r="726">
          <cell r="C726" t="str">
            <v/>
          </cell>
          <cell r="X726">
            <v>0</v>
          </cell>
          <cell r="Y726">
            <v>0</v>
          </cell>
          <cell r="Z726">
            <v>0</v>
          </cell>
          <cell r="AA726">
            <v>0</v>
          </cell>
          <cell r="AB726">
            <v>0</v>
          </cell>
          <cell r="AF726">
            <v>0</v>
          </cell>
          <cell r="AG726">
            <v>0</v>
          </cell>
          <cell r="AH726">
            <v>0</v>
          </cell>
          <cell r="AI726">
            <v>0</v>
          </cell>
          <cell r="AJ726">
            <v>0</v>
          </cell>
          <cell r="BZ726" t="str">
            <v/>
          </cell>
        </row>
        <row r="727">
          <cell r="C727" t="str">
            <v/>
          </cell>
          <cell r="X727">
            <v>0</v>
          </cell>
          <cell r="Y727">
            <v>0</v>
          </cell>
          <cell r="Z727">
            <v>0</v>
          </cell>
          <cell r="AA727">
            <v>0</v>
          </cell>
          <cell r="AB727">
            <v>0</v>
          </cell>
          <cell r="AF727">
            <v>0</v>
          </cell>
          <cell r="AG727">
            <v>0</v>
          </cell>
          <cell r="AH727">
            <v>0</v>
          </cell>
          <cell r="AI727">
            <v>0</v>
          </cell>
          <cell r="AJ727">
            <v>0</v>
          </cell>
          <cell r="BZ727" t="str">
            <v/>
          </cell>
        </row>
        <row r="728">
          <cell r="C728" t="str">
            <v/>
          </cell>
          <cell r="X728">
            <v>0</v>
          </cell>
          <cell r="Y728">
            <v>0</v>
          </cell>
          <cell r="Z728">
            <v>0</v>
          </cell>
          <cell r="AA728">
            <v>0</v>
          </cell>
          <cell r="AB728">
            <v>0</v>
          </cell>
          <cell r="AF728">
            <v>0</v>
          </cell>
          <cell r="AG728">
            <v>0</v>
          </cell>
          <cell r="AH728">
            <v>0</v>
          </cell>
          <cell r="AI728">
            <v>0</v>
          </cell>
          <cell r="AJ728">
            <v>0</v>
          </cell>
          <cell r="BZ728" t="str">
            <v/>
          </cell>
        </row>
        <row r="729">
          <cell r="C729" t="str">
            <v/>
          </cell>
          <cell r="X729">
            <v>0</v>
          </cell>
          <cell r="Y729">
            <v>0</v>
          </cell>
          <cell r="Z729">
            <v>0</v>
          </cell>
          <cell r="AA729">
            <v>0</v>
          </cell>
          <cell r="AB729">
            <v>0</v>
          </cell>
          <cell r="AF729">
            <v>0</v>
          </cell>
          <cell r="AG729">
            <v>0</v>
          </cell>
          <cell r="AH729">
            <v>0</v>
          </cell>
          <cell r="AI729">
            <v>0</v>
          </cell>
          <cell r="AJ729">
            <v>0</v>
          </cell>
          <cell r="BZ729" t="str">
            <v/>
          </cell>
        </row>
        <row r="730">
          <cell r="C730" t="str">
            <v/>
          </cell>
          <cell r="X730">
            <v>0</v>
          </cell>
          <cell r="Y730">
            <v>0</v>
          </cell>
          <cell r="Z730">
            <v>0</v>
          </cell>
          <cell r="AA730">
            <v>0</v>
          </cell>
          <cell r="AB730">
            <v>0</v>
          </cell>
          <cell r="AF730">
            <v>0</v>
          </cell>
          <cell r="AG730">
            <v>0</v>
          </cell>
          <cell r="AH730">
            <v>0</v>
          </cell>
          <cell r="AI730">
            <v>0</v>
          </cell>
          <cell r="AJ730">
            <v>0</v>
          </cell>
          <cell r="BZ730" t="str">
            <v/>
          </cell>
        </row>
        <row r="731">
          <cell r="C731" t="str">
            <v/>
          </cell>
          <cell r="X731">
            <v>0</v>
          </cell>
          <cell r="Y731">
            <v>0</v>
          </cell>
          <cell r="Z731">
            <v>0</v>
          </cell>
          <cell r="AA731">
            <v>0</v>
          </cell>
          <cell r="AB731">
            <v>0</v>
          </cell>
          <cell r="AF731">
            <v>0</v>
          </cell>
          <cell r="AG731">
            <v>0</v>
          </cell>
          <cell r="AH731">
            <v>0</v>
          </cell>
          <cell r="AI731">
            <v>0</v>
          </cell>
          <cell r="AJ731">
            <v>0</v>
          </cell>
          <cell r="BZ731" t="str">
            <v/>
          </cell>
        </row>
        <row r="732">
          <cell r="C732" t="str">
            <v/>
          </cell>
          <cell r="X732">
            <v>0</v>
          </cell>
          <cell r="Y732">
            <v>0</v>
          </cell>
          <cell r="Z732">
            <v>0</v>
          </cell>
          <cell r="AA732">
            <v>0</v>
          </cell>
          <cell r="AB732">
            <v>0</v>
          </cell>
          <cell r="AF732">
            <v>0</v>
          </cell>
          <cell r="AG732">
            <v>0</v>
          </cell>
          <cell r="AH732">
            <v>0</v>
          </cell>
          <cell r="AI732">
            <v>0</v>
          </cell>
          <cell r="AJ732">
            <v>0</v>
          </cell>
          <cell r="BZ732" t="str">
            <v/>
          </cell>
        </row>
        <row r="733">
          <cell r="C733" t="str">
            <v/>
          </cell>
          <cell r="X733">
            <v>0</v>
          </cell>
          <cell r="Y733">
            <v>0</v>
          </cell>
          <cell r="Z733">
            <v>0</v>
          </cell>
          <cell r="AA733">
            <v>0</v>
          </cell>
          <cell r="AB733">
            <v>0</v>
          </cell>
          <cell r="AF733">
            <v>0</v>
          </cell>
          <cell r="AG733">
            <v>0</v>
          </cell>
          <cell r="AH733">
            <v>0</v>
          </cell>
          <cell r="AI733">
            <v>0</v>
          </cell>
          <cell r="AJ733">
            <v>0</v>
          </cell>
          <cell r="BZ733" t="str">
            <v/>
          </cell>
        </row>
        <row r="734">
          <cell r="C734" t="str">
            <v/>
          </cell>
          <cell r="X734">
            <v>0</v>
          </cell>
          <cell r="Y734">
            <v>0</v>
          </cell>
          <cell r="Z734">
            <v>0</v>
          </cell>
          <cell r="AA734">
            <v>0</v>
          </cell>
          <cell r="AB734">
            <v>0</v>
          </cell>
          <cell r="AF734">
            <v>0</v>
          </cell>
          <cell r="AG734">
            <v>0</v>
          </cell>
          <cell r="AH734">
            <v>0</v>
          </cell>
          <cell r="AI734">
            <v>0</v>
          </cell>
          <cell r="AJ734">
            <v>0</v>
          </cell>
          <cell r="BZ734" t="str">
            <v/>
          </cell>
        </row>
        <row r="735">
          <cell r="C735" t="str">
            <v/>
          </cell>
          <cell r="X735">
            <v>0</v>
          </cell>
          <cell r="Y735">
            <v>0</v>
          </cell>
          <cell r="Z735">
            <v>0</v>
          </cell>
          <cell r="AA735">
            <v>0</v>
          </cell>
          <cell r="AB735">
            <v>0</v>
          </cell>
          <cell r="AF735">
            <v>0</v>
          </cell>
          <cell r="AG735">
            <v>0</v>
          </cell>
          <cell r="AH735">
            <v>0</v>
          </cell>
          <cell r="AI735">
            <v>0</v>
          </cell>
          <cell r="AJ735">
            <v>0</v>
          </cell>
          <cell r="BZ735" t="str">
            <v/>
          </cell>
        </row>
        <row r="736">
          <cell r="C736" t="str">
            <v/>
          </cell>
          <cell r="X736">
            <v>0</v>
          </cell>
          <cell r="Y736">
            <v>0</v>
          </cell>
          <cell r="Z736">
            <v>0</v>
          </cell>
          <cell r="AA736">
            <v>0</v>
          </cell>
          <cell r="AB736">
            <v>0</v>
          </cell>
          <cell r="AF736">
            <v>0</v>
          </cell>
          <cell r="AG736">
            <v>0</v>
          </cell>
          <cell r="AH736">
            <v>0</v>
          </cell>
          <cell r="AI736">
            <v>0</v>
          </cell>
          <cell r="AJ736">
            <v>0</v>
          </cell>
          <cell r="BZ736" t="str">
            <v/>
          </cell>
        </row>
        <row r="737">
          <cell r="C737" t="str">
            <v/>
          </cell>
          <cell r="X737">
            <v>0</v>
          </cell>
          <cell r="Y737">
            <v>0</v>
          </cell>
          <cell r="Z737">
            <v>0</v>
          </cell>
          <cell r="AA737">
            <v>0</v>
          </cell>
          <cell r="AB737">
            <v>0</v>
          </cell>
          <cell r="AF737">
            <v>0</v>
          </cell>
          <cell r="AG737">
            <v>0</v>
          </cell>
          <cell r="AH737">
            <v>0</v>
          </cell>
          <cell r="AI737">
            <v>0</v>
          </cell>
          <cell r="AJ737">
            <v>0</v>
          </cell>
          <cell r="BZ737" t="str">
            <v/>
          </cell>
        </row>
        <row r="738">
          <cell r="C738" t="str">
            <v/>
          </cell>
          <cell r="X738">
            <v>0</v>
          </cell>
          <cell r="Y738">
            <v>0</v>
          </cell>
          <cell r="Z738">
            <v>0</v>
          </cell>
          <cell r="AA738">
            <v>0</v>
          </cell>
          <cell r="AB738">
            <v>0</v>
          </cell>
          <cell r="AF738">
            <v>0</v>
          </cell>
          <cell r="AG738">
            <v>0</v>
          </cell>
          <cell r="AH738">
            <v>0</v>
          </cell>
          <cell r="AI738">
            <v>0</v>
          </cell>
          <cell r="AJ738">
            <v>0</v>
          </cell>
          <cell r="BZ738" t="str">
            <v/>
          </cell>
        </row>
        <row r="739">
          <cell r="C739" t="str">
            <v/>
          </cell>
          <cell r="X739">
            <v>0</v>
          </cell>
          <cell r="Y739">
            <v>0</v>
          </cell>
          <cell r="Z739">
            <v>0</v>
          </cell>
          <cell r="AA739">
            <v>0</v>
          </cell>
          <cell r="AB739">
            <v>0</v>
          </cell>
          <cell r="AF739">
            <v>0</v>
          </cell>
          <cell r="AG739">
            <v>0</v>
          </cell>
          <cell r="AH739">
            <v>0</v>
          </cell>
          <cell r="AI739">
            <v>0</v>
          </cell>
          <cell r="AJ739">
            <v>0</v>
          </cell>
          <cell r="BZ739" t="str">
            <v/>
          </cell>
        </row>
        <row r="740">
          <cell r="C740" t="str">
            <v/>
          </cell>
          <cell r="X740">
            <v>0</v>
          </cell>
          <cell r="Y740">
            <v>0</v>
          </cell>
          <cell r="Z740">
            <v>0</v>
          </cell>
          <cell r="AA740">
            <v>0</v>
          </cell>
          <cell r="AB740">
            <v>0</v>
          </cell>
          <cell r="AF740">
            <v>0</v>
          </cell>
          <cell r="AG740">
            <v>0</v>
          </cell>
          <cell r="AH740">
            <v>0</v>
          </cell>
          <cell r="AI740">
            <v>0</v>
          </cell>
          <cell r="AJ740">
            <v>0</v>
          </cell>
          <cell r="BZ740" t="str">
            <v/>
          </cell>
        </row>
        <row r="741">
          <cell r="C741" t="str">
            <v/>
          </cell>
          <cell r="X741">
            <v>0</v>
          </cell>
          <cell r="Y741">
            <v>0</v>
          </cell>
          <cell r="Z741">
            <v>0</v>
          </cell>
          <cell r="AA741">
            <v>0</v>
          </cell>
          <cell r="AB741">
            <v>0</v>
          </cell>
          <cell r="AF741">
            <v>0</v>
          </cell>
          <cell r="AG741">
            <v>0</v>
          </cell>
          <cell r="AH741">
            <v>0</v>
          </cell>
          <cell r="AI741">
            <v>0</v>
          </cell>
          <cell r="AJ741">
            <v>0</v>
          </cell>
          <cell r="BZ741" t="str">
            <v/>
          </cell>
        </row>
        <row r="742">
          <cell r="C742" t="str">
            <v/>
          </cell>
          <cell r="X742">
            <v>0</v>
          </cell>
          <cell r="Y742">
            <v>0</v>
          </cell>
          <cell r="Z742">
            <v>0</v>
          </cell>
          <cell r="AA742">
            <v>0</v>
          </cell>
          <cell r="AB742">
            <v>0</v>
          </cell>
          <cell r="AF742">
            <v>0</v>
          </cell>
          <cell r="AG742">
            <v>0</v>
          </cell>
          <cell r="AH742">
            <v>0</v>
          </cell>
          <cell r="AI742">
            <v>0</v>
          </cell>
          <cell r="AJ742">
            <v>0</v>
          </cell>
          <cell r="BZ742" t="str">
            <v/>
          </cell>
        </row>
        <row r="743">
          <cell r="C743" t="str">
            <v/>
          </cell>
          <cell r="X743">
            <v>0</v>
          </cell>
          <cell r="Y743">
            <v>0</v>
          </cell>
          <cell r="Z743">
            <v>0</v>
          </cell>
          <cell r="AA743">
            <v>0</v>
          </cell>
          <cell r="AB743">
            <v>0</v>
          </cell>
          <cell r="AF743">
            <v>0</v>
          </cell>
          <cell r="AG743">
            <v>0</v>
          </cell>
          <cell r="AH743">
            <v>0</v>
          </cell>
          <cell r="AI743">
            <v>0</v>
          </cell>
          <cell r="AJ743">
            <v>0</v>
          </cell>
          <cell r="BZ743" t="str">
            <v/>
          </cell>
        </row>
        <row r="744">
          <cell r="C744" t="str">
            <v/>
          </cell>
          <cell r="X744">
            <v>0</v>
          </cell>
          <cell r="Y744">
            <v>0</v>
          </cell>
          <cell r="Z744">
            <v>0</v>
          </cell>
          <cell r="AA744">
            <v>0</v>
          </cell>
          <cell r="AB744">
            <v>0</v>
          </cell>
          <cell r="AF744">
            <v>0</v>
          </cell>
          <cell r="AG744">
            <v>0</v>
          </cell>
          <cell r="AH744">
            <v>0</v>
          </cell>
          <cell r="AI744">
            <v>0</v>
          </cell>
          <cell r="AJ744">
            <v>0</v>
          </cell>
          <cell r="BZ744" t="str">
            <v/>
          </cell>
        </row>
        <row r="745">
          <cell r="C745" t="str">
            <v/>
          </cell>
          <cell r="X745">
            <v>0</v>
          </cell>
          <cell r="Y745">
            <v>0</v>
          </cell>
          <cell r="Z745">
            <v>0</v>
          </cell>
          <cell r="AA745">
            <v>0</v>
          </cell>
          <cell r="AB745">
            <v>0</v>
          </cell>
          <cell r="AF745">
            <v>0</v>
          </cell>
          <cell r="AG745">
            <v>0</v>
          </cell>
          <cell r="AH745">
            <v>0</v>
          </cell>
          <cell r="AI745">
            <v>0</v>
          </cell>
          <cell r="AJ745">
            <v>0</v>
          </cell>
          <cell r="BZ745" t="str">
            <v/>
          </cell>
        </row>
        <row r="746">
          <cell r="C746" t="str">
            <v/>
          </cell>
          <cell r="X746">
            <v>0</v>
          </cell>
          <cell r="Y746">
            <v>0</v>
          </cell>
          <cell r="Z746">
            <v>0</v>
          </cell>
          <cell r="AA746">
            <v>0</v>
          </cell>
          <cell r="AB746">
            <v>0</v>
          </cell>
          <cell r="AF746">
            <v>0</v>
          </cell>
          <cell r="AG746">
            <v>0</v>
          </cell>
          <cell r="AH746">
            <v>0</v>
          </cell>
          <cell r="AI746">
            <v>0</v>
          </cell>
          <cell r="AJ746">
            <v>0</v>
          </cell>
          <cell r="BZ746" t="str">
            <v/>
          </cell>
        </row>
        <row r="747">
          <cell r="C747" t="str">
            <v/>
          </cell>
          <cell r="X747">
            <v>0</v>
          </cell>
          <cell r="Y747">
            <v>0</v>
          </cell>
          <cell r="Z747">
            <v>0</v>
          </cell>
          <cell r="AA747">
            <v>0</v>
          </cell>
          <cell r="AB747">
            <v>0</v>
          </cell>
          <cell r="AF747">
            <v>0</v>
          </cell>
          <cell r="AG747">
            <v>0</v>
          </cell>
          <cell r="AH747">
            <v>0</v>
          </cell>
          <cell r="AI747">
            <v>0</v>
          </cell>
          <cell r="AJ747">
            <v>0</v>
          </cell>
          <cell r="BZ747" t="str">
            <v/>
          </cell>
        </row>
        <row r="748">
          <cell r="C748" t="str">
            <v/>
          </cell>
          <cell r="X748">
            <v>0</v>
          </cell>
          <cell r="Y748">
            <v>0</v>
          </cell>
          <cell r="Z748">
            <v>0</v>
          </cell>
          <cell r="AA748">
            <v>0</v>
          </cell>
          <cell r="AB748">
            <v>0</v>
          </cell>
          <cell r="AF748">
            <v>0</v>
          </cell>
          <cell r="AG748">
            <v>0</v>
          </cell>
          <cell r="AH748">
            <v>0</v>
          </cell>
          <cell r="AI748">
            <v>0</v>
          </cell>
          <cell r="AJ748">
            <v>0</v>
          </cell>
          <cell r="BZ748" t="str">
            <v/>
          </cell>
        </row>
        <row r="749">
          <cell r="C749" t="str">
            <v/>
          </cell>
          <cell r="X749">
            <v>0</v>
          </cell>
          <cell r="Y749">
            <v>0</v>
          </cell>
          <cell r="Z749">
            <v>0</v>
          </cell>
          <cell r="AA749">
            <v>0</v>
          </cell>
          <cell r="AB749">
            <v>0</v>
          </cell>
          <cell r="AF749">
            <v>0</v>
          </cell>
          <cell r="AG749">
            <v>0</v>
          </cell>
          <cell r="AH749">
            <v>0</v>
          </cell>
          <cell r="AI749">
            <v>0</v>
          </cell>
          <cell r="AJ749">
            <v>0</v>
          </cell>
          <cell r="BZ749" t="str">
            <v/>
          </cell>
        </row>
        <row r="750">
          <cell r="C750" t="str">
            <v/>
          </cell>
          <cell r="X750">
            <v>0</v>
          </cell>
          <cell r="Y750">
            <v>0</v>
          </cell>
          <cell r="Z750">
            <v>0</v>
          </cell>
          <cell r="AA750">
            <v>0</v>
          </cell>
          <cell r="AB750">
            <v>0</v>
          </cell>
          <cell r="AF750">
            <v>0</v>
          </cell>
          <cell r="AG750">
            <v>0</v>
          </cell>
          <cell r="AH750">
            <v>0</v>
          </cell>
          <cell r="AI750">
            <v>0</v>
          </cell>
          <cell r="AJ750">
            <v>0</v>
          </cell>
          <cell r="BZ750" t="str">
            <v/>
          </cell>
        </row>
        <row r="751">
          <cell r="C751" t="str">
            <v/>
          </cell>
          <cell r="X751">
            <v>0</v>
          </cell>
          <cell r="Y751">
            <v>0</v>
          </cell>
          <cell r="Z751">
            <v>0</v>
          </cell>
          <cell r="AA751">
            <v>0</v>
          </cell>
          <cell r="AB751">
            <v>0</v>
          </cell>
          <cell r="AF751">
            <v>0</v>
          </cell>
          <cell r="AG751">
            <v>0</v>
          </cell>
          <cell r="AH751">
            <v>0</v>
          </cell>
          <cell r="AI751">
            <v>0</v>
          </cell>
          <cell r="AJ751">
            <v>0</v>
          </cell>
          <cell r="BZ751" t="str">
            <v/>
          </cell>
        </row>
        <row r="752">
          <cell r="C752" t="str">
            <v/>
          </cell>
          <cell r="X752">
            <v>0</v>
          </cell>
          <cell r="Y752">
            <v>0</v>
          </cell>
          <cell r="Z752">
            <v>0</v>
          </cell>
          <cell r="AA752">
            <v>0</v>
          </cell>
          <cell r="AB752">
            <v>0</v>
          </cell>
          <cell r="AF752">
            <v>0</v>
          </cell>
          <cell r="AG752">
            <v>0</v>
          </cell>
          <cell r="AH752">
            <v>0</v>
          </cell>
          <cell r="AI752">
            <v>0</v>
          </cell>
          <cell r="AJ752">
            <v>0</v>
          </cell>
          <cell r="BZ752" t="str">
            <v/>
          </cell>
        </row>
        <row r="753">
          <cell r="C753" t="str">
            <v/>
          </cell>
          <cell r="X753">
            <v>0</v>
          </cell>
          <cell r="Y753">
            <v>0</v>
          </cell>
          <cell r="Z753">
            <v>0</v>
          </cell>
          <cell r="AA753">
            <v>0</v>
          </cell>
          <cell r="AB753">
            <v>0</v>
          </cell>
          <cell r="AF753">
            <v>0</v>
          </cell>
          <cell r="AG753">
            <v>0</v>
          </cell>
          <cell r="AH753">
            <v>0</v>
          </cell>
          <cell r="AI753">
            <v>0</v>
          </cell>
          <cell r="AJ753">
            <v>0</v>
          </cell>
          <cell r="BZ753" t="str">
            <v/>
          </cell>
        </row>
        <row r="754">
          <cell r="C754" t="str">
            <v/>
          </cell>
          <cell r="X754">
            <v>0</v>
          </cell>
          <cell r="Y754">
            <v>0</v>
          </cell>
          <cell r="Z754">
            <v>0</v>
          </cell>
          <cell r="AA754">
            <v>0</v>
          </cell>
          <cell r="AB754">
            <v>0</v>
          </cell>
          <cell r="AF754">
            <v>0</v>
          </cell>
          <cell r="AG754">
            <v>0</v>
          </cell>
          <cell r="AH754">
            <v>0</v>
          </cell>
          <cell r="AI754">
            <v>0</v>
          </cell>
          <cell r="AJ754">
            <v>0</v>
          </cell>
          <cell r="BZ754" t="str">
            <v/>
          </cell>
        </row>
        <row r="755">
          <cell r="C755" t="str">
            <v/>
          </cell>
          <cell r="X755">
            <v>0</v>
          </cell>
          <cell r="Y755">
            <v>0</v>
          </cell>
          <cell r="Z755">
            <v>0</v>
          </cell>
          <cell r="AA755">
            <v>0</v>
          </cell>
          <cell r="AB755">
            <v>0</v>
          </cell>
          <cell r="AF755">
            <v>0</v>
          </cell>
          <cell r="AG755">
            <v>0</v>
          </cell>
          <cell r="AH755">
            <v>0</v>
          </cell>
          <cell r="AI755">
            <v>0</v>
          </cell>
          <cell r="AJ755">
            <v>0</v>
          </cell>
          <cell r="BZ755" t="str">
            <v/>
          </cell>
        </row>
        <row r="756">
          <cell r="C756" t="str">
            <v/>
          </cell>
          <cell r="X756">
            <v>0</v>
          </cell>
          <cell r="Y756">
            <v>0</v>
          </cell>
          <cell r="Z756">
            <v>0</v>
          </cell>
          <cell r="AA756">
            <v>0</v>
          </cell>
          <cell r="AB756">
            <v>0</v>
          </cell>
          <cell r="AF756">
            <v>0</v>
          </cell>
          <cell r="AG756">
            <v>0</v>
          </cell>
          <cell r="AH756">
            <v>0</v>
          </cell>
          <cell r="AI756">
            <v>0</v>
          </cell>
          <cell r="AJ756">
            <v>0</v>
          </cell>
          <cell r="BZ756" t="str">
            <v/>
          </cell>
        </row>
        <row r="757">
          <cell r="C757" t="str">
            <v/>
          </cell>
          <cell r="X757">
            <v>0</v>
          </cell>
          <cell r="Y757">
            <v>0</v>
          </cell>
          <cell r="Z757">
            <v>0</v>
          </cell>
          <cell r="AA757">
            <v>0</v>
          </cell>
          <cell r="AB757">
            <v>0</v>
          </cell>
          <cell r="AF757">
            <v>0</v>
          </cell>
          <cell r="AG757">
            <v>0</v>
          </cell>
          <cell r="AH757">
            <v>0</v>
          </cell>
          <cell r="AI757">
            <v>0</v>
          </cell>
          <cell r="AJ757">
            <v>0</v>
          </cell>
          <cell r="BZ757" t="str">
            <v/>
          </cell>
        </row>
        <row r="758">
          <cell r="C758" t="str">
            <v/>
          </cell>
          <cell r="X758">
            <v>0</v>
          </cell>
          <cell r="Y758">
            <v>0</v>
          </cell>
          <cell r="Z758">
            <v>0</v>
          </cell>
          <cell r="AA758">
            <v>0</v>
          </cell>
          <cell r="AB758">
            <v>0</v>
          </cell>
          <cell r="AF758">
            <v>0</v>
          </cell>
          <cell r="AG758">
            <v>0</v>
          </cell>
          <cell r="AH758">
            <v>0</v>
          </cell>
          <cell r="AI758">
            <v>0</v>
          </cell>
          <cell r="AJ758">
            <v>0</v>
          </cell>
          <cell r="BZ758" t="str">
            <v/>
          </cell>
        </row>
        <row r="759">
          <cell r="C759" t="str">
            <v/>
          </cell>
          <cell r="X759">
            <v>0</v>
          </cell>
          <cell r="Y759">
            <v>0</v>
          </cell>
          <cell r="Z759">
            <v>0</v>
          </cell>
          <cell r="AA759">
            <v>0</v>
          </cell>
          <cell r="AB759">
            <v>0</v>
          </cell>
          <cell r="AF759">
            <v>0</v>
          </cell>
          <cell r="AG759">
            <v>0</v>
          </cell>
          <cell r="AH759">
            <v>0</v>
          </cell>
          <cell r="AI759">
            <v>0</v>
          </cell>
          <cell r="AJ759">
            <v>0</v>
          </cell>
          <cell r="BZ759" t="str">
            <v/>
          </cell>
        </row>
        <row r="760">
          <cell r="C760" t="str">
            <v/>
          </cell>
          <cell r="X760">
            <v>0</v>
          </cell>
          <cell r="Y760">
            <v>0</v>
          </cell>
          <cell r="Z760">
            <v>0</v>
          </cell>
          <cell r="AA760">
            <v>0</v>
          </cell>
          <cell r="AB760">
            <v>0</v>
          </cell>
          <cell r="AF760">
            <v>0</v>
          </cell>
          <cell r="AG760">
            <v>0</v>
          </cell>
          <cell r="AH760">
            <v>0</v>
          </cell>
          <cell r="AI760">
            <v>0</v>
          </cell>
          <cell r="AJ760">
            <v>0</v>
          </cell>
          <cell r="BZ760" t="str">
            <v/>
          </cell>
        </row>
        <row r="761">
          <cell r="C761" t="str">
            <v/>
          </cell>
          <cell r="X761">
            <v>0</v>
          </cell>
          <cell r="Y761">
            <v>0</v>
          </cell>
          <cell r="Z761">
            <v>0</v>
          </cell>
          <cell r="AA761">
            <v>0</v>
          </cell>
          <cell r="AB761">
            <v>0</v>
          </cell>
          <cell r="AF761">
            <v>0</v>
          </cell>
          <cell r="AG761">
            <v>0</v>
          </cell>
          <cell r="AH761">
            <v>0</v>
          </cell>
          <cell r="AI761">
            <v>0</v>
          </cell>
          <cell r="AJ761">
            <v>0</v>
          </cell>
          <cell r="BZ761" t="str">
            <v/>
          </cell>
        </row>
        <row r="762">
          <cell r="C762" t="str">
            <v/>
          </cell>
          <cell r="X762">
            <v>0</v>
          </cell>
          <cell r="Y762">
            <v>0</v>
          </cell>
          <cell r="Z762">
            <v>0</v>
          </cell>
          <cell r="AA762">
            <v>0</v>
          </cell>
          <cell r="AB762">
            <v>0</v>
          </cell>
          <cell r="AF762">
            <v>0</v>
          </cell>
          <cell r="AG762">
            <v>0</v>
          </cell>
          <cell r="AH762">
            <v>0</v>
          </cell>
          <cell r="AI762">
            <v>0</v>
          </cell>
          <cell r="AJ762">
            <v>0</v>
          </cell>
          <cell r="BZ762" t="str">
            <v/>
          </cell>
        </row>
        <row r="763">
          <cell r="C763" t="str">
            <v/>
          </cell>
          <cell r="X763">
            <v>0</v>
          </cell>
          <cell r="Y763">
            <v>0</v>
          </cell>
          <cell r="Z763">
            <v>0</v>
          </cell>
          <cell r="AA763">
            <v>0</v>
          </cell>
          <cell r="AB763">
            <v>0</v>
          </cell>
          <cell r="AF763">
            <v>0</v>
          </cell>
          <cell r="AG763">
            <v>0</v>
          </cell>
          <cell r="AH763">
            <v>0</v>
          </cell>
          <cell r="AI763">
            <v>0</v>
          </cell>
          <cell r="AJ763">
            <v>0</v>
          </cell>
          <cell r="BZ763" t="str">
            <v/>
          </cell>
        </row>
        <row r="764">
          <cell r="C764" t="str">
            <v/>
          </cell>
          <cell r="X764">
            <v>0</v>
          </cell>
          <cell r="Y764">
            <v>0</v>
          </cell>
          <cell r="Z764">
            <v>0</v>
          </cell>
          <cell r="AA764">
            <v>0</v>
          </cell>
          <cell r="AB764">
            <v>0</v>
          </cell>
          <cell r="AF764">
            <v>0</v>
          </cell>
          <cell r="AG764">
            <v>0</v>
          </cell>
          <cell r="AH764">
            <v>0</v>
          </cell>
          <cell r="AI764">
            <v>0</v>
          </cell>
          <cell r="AJ764">
            <v>0</v>
          </cell>
          <cell r="BZ764" t="str">
            <v/>
          </cell>
        </row>
        <row r="765">
          <cell r="C765" t="str">
            <v/>
          </cell>
          <cell r="X765">
            <v>0</v>
          </cell>
          <cell r="Y765">
            <v>0</v>
          </cell>
          <cell r="Z765">
            <v>0</v>
          </cell>
          <cell r="AA765">
            <v>0</v>
          </cell>
          <cell r="AB765">
            <v>0</v>
          </cell>
          <cell r="AF765">
            <v>0</v>
          </cell>
          <cell r="AG765">
            <v>0</v>
          </cell>
          <cell r="AH765">
            <v>0</v>
          </cell>
          <cell r="AI765">
            <v>0</v>
          </cell>
          <cell r="AJ765">
            <v>0</v>
          </cell>
          <cell r="BZ765" t="str">
            <v/>
          </cell>
        </row>
        <row r="766">
          <cell r="C766" t="str">
            <v/>
          </cell>
          <cell r="X766">
            <v>0</v>
          </cell>
          <cell r="Y766">
            <v>0</v>
          </cell>
          <cell r="Z766">
            <v>0</v>
          </cell>
          <cell r="AA766">
            <v>0</v>
          </cell>
          <cell r="AB766">
            <v>0</v>
          </cell>
          <cell r="AF766">
            <v>0</v>
          </cell>
          <cell r="AG766">
            <v>0</v>
          </cell>
          <cell r="AH766">
            <v>0</v>
          </cell>
          <cell r="AI766">
            <v>0</v>
          </cell>
          <cell r="AJ766">
            <v>0</v>
          </cell>
          <cell r="BZ766" t="str">
            <v/>
          </cell>
        </row>
        <row r="767">
          <cell r="C767" t="str">
            <v/>
          </cell>
          <cell r="X767">
            <v>0</v>
          </cell>
          <cell r="Y767">
            <v>0</v>
          </cell>
          <cell r="Z767">
            <v>0</v>
          </cell>
          <cell r="AA767">
            <v>0</v>
          </cell>
          <cell r="AB767">
            <v>0</v>
          </cell>
          <cell r="AF767">
            <v>0</v>
          </cell>
          <cell r="AG767">
            <v>0</v>
          </cell>
          <cell r="AH767">
            <v>0</v>
          </cell>
          <cell r="AI767">
            <v>0</v>
          </cell>
          <cell r="AJ767">
            <v>0</v>
          </cell>
          <cell r="BZ767" t="str">
            <v/>
          </cell>
        </row>
        <row r="768">
          <cell r="C768" t="str">
            <v/>
          </cell>
          <cell r="X768">
            <v>0</v>
          </cell>
          <cell r="Y768">
            <v>0</v>
          </cell>
          <cell r="Z768">
            <v>0</v>
          </cell>
          <cell r="AA768">
            <v>0</v>
          </cell>
          <cell r="AB768">
            <v>0</v>
          </cell>
          <cell r="AF768">
            <v>0</v>
          </cell>
          <cell r="AG768">
            <v>0</v>
          </cell>
          <cell r="AH768">
            <v>0</v>
          </cell>
          <cell r="AI768">
            <v>0</v>
          </cell>
          <cell r="AJ768">
            <v>0</v>
          </cell>
          <cell r="BZ768" t="str">
            <v/>
          </cell>
        </row>
        <row r="769">
          <cell r="C769" t="str">
            <v/>
          </cell>
          <cell r="X769">
            <v>0</v>
          </cell>
          <cell r="Y769">
            <v>0</v>
          </cell>
          <cell r="Z769">
            <v>0</v>
          </cell>
          <cell r="AA769">
            <v>0</v>
          </cell>
          <cell r="AB769">
            <v>0</v>
          </cell>
          <cell r="AF769">
            <v>0</v>
          </cell>
          <cell r="AG769">
            <v>0</v>
          </cell>
          <cell r="AH769">
            <v>0</v>
          </cell>
          <cell r="AI769">
            <v>0</v>
          </cell>
          <cell r="AJ769">
            <v>0</v>
          </cell>
          <cell r="BZ769" t="str">
            <v/>
          </cell>
        </row>
        <row r="770">
          <cell r="C770" t="str">
            <v/>
          </cell>
          <cell r="X770">
            <v>0</v>
          </cell>
          <cell r="Y770">
            <v>0</v>
          </cell>
          <cell r="Z770">
            <v>0</v>
          </cell>
          <cell r="AA770">
            <v>0</v>
          </cell>
          <cell r="AB770">
            <v>0</v>
          </cell>
          <cell r="AF770">
            <v>0</v>
          </cell>
          <cell r="AG770">
            <v>0</v>
          </cell>
          <cell r="AH770">
            <v>0</v>
          </cell>
          <cell r="AI770">
            <v>0</v>
          </cell>
          <cell r="AJ770">
            <v>0</v>
          </cell>
          <cell r="BZ770" t="str">
            <v/>
          </cell>
        </row>
        <row r="771">
          <cell r="C771" t="str">
            <v/>
          </cell>
          <cell r="X771">
            <v>0</v>
          </cell>
          <cell r="Y771">
            <v>0</v>
          </cell>
          <cell r="Z771">
            <v>0</v>
          </cell>
          <cell r="AA771">
            <v>0</v>
          </cell>
          <cell r="AB771">
            <v>0</v>
          </cell>
          <cell r="AF771">
            <v>0</v>
          </cell>
          <cell r="AG771">
            <v>0</v>
          </cell>
          <cell r="AH771">
            <v>0</v>
          </cell>
          <cell r="AI771">
            <v>0</v>
          </cell>
          <cell r="AJ771">
            <v>0</v>
          </cell>
          <cell r="BZ771" t="str">
            <v/>
          </cell>
        </row>
        <row r="772">
          <cell r="C772" t="str">
            <v/>
          </cell>
          <cell r="X772">
            <v>0</v>
          </cell>
          <cell r="Y772">
            <v>0</v>
          </cell>
          <cell r="Z772">
            <v>0</v>
          </cell>
          <cell r="AA772">
            <v>0</v>
          </cell>
          <cell r="AB772">
            <v>0</v>
          </cell>
          <cell r="AF772">
            <v>0</v>
          </cell>
          <cell r="AG772">
            <v>0</v>
          </cell>
          <cell r="AH772">
            <v>0</v>
          </cell>
          <cell r="AI772">
            <v>0</v>
          </cell>
          <cell r="AJ772">
            <v>0</v>
          </cell>
          <cell r="BZ772" t="str">
            <v/>
          </cell>
        </row>
        <row r="773">
          <cell r="C773" t="str">
            <v/>
          </cell>
          <cell r="X773">
            <v>0</v>
          </cell>
          <cell r="Y773">
            <v>0</v>
          </cell>
          <cell r="Z773">
            <v>0</v>
          </cell>
          <cell r="AA773">
            <v>0</v>
          </cell>
          <cell r="AB773">
            <v>0</v>
          </cell>
          <cell r="AF773">
            <v>0</v>
          </cell>
          <cell r="AG773">
            <v>0</v>
          </cell>
          <cell r="AH773">
            <v>0</v>
          </cell>
          <cell r="AI773">
            <v>0</v>
          </cell>
          <cell r="AJ773">
            <v>0</v>
          </cell>
          <cell r="BZ773" t="str">
            <v/>
          </cell>
        </row>
        <row r="774">
          <cell r="C774" t="str">
            <v/>
          </cell>
          <cell r="X774">
            <v>0</v>
          </cell>
          <cell r="Y774">
            <v>0</v>
          </cell>
          <cell r="Z774">
            <v>0</v>
          </cell>
          <cell r="AA774">
            <v>0</v>
          </cell>
          <cell r="AB774">
            <v>0</v>
          </cell>
          <cell r="AF774">
            <v>0</v>
          </cell>
          <cell r="AG774">
            <v>0</v>
          </cell>
          <cell r="AH774">
            <v>0</v>
          </cell>
          <cell r="AI774">
            <v>0</v>
          </cell>
          <cell r="AJ774">
            <v>0</v>
          </cell>
          <cell r="BZ774" t="str">
            <v/>
          </cell>
        </row>
        <row r="775">
          <cell r="C775" t="str">
            <v/>
          </cell>
          <cell r="X775">
            <v>0</v>
          </cell>
          <cell r="Y775">
            <v>0</v>
          </cell>
          <cell r="Z775">
            <v>0</v>
          </cell>
          <cell r="AA775">
            <v>0</v>
          </cell>
          <cell r="AB775">
            <v>0</v>
          </cell>
          <cell r="AF775">
            <v>0</v>
          </cell>
          <cell r="AG775">
            <v>0</v>
          </cell>
          <cell r="AH775">
            <v>0</v>
          </cell>
          <cell r="AI775">
            <v>0</v>
          </cell>
          <cell r="AJ775">
            <v>0</v>
          </cell>
          <cell r="BZ775" t="str">
            <v/>
          </cell>
        </row>
        <row r="776">
          <cell r="C776" t="str">
            <v/>
          </cell>
          <cell r="X776">
            <v>0</v>
          </cell>
          <cell r="Y776">
            <v>0</v>
          </cell>
          <cell r="Z776">
            <v>0</v>
          </cell>
          <cell r="AA776">
            <v>0</v>
          </cell>
          <cell r="AB776">
            <v>0</v>
          </cell>
          <cell r="AF776">
            <v>0</v>
          </cell>
          <cell r="AG776">
            <v>0</v>
          </cell>
          <cell r="AH776">
            <v>0</v>
          </cell>
          <cell r="AI776">
            <v>0</v>
          </cell>
          <cell r="AJ776">
            <v>0</v>
          </cell>
          <cell r="BZ776" t="str">
            <v/>
          </cell>
        </row>
        <row r="777">
          <cell r="C777" t="str">
            <v/>
          </cell>
          <cell r="X777">
            <v>0</v>
          </cell>
          <cell r="Y777">
            <v>0</v>
          </cell>
          <cell r="Z777">
            <v>0</v>
          </cell>
          <cell r="AA777">
            <v>0</v>
          </cell>
          <cell r="AB777">
            <v>0</v>
          </cell>
          <cell r="AF777">
            <v>0</v>
          </cell>
          <cell r="AG777">
            <v>0</v>
          </cell>
          <cell r="AH777">
            <v>0</v>
          </cell>
          <cell r="AI777">
            <v>0</v>
          </cell>
          <cell r="AJ777">
            <v>0</v>
          </cell>
          <cell r="BZ777" t="str">
            <v/>
          </cell>
        </row>
        <row r="778">
          <cell r="C778" t="str">
            <v/>
          </cell>
          <cell r="X778">
            <v>0</v>
          </cell>
          <cell r="Y778">
            <v>0</v>
          </cell>
          <cell r="Z778">
            <v>0</v>
          </cell>
          <cell r="AA778">
            <v>0</v>
          </cell>
          <cell r="AB778">
            <v>0</v>
          </cell>
          <cell r="AF778">
            <v>0</v>
          </cell>
          <cell r="AG778">
            <v>0</v>
          </cell>
          <cell r="AH778">
            <v>0</v>
          </cell>
          <cell r="AI778">
            <v>0</v>
          </cell>
          <cell r="AJ778">
            <v>0</v>
          </cell>
          <cell r="BZ778" t="str">
            <v/>
          </cell>
        </row>
        <row r="779">
          <cell r="C779" t="str">
            <v/>
          </cell>
          <cell r="X779">
            <v>0</v>
          </cell>
          <cell r="Y779">
            <v>0</v>
          </cell>
          <cell r="Z779">
            <v>0</v>
          </cell>
          <cell r="AA779">
            <v>0</v>
          </cell>
          <cell r="AB779">
            <v>0</v>
          </cell>
          <cell r="AF779">
            <v>0</v>
          </cell>
          <cell r="AG779">
            <v>0</v>
          </cell>
          <cell r="AH779">
            <v>0</v>
          </cell>
          <cell r="AI779">
            <v>0</v>
          </cell>
          <cell r="AJ779">
            <v>0</v>
          </cell>
          <cell r="BZ779" t="str">
            <v/>
          </cell>
        </row>
        <row r="780">
          <cell r="C780" t="str">
            <v/>
          </cell>
          <cell r="X780">
            <v>0</v>
          </cell>
          <cell r="Y780">
            <v>0</v>
          </cell>
          <cell r="Z780">
            <v>0</v>
          </cell>
          <cell r="AA780">
            <v>0</v>
          </cell>
          <cell r="AB780">
            <v>0</v>
          </cell>
          <cell r="AF780">
            <v>0</v>
          </cell>
          <cell r="AG780">
            <v>0</v>
          </cell>
          <cell r="AH780">
            <v>0</v>
          </cell>
          <cell r="AI780">
            <v>0</v>
          </cell>
          <cell r="AJ780">
            <v>0</v>
          </cell>
          <cell r="BZ780" t="str">
            <v/>
          </cell>
        </row>
        <row r="781">
          <cell r="C781" t="str">
            <v/>
          </cell>
          <cell r="X781">
            <v>0</v>
          </cell>
          <cell r="Y781">
            <v>0</v>
          </cell>
          <cell r="Z781">
            <v>0</v>
          </cell>
          <cell r="AA781">
            <v>0</v>
          </cell>
          <cell r="AB781">
            <v>0</v>
          </cell>
          <cell r="AF781">
            <v>0</v>
          </cell>
          <cell r="AG781">
            <v>0</v>
          </cell>
          <cell r="AH781">
            <v>0</v>
          </cell>
          <cell r="AI781">
            <v>0</v>
          </cell>
          <cell r="AJ781">
            <v>0</v>
          </cell>
          <cell r="BZ781" t="str">
            <v/>
          </cell>
        </row>
        <row r="782">
          <cell r="C782" t="str">
            <v/>
          </cell>
          <cell r="X782">
            <v>0</v>
          </cell>
          <cell r="Y782">
            <v>0</v>
          </cell>
          <cell r="Z782">
            <v>0</v>
          </cell>
          <cell r="AA782">
            <v>0</v>
          </cell>
          <cell r="AB782">
            <v>0</v>
          </cell>
          <cell r="AF782">
            <v>0</v>
          </cell>
          <cell r="AG782">
            <v>0</v>
          </cell>
          <cell r="AH782">
            <v>0</v>
          </cell>
          <cell r="AI782">
            <v>0</v>
          </cell>
          <cell r="AJ782">
            <v>0</v>
          </cell>
          <cell r="BZ782" t="str">
            <v/>
          </cell>
        </row>
        <row r="783">
          <cell r="C783" t="str">
            <v/>
          </cell>
          <cell r="X783">
            <v>0</v>
          </cell>
          <cell r="Y783">
            <v>0</v>
          </cell>
          <cell r="Z783">
            <v>0</v>
          </cell>
          <cell r="AA783">
            <v>0</v>
          </cell>
          <cell r="AB783">
            <v>0</v>
          </cell>
          <cell r="AF783">
            <v>0</v>
          </cell>
          <cell r="AG783">
            <v>0</v>
          </cell>
          <cell r="AH783">
            <v>0</v>
          </cell>
          <cell r="AI783">
            <v>0</v>
          </cell>
          <cell r="AJ783">
            <v>0</v>
          </cell>
          <cell r="BZ783" t="str">
            <v/>
          </cell>
        </row>
        <row r="784">
          <cell r="C784" t="str">
            <v/>
          </cell>
          <cell r="X784">
            <v>0</v>
          </cell>
          <cell r="Y784">
            <v>0</v>
          </cell>
          <cell r="Z784">
            <v>0</v>
          </cell>
          <cell r="AA784">
            <v>0</v>
          </cell>
          <cell r="AB784">
            <v>0</v>
          </cell>
          <cell r="AF784">
            <v>0</v>
          </cell>
          <cell r="AG784">
            <v>0</v>
          </cell>
          <cell r="AH784">
            <v>0</v>
          </cell>
          <cell r="AI784">
            <v>0</v>
          </cell>
          <cell r="AJ784">
            <v>0</v>
          </cell>
          <cell r="BZ784" t="str">
            <v/>
          </cell>
        </row>
        <row r="785">
          <cell r="C785" t="str">
            <v/>
          </cell>
          <cell r="X785">
            <v>0</v>
          </cell>
          <cell r="Y785">
            <v>0</v>
          </cell>
          <cell r="Z785">
            <v>0</v>
          </cell>
          <cell r="AA785">
            <v>0</v>
          </cell>
          <cell r="AB785">
            <v>0</v>
          </cell>
          <cell r="AF785">
            <v>0</v>
          </cell>
          <cell r="AG785">
            <v>0</v>
          </cell>
          <cell r="AH785">
            <v>0</v>
          </cell>
          <cell r="AI785">
            <v>0</v>
          </cell>
          <cell r="AJ785">
            <v>0</v>
          </cell>
          <cell r="BZ785" t="str">
            <v/>
          </cell>
        </row>
        <row r="786">
          <cell r="C786" t="str">
            <v/>
          </cell>
          <cell r="X786">
            <v>0</v>
          </cell>
          <cell r="Y786">
            <v>0</v>
          </cell>
          <cell r="Z786">
            <v>0</v>
          </cell>
          <cell r="AA786">
            <v>0</v>
          </cell>
          <cell r="AB786">
            <v>0</v>
          </cell>
          <cell r="AF786">
            <v>0</v>
          </cell>
          <cell r="AG786">
            <v>0</v>
          </cell>
          <cell r="AH786">
            <v>0</v>
          </cell>
          <cell r="AI786">
            <v>0</v>
          </cell>
          <cell r="AJ786">
            <v>0</v>
          </cell>
          <cell r="BZ786" t="str">
            <v/>
          </cell>
        </row>
        <row r="787">
          <cell r="C787" t="str">
            <v/>
          </cell>
          <cell r="X787">
            <v>0</v>
          </cell>
          <cell r="Y787">
            <v>0</v>
          </cell>
          <cell r="Z787">
            <v>0</v>
          </cell>
          <cell r="AA787">
            <v>0</v>
          </cell>
          <cell r="AB787">
            <v>0</v>
          </cell>
          <cell r="AF787">
            <v>0</v>
          </cell>
          <cell r="AG787">
            <v>0</v>
          </cell>
          <cell r="AH787">
            <v>0</v>
          </cell>
          <cell r="AI787">
            <v>0</v>
          </cell>
          <cell r="AJ787">
            <v>0</v>
          </cell>
          <cell r="BZ787" t="str">
            <v/>
          </cell>
        </row>
        <row r="788">
          <cell r="C788" t="str">
            <v/>
          </cell>
          <cell r="X788">
            <v>0</v>
          </cell>
          <cell r="Y788">
            <v>0</v>
          </cell>
          <cell r="Z788">
            <v>0</v>
          </cell>
          <cell r="AA788">
            <v>0</v>
          </cell>
          <cell r="AB788">
            <v>0</v>
          </cell>
          <cell r="AF788">
            <v>0</v>
          </cell>
          <cell r="AG788">
            <v>0</v>
          </cell>
          <cell r="AH788">
            <v>0</v>
          </cell>
          <cell r="AI788">
            <v>0</v>
          </cell>
          <cell r="AJ788">
            <v>0</v>
          </cell>
          <cell r="BZ788" t="str">
            <v/>
          </cell>
        </row>
        <row r="789">
          <cell r="C789" t="str">
            <v/>
          </cell>
          <cell r="X789">
            <v>0</v>
          </cell>
          <cell r="Y789">
            <v>0</v>
          </cell>
          <cell r="Z789">
            <v>0</v>
          </cell>
          <cell r="AA789">
            <v>0</v>
          </cell>
          <cell r="AB789">
            <v>0</v>
          </cell>
          <cell r="AF789">
            <v>0</v>
          </cell>
          <cell r="AG789">
            <v>0</v>
          </cell>
          <cell r="AH789">
            <v>0</v>
          </cell>
          <cell r="AI789">
            <v>0</v>
          </cell>
          <cell r="AJ789">
            <v>0</v>
          </cell>
          <cell r="BZ789" t="str">
            <v/>
          </cell>
        </row>
        <row r="790">
          <cell r="C790" t="str">
            <v/>
          </cell>
          <cell r="X790">
            <v>0</v>
          </cell>
          <cell r="Y790">
            <v>0</v>
          </cell>
          <cell r="Z790">
            <v>0</v>
          </cell>
          <cell r="AA790">
            <v>0</v>
          </cell>
          <cell r="AB790">
            <v>0</v>
          </cell>
          <cell r="AF790">
            <v>0</v>
          </cell>
          <cell r="AG790">
            <v>0</v>
          </cell>
          <cell r="AH790">
            <v>0</v>
          </cell>
          <cell r="AI790">
            <v>0</v>
          </cell>
          <cell r="AJ790">
            <v>0</v>
          </cell>
          <cell r="BZ790" t="str">
            <v/>
          </cell>
        </row>
        <row r="791">
          <cell r="C791" t="str">
            <v/>
          </cell>
          <cell r="X791">
            <v>0</v>
          </cell>
          <cell r="Y791">
            <v>0</v>
          </cell>
          <cell r="Z791">
            <v>0</v>
          </cell>
          <cell r="AA791">
            <v>0</v>
          </cell>
          <cell r="AB791">
            <v>0</v>
          </cell>
          <cell r="AF791">
            <v>0</v>
          </cell>
          <cell r="AG791">
            <v>0</v>
          </cell>
          <cell r="AH791">
            <v>0</v>
          </cell>
          <cell r="AI791">
            <v>0</v>
          </cell>
          <cell r="AJ791">
            <v>0</v>
          </cell>
          <cell r="BZ791" t="str">
            <v/>
          </cell>
        </row>
        <row r="792">
          <cell r="C792" t="str">
            <v/>
          </cell>
          <cell r="X792">
            <v>0</v>
          </cell>
          <cell r="Y792">
            <v>0</v>
          </cell>
          <cell r="Z792">
            <v>0</v>
          </cell>
          <cell r="AA792">
            <v>0</v>
          </cell>
          <cell r="AB792">
            <v>0</v>
          </cell>
          <cell r="AF792">
            <v>0</v>
          </cell>
          <cell r="AG792">
            <v>0</v>
          </cell>
          <cell r="AH792">
            <v>0</v>
          </cell>
          <cell r="AI792">
            <v>0</v>
          </cell>
          <cell r="AJ792">
            <v>0</v>
          </cell>
          <cell r="BZ792" t="str">
            <v/>
          </cell>
        </row>
        <row r="793">
          <cell r="C793" t="str">
            <v/>
          </cell>
          <cell r="X793">
            <v>0</v>
          </cell>
          <cell r="Y793">
            <v>0</v>
          </cell>
          <cell r="Z793">
            <v>0</v>
          </cell>
          <cell r="AA793">
            <v>0</v>
          </cell>
          <cell r="AB793">
            <v>0</v>
          </cell>
          <cell r="AF793">
            <v>0</v>
          </cell>
          <cell r="AG793">
            <v>0</v>
          </cell>
          <cell r="AH793">
            <v>0</v>
          </cell>
          <cell r="AI793">
            <v>0</v>
          </cell>
          <cell r="AJ793">
            <v>0</v>
          </cell>
          <cell r="BZ793" t="str">
            <v/>
          </cell>
        </row>
        <row r="794">
          <cell r="C794" t="str">
            <v/>
          </cell>
          <cell r="X794">
            <v>0</v>
          </cell>
          <cell r="Y794">
            <v>0</v>
          </cell>
          <cell r="Z794">
            <v>0</v>
          </cell>
          <cell r="AA794">
            <v>0</v>
          </cell>
          <cell r="AB794">
            <v>0</v>
          </cell>
          <cell r="AF794">
            <v>0</v>
          </cell>
          <cell r="AG794">
            <v>0</v>
          </cell>
          <cell r="AH794">
            <v>0</v>
          </cell>
          <cell r="AI794">
            <v>0</v>
          </cell>
          <cell r="AJ794">
            <v>0</v>
          </cell>
          <cell r="BZ794" t="str">
            <v/>
          </cell>
        </row>
        <row r="795">
          <cell r="C795" t="str">
            <v/>
          </cell>
          <cell r="X795">
            <v>0</v>
          </cell>
          <cell r="Y795">
            <v>0</v>
          </cell>
          <cell r="Z795">
            <v>0</v>
          </cell>
          <cell r="AA795">
            <v>0</v>
          </cell>
          <cell r="AB795">
            <v>0</v>
          </cell>
          <cell r="AF795">
            <v>0</v>
          </cell>
          <cell r="AG795">
            <v>0</v>
          </cell>
          <cell r="AH795">
            <v>0</v>
          </cell>
          <cell r="AI795">
            <v>0</v>
          </cell>
          <cell r="AJ795">
            <v>0</v>
          </cell>
          <cell r="BZ795" t="str">
            <v/>
          </cell>
        </row>
        <row r="796">
          <cell r="C796" t="str">
            <v/>
          </cell>
          <cell r="X796">
            <v>0</v>
          </cell>
          <cell r="Y796">
            <v>0</v>
          </cell>
          <cell r="Z796">
            <v>0</v>
          </cell>
          <cell r="AA796">
            <v>0</v>
          </cell>
          <cell r="AB796">
            <v>0</v>
          </cell>
          <cell r="AF796">
            <v>0</v>
          </cell>
          <cell r="AG796">
            <v>0</v>
          </cell>
          <cell r="AH796">
            <v>0</v>
          </cell>
          <cell r="AI796">
            <v>0</v>
          </cell>
          <cell r="AJ796">
            <v>0</v>
          </cell>
          <cell r="BZ796" t="str">
            <v/>
          </cell>
        </row>
        <row r="797">
          <cell r="C797" t="str">
            <v/>
          </cell>
          <cell r="X797">
            <v>0</v>
          </cell>
          <cell r="Y797">
            <v>0</v>
          </cell>
          <cell r="Z797">
            <v>0</v>
          </cell>
          <cell r="AA797">
            <v>0</v>
          </cell>
          <cell r="AB797">
            <v>0</v>
          </cell>
          <cell r="AF797">
            <v>0</v>
          </cell>
          <cell r="AG797">
            <v>0</v>
          </cell>
          <cell r="AH797">
            <v>0</v>
          </cell>
          <cell r="AI797">
            <v>0</v>
          </cell>
          <cell r="AJ797">
            <v>0</v>
          </cell>
          <cell r="BZ797" t="str">
            <v/>
          </cell>
        </row>
        <row r="798">
          <cell r="C798" t="str">
            <v/>
          </cell>
          <cell r="X798">
            <v>0</v>
          </cell>
          <cell r="Y798">
            <v>0</v>
          </cell>
          <cell r="Z798">
            <v>0</v>
          </cell>
          <cell r="AA798">
            <v>0</v>
          </cell>
          <cell r="AB798">
            <v>0</v>
          </cell>
          <cell r="AF798">
            <v>0</v>
          </cell>
          <cell r="AG798">
            <v>0</v>
          </cell>
          <cell r="AH798">
            <v>0</v>
          </cell>
          <cell r="AI798">
            <v>0</v>
          </cell>
          <cell r="AJ798">
            <v>0</v>
          </cell>
          <cell r="BZ798" t="str">
            <v/>
          </cell>
        </row>
        <row r="799">
          <cell r="C799" t="str">
            <v/>
          </cell>
          <cell r="X799">
            <v>0</v>
          </cell>
          <cell r="Y799">
            <v>0</v>
          </cell>
          <cell r="Z799">
            <v>0</v>
          </cell>
          <cell r="AA799">
            <v>0</v>
          </cell>
          <cell r="AB799">
            <v>0</v>
          </cell>
          <cell r="AF799">
            <v>0</v>
          </cell>
          <cell r="AG799">
            <v>0</v>
          </cell>
          <cell r="AH799">
            <v>0</v>
          </cell>
          <cell r="AI799">
            <v>0</v>
          </cell>
          <cell r="AJ799">
            <v>0</v>
          </cell>
          <cell r="BZ799" t="str">
            <v/>
          </cell>
        </row>
        <row r="800">
          <cell r="C800" t="str">
            <v/>
          </cell>
          <cell r="X800">
            <v>0</v>
          </cell>
          <cell r="Y800">
            <v>0</v>
          </cell>
          <cell r="Z800">
            <v>0</v>
          </cell>
          <cell r="AA800">
            <v>0</v>
          </cell>
          <cell r="AB800">
            <v>0</v>
          </cell>
          <cell r="AF800">
            <v>0</v>
          </cell>
          <cell r="AG800">
            <v>0</v>
          </cell>
          <cell r="AH800">
            <v>0</v>
          </cell>
          <cell r="AI800">
            <v>0</v>
          </cell>
          <cell r="AJ800">
            <v>0</v>
          </cell>
          <cell r="BZ800" t="str">
            <v/>
          </cell>
        </row>
        <row r="801">
          <cell r="C801" t="str">
            <v/>
          </cell>
          <cell r="X801">
            <v>0</v>
          </cell>
          <cell r="Y801">
            <v>0</v>
          </cell>
          <cell r="Z801">
            <v>0</v>
          </cell>
          <cell r="AA801">
            <v>0</v>
          </cell>
          <cell r="AB801">
            <v>0</v>
          </cell>
          <cell r="AF801">
            <v>0</v>
          </cell>
          <cell r="AG801">
            <v>0</v>
          </cell>
          <cell r="AH801">
            <v>0</v>
          </cell>
          <cell r="AI801">
            <v>0</v>
          </cell>
          <cell r="AJ801">
            <v>0</v>
          </cell>
          <cell r="BZ801" t="str">
            <v/>
          </cell>
        </row>
        <row r="802">
          <cell r="C802" t="str">
            <v/>
          </cell>
          <cell r="X802">
            <v>0</v>
          </cell>
          <cell r="Y802">
            <v>0</v>
          </cell>
          <cell r="Z802">
            <v>0</v>
          </cell>
          <cell r="AA802">
            <v>0</v>
          </cell>
          <cell r="AB802">
            <v>0</v>
          </cell>
          <cell r="AF802">
            <v>0</v>
          </cell>
          <cell r="AG802">
            <v>0</v>
          </cell>
          <cell r="AH802">
            <v>0</v>
          </cell>
          <cell r="AI802">
            <v>0</v>
          </cell>
          <cell r="AJ802">
            <v>0</v>
          </cell>
          <cell r="BZ802" t="str">
            <v/>
          </cell>
        </row>
        <row r="803">
          <cell r="C803" t="str">
            <v/>
          </cell>
          <cell r="X803">
            <v>0</v>
          </cell>
          <cell r="Y803">
            <v>0</v>
          </cell>
          <cell r="Z803">
            <v>0</v>
          </cell>
          <cell r="AA803">
            <v>0</v>
          </cell>
          <cell r="AB803">
            <v>0</v>
          </cell>
          <cell r="AF803">
            <v>0</v>
          </cell>
          <cell r="AG803">
            <v>0</v>
          </cell>
          <cell r="AH803">
            <v>0</v>
          </cell>
          <cell r="AI803">
            <v>0</v>
          </cell>
          <cell r="AJ803">
            <v>0</v>
          </cell>
          <cell r="BZ803" t="str">
            <v/>
          </cell>
        </row>
        <row r="804">
          <cell r="C804" t="str">
            <v/>
          </cell>
          <cell r="X804">
            <v>0</v>
          </cell>
          <cell r="Y804">
            <v>0</v>
          </cell>
          <cell r="Z804">
            <v>0</v>
          </cell>
          <cell r="AA804">
            <v>0</v>
          </cell>
          <cell r="AB804">
            <v>0</v>
          </cell>
          <cell r="AF804">
            <v>0</v>
          </cell>
          <cell r="AG804">
            <v>0</v>
          </cell>
          <cell r="AH804">
            <v>0</v>
          </cell>
          <cell r="AI804">
            <v>0</v>
          </cell>
          <cell r="AJ804">
            <v>0</v>
          </cell>
          <cell r="BZ804" t="str">
            <v/>
          </cell>
        </row>
        <row r="805">
          <cell r="C805" t="str">
            <v/>
          </cell>
          <cell r="X805">
            <v>0</v>
          </cell>
          <cell r="Y805">
            <v>0</v>
          </cell>
          <cell r="Z805">
            <v>0</v>
          </cell>
          <cell r="AA805">
            <v>0</v>
          </cell>
          <cell r="AB805">
            <v>0</v>
          </cell>
          <cell r="AF805">
            <v>0</v>
          </cell>
          <cell r="AG805">
            <v>0</v>
          </cell>
          <cell r="AH805">
            <v>0</v>
          </cell>
          <cell r="AI805">
            <v>0</v>
          </cell>
          <cell r="AJ805">
            <v>0</v>
          </cell>
          <cell r="BZ805" t="str">
            <v/>
          </cell>
        </row>
        <row r="806">
          <cell r="C806" t="str">
            <v/>
          </cell>
          <cell r="X806">
            <v>0</v>
          </cell>
          <cell r="Y806">
            <v>0</v>
          </cell>
          <cell r="Z806">
            <v>0</v>
          </cell>
          <cell r="AA806">
            <v>0</v>
          </cell>
          <cell r="AB806">
            <v>0</v>
          </cell>
          <cell r="AF806">
            <v>0</v>
          </cell>
          <cell r="AG806">
            <v>0</v>
          </cell>
          <cell r="AH806">
            <v>0</v>
          </cell>
          <cell r="AI806">
            <v>0</v>
          </cell>
          <cell r="AJ806">
            <v>0</v>
          </cell>
          <cell r="BZ806" t="str">
            <v/>
          </cell>
        </row>
        <row r="807">
          <cell r="C807" t="str">
            <v/>
          </cell>
          <cell r="X807">
            <v>0</v>
          </cell>
          <cell r="Y807">
            <v>0</v>
          </cell>
          <cell r="Z807">
            <v>0</v>
          </cell>
          <cell r="AA807">
            <v>0</v>
          </cell>
          <cell r="AB807">
            <v>0</v>
          </cell>
          <cell r="AF807">
            <v>0</v>
          </cell>
          <cell r="AG807">
            <v>0</v>
          </cell>
          <cell r="AH807">
            <v>0</v>
          </cell>
          <cell r="AI807">
            <v>0</v>
          </cell>
          <cell r="AJ807">
            <v>0</v>
          </cell>
          <cell r="BZ807" t="str">
            <v/>
          </cell>
        </row>
        <row r="808">
          <cell r="C808" t="str">
            <v/>
          </cell>
          <cell r="X808">
            <v>0</v>
          </cell>
          <cell r="Y808">
            <v>0</v>
          </cell>
          <cell r="Z808">
            <v>0</v>
          </cell>
          <cell r="AA808">
            <v>0</v>
          </cell>
          <cell r="AB808">
            <v>0</v>
          </cell>
          <cell r="AF808">
            <v>0</v>
          </cell>
          <cell r="AG808">
            <v>0</v>
          </cell>
          <cell r="AH808">
            <v>0</v>
          </cell>
          <cell r="AI808">
            <v>0</v>
          </cell>
          <cell r="AJ808">
            <v>0</v>
          </cell>
          <cell r="BZ808" t="str">
            <v/>
          </cell>
        </row>
        <row r="809">
          <cell r="C809" t="str">
            <v/>
          </cell>
          <cell r="X809">
            <v>0</v>
          </cell>
          <cell r="Y809">
            <v>0</v>
          </cell>
          <cell r="Z809">
            <v>0</v>
          </cell>
          <cell r="AA809">
            <v>0</v>
          </cell>
          <cell r="AB809">
            <v>0</v>
          </cell>
          <cell r="AF809">
            <v>0</v>
          </cell>
          <cell r="AG809">
            <v>0</v>
          </cell>
          <cell r="AH809">
            <v>0</v>
          </cell>
          <cell r="AI809">
            <v>0</v>
          </cell>
          <cell r="AJ809">
            <v>0</v>
          </cell>
          <cell r="BZ809" t="str">
            <v/>
          </cell>
        </row>
        <row r="810">
          <cell r="C810" t="str">
            <v/>
          </cell>
          <cell r="X810">
            <v>0</v>
          </cell>
          <cell r="Y810">
            <v>0</v>
          </cell>
          <cell r="Z810">
            <v>0</v>
          </cell>
          <cell r="AA810">
            <v>0</v>
          </cell>
          <cell r="AB810">
            <v>0</v>
          </cell>
          <cell r="AF810">
            <v>0</v>
          </cell>
          <cell r="AG810">
            <v>0</v>
          </cell>
          <cell r="AH810">
            <v>0</v>
          </cell>
          <cell r="AI810">
            <v>0</v>
          </cell>
          <cell r="AJ810">
            <v>0</v>
          </cell>
          <cell r="BZ810" t="str">
            <v/>
          </cell>
        </row>
        <row r="811">
          <cell r="C811" t="str">
            <v/>
          </cell>
          <cell r="X811">
            <v>0</v>
          </cell>
          <cell r="Y811">
            <v>0</v>
          </cell>
          <cell r="Z811">
            <v>0</v>
          </cell>
          <cell r="AA811">
            <v>0</v>
          </cell>
          <cell r="AB811">
            <v>0</v>
          </cell>
          <cell r="AF811">
            <v>0</v>
          </cell>
          <cell r="AG811">
            <v>0</v>
          </cell>
          <cell r="AH811">
            <v>0</v>
          </cell>
          <cell r="AI811">
            <v>0</v>
          </cell>
          <cell r="AJ811">
            <v>0</v>
          </cell>
          <cell r="BZ811" t="str">
            <v/>
          </cell>
        </row>
        <row r="812">
          <cell r="C812" t="str">
            <v/>
          </cell>
          <cell r="X812">
            <v>0</v>
          </cell>
          <cell r="Y812">
            <v>0</v>
          </cell>
          <cell r="Z812">
            <v>0</v>
          </cell>
          <cell r="AA812">
            <v>0</v>
          </cell>
          <cell r="AB812">
            <v>0</v>
          </cell>
          <cell r="AF812">
            <v>0</v>
          </cell>
          <cell r="AG812">
            <v>0</v>
          </cell>
          <cell r="AH812">
            <v>0</v>
          </cell>
          <cell r="AI812">
            <v>0</v>
          </cell>
          <cell r="AJ812">
            <v>0</v>
          </cell>
          <cell r="BZ812" t="str">
            <v/>
          </cell>
        </row>
        <row r="813">
          <cell r="C813" t="str">
            <v/>
          </cell>
          <cell r="X813">
            <v>0</v>
          </cell>
          <cell r="Y813">
            <v>0</v>
          </cell>
          <cell r="Z813">
            <v>0</v>
          </cell>
          <cell r="AA813">
            <v>0</v>
          </cell>
          <cell r="AB813">
            <v>0</v>
          </cell>
          <cell r="AF813">
            <v>0</v>
          </cell>
          <cell r="AG813">
            <v>0</v>
          </cell>
          <cell r="AH813">
            <v>0</v>
          </cell>
          <cell r="AI813">
            <v>0</v>
          </cell>
          <cell r="AJ813">
            <v>0</v>
          </cell>
          <cell r="BZ813" t="str">
            <v/>
          </cell>
        </row>
        <row r="814">
          <cell r="C814" t="str">
            <v/>
          </cell>
          <cell r="X814">
            <v>0</v>
          </cell>
          <cell r="Y814">
            <v>0</v>
          </cell>
          <cell r="Z814">
            <v>0</v>
          </cell>
          <cell r="AA814">
            <v>0</v>
          </cell>
          <cell r="AB814">
            <v>0</v>
          </cell>
          <cell r="AF814">
            <v>0</v>
          </cell>
          <cell r="AG814">
            <v>0</v>
          </cell>
          <cell r="AH814">
            <v>0</v>
          </cell>
          <cell r="AI814">
            <v>0</v>
          </cell>
          <cell r="AJ814">
            <v>0</v>
          </cell>
          <cell r="BZ814" t="str">
            <v/>
          </cell>
        </row>
        <row r="815">
          <cell r="C815" t="str">
            <v/>
          </cell>
          <cell r="X815">
            <v>0</v>
          </cell>
          <cell r="Y815">
            <v>0</v>
          </cell>
          <cell r="Z815">
            <v>0</v>
          </cell>
          <cell r="AA815">
            <v>0</v>
          </cell>
          <cell r="AB815">
            <v>0</v>
          </cell>
          <cell r="AF815">
            <v>0</v>
          </cell>
          <cell r="AG815">
            <v>0</v>
          </cell>
          <cell r="AH815">
            <v>0</v>
          </cell>
          <cell r="AI815">
            <v>0</v>
          </cell>
          <cell r="AJ815">
            <v>0</v>
          </cell>
          <cell r="BZ815" t="str">
            <v/>
          </cell>
        </row>
        <row r="816">
          <cell r="C816" t="str">
            <v/>
          </cell>
          <cell r="X816">
            <v>0</v>
          </cell>
          <cell r="Y816">
            <v>0</v>
          </cell>
          <cell r="Z816">
            <v>0</v>
          </cell>
          <cell r="AA816">
            <v>0</v>
          </cell>
          <cell r="AB816">
            <v>0</v>
          </cell>
          <cell r="AF816">
            <v>0</v>
          </cell>
          <cell r="AG816">
            <v>0</v>
          </cell>
          <cell r="AH816">
            <v>0</v>
          </cell>
          <cell r="AI816">
            <v>0</v>
          </cell>
          <cell r="AJ816">
            <v>0</v>
          </cell>
          <cell r="BZ816" t="str">
            <v/>
          </cell>
        </row>
        <row r="817">
          <cell r="C817" t="str">
            <v/>
          </cell>
          <cell r="X817">
            <v>0</v>
          </cell>
          <cell r="Y817">
            <v>0</v>
          </cell>
          <cell r="Z817">
            <v>0</v>
          </cell>
          <cell r="AA817">
            <v>0</v>
          </cell>
          <cell r="AB817">
            <v>0</v>
          </cell>
          <cell r="AF817">
            <v>0</v>
          </cell>
          <cell r="AG817">
            <v>0</v>
          </cell>
          <cell r="AH817">
            <v>0</v>
          </cell>
          <cell r="AI817">
            <v>0</v>
          </cell>
          <cell r="AJ817">
            <v>0</v>
          </cell>
          <cell r="BZ817" t="str">
            <v/>
          </cell>
        </row>
        <row r="818">
          <cell r="C818" t="str">
            <v/>
          </cell>
          <cell r="X818">
            <v>0</v>
          </cell>
          <cell r="Y818">
            <v>0</v>
          </cell>
          <cell r="Z818">
            <v>0</v>
          </cell>
          <cell r="AA818">
            <v>0</v>
          </cell>
          <cell r="AB818">
            <v>0</v>
          </cell>
          <cell r="AF818">
            <v>0</v>
          </cell>
          <cell r="AG818">
            <v>0</v>
          </cell>
          <cell r="AH818">
            <v>0</v>
          </cell>
          <cell r="AI818">
            <v>0</v>
          </cell>
          <cell r="AJ818">
            <v>0</v>
          </cell>
          <cell r="BZ818" t="str">
            <v/>
          </cell>
        </row>
        <row r="819">
          <cell r="C819" t="str">
            <v/>
          </cell>
          <cell r="X819">
            <v>0</v>
          </cell>
          <cell r="Y819">
            <v>0</v>
          </cell>
          <cell r="Z819">
            <v>0</v>
          </cell>
          <cell r="AA819">
            <v>0</v>
          </cell>
          <cell r="AB819">
            <v>0</v>
          </cell>
          <cell r="AF819">
            <v>0</v>
          </cell>
          <cell r="AG819">
            <v>0</v>
          </cell>
          <cell r="AH819">
            <v>0</v>
          </cell>
          <cell r="AI819">
            <v>0</v>
          </cell>
          <cell r="AJ819">
            <v>0</v>
          </cell>
          <cell r="BZ819" t="str">
            <v/>
          </cell>
        </row>
        <row r="820">
          <cell r="C820" t="str">
            <v/>
          </cell>
          <cell r="X820">
            <v>0</v>
          </cell>
          <cell r="Y820">
            <v>0</v>
          </cell>
          <cell r="Z820">
            <v>0</v>
          </cell>
          <cell r="AA820">
            <v>0</v>
          </cell>
          <cell r="AB820">
            <v>0</v>
          </cell>
          <cell r="AF820">
            <v>0</v>
          </cell>
          <cell r="AG820">
            <v>0</v>
          </cell>
          <cell r="AH820">
            <v>0</v>
          </cell>
          <cell r="AI820">
            <v>0</v>
          </cell>
          <cell r="AJ820">
            <v>0</v>
          </cell>
          <cell r="BZ820" t="str">
            <v/>
          </cell>
        </row>
        <row r="821">
          <cell r="C821" t="str">
            <v/>
          </cell>
          <cell r="X821">
            <v>0</v>
          </cell>
          <cell r="Y821">
            <v>0</v>
          </cell>
          <cell r="Z821">
            <v>0</v>
          </cell>
          <cell r="AA821">
            <v>0</v>
          </cell>
          <cell r="AB821">
            <v>0</v>
          </cell>
          <cell r="AF821">
            <v>0</v>
          </cell>
          <cell r="AG821">
            <v>0</v>
          </cell>
          <cell r="AH821">
            <v>0</v>
          </cell>
          <cell r="AI821">
            <v>0</v>
          </cell>
          <cell r="AJ821">
            <v>0</v>
          </cell>
          <cell r="BZ821" t="str">
            <v/>
          </cell>
        </row>
        <row r="822">
          <cell r="C822" t="str">
            <v/>
          </cell>
          <cell r="X822">
            <v>0</v>
          </cell>
          <cell r="Y822">
            <v>0</v>
          </cell>
          <cell r="Z822">
            <v>0</v>
          </cell>
          <cell r="AA822">
            <v>0</v>
          </cell>
          <cell r="AB822">
            <v>0</v>
          </cell>
          <cell r="AF822">
            <v>0</v>
          </cell>
          <cell r="AG822">
            <v>0</v>
          </cell>
          <cell r="AH822">
            <v>0</v>
          </cell>
          <cell r="AI822">
            <v>0</v>
          </cell>
          <cell r="AJ822">
            <v>0</v>
          </cell>
          <cell r="BZ822" t="str">
            <v/>
          </cell>
        </row>
        <row r="823">
          <cell r="C823" t="str">
            <v/>
          </cell>
          <cell r="X823">
            <v>0</v>
          </cell>
          <cell r="Y823">
            <v>0</v>
          </cell>
          <cell r="Z823">
            <v>0</v>
          </cell>
          <cell r="AA823">
            <v>0</v>
          </cell>
          <cell r="AB823">
            <v>0</v>
          </cell>
          <cell r="AF823">
            <v>0</v>
          </cell>
          <cell r="AG823">
            <v>0</v>
          </cell>
          <cell r="AH823">
            <v>0</v>
          </cell>
          <cell r="AI823">
            <v>0</v>
          </cell>
          <cell r="AJ823">
            <v>0</v>
          </cell>
          <cell r="BZ823" t="str">
            <v/>
          </cell>
        </row>
        <row r="824">
          <cell r="C824" t="str">
            <v/>
          </cell>
          <cell r="X824">
            <v>0</v>
          </cell>
          <cell r="Y824">
            <v>0</v>
          </cell>
          <cell r="Z824">
            <v>0</v>
          </cell>
          <cell r="AA824">
            <v>0</v>
          </cell>
          <cell r="AB824">
            <v>0</v>
          </cell>
          <cell r="AF824">
            <v>0</v>
          </cell>
          <cell r="AG824">
            <v>0</v>
          </cell>
          <cell r="AH824">
            <v>0</v>
          </cell>
          <cell r="AI824">
            <v>0</v>
          </cell>
          <cell r="AJ824">
            <v>0</v>
          </cell>
          <cell r="BZ824" t="str">
            <v/>
          </cell>
        </row>
        <row r="825">
          <cell r="C825" t="str">
            <v/>
          </cell>
          <cell r="X825">
            <v>0</v>
          </cell>
          <cell r="Y825">
            <v>0</v>
          </cell>
          <cell r="Z825">
            <v>0</v>
          </cell>
          <cell r="AA825">
            <v>0</v>
          </cell>
          <cell r="AB825">
            <v>0</v>
          </cell>
          <cell r="AF825">
            <v>0</v>
          </cell>
          <cell r="AG825">
            <v>0</v>
          </cell>
          <cell r="AH825">
            <v>0</v>
          </cell>
          <cell r="AI825">
            <v>0</v>
          </cell>
          <cell r="AJ825">
            <v>0</v>
          </cell>
          <cell r="BZ825" t="str">
            <v/>
          </cell>
        </row>
        <row r="826">
          <cell r="C826" t="str">
            <v/>
          </cell>
          <cell r="X826">
            <v>0</v>
          </cell>
          <cell r="Y826">
            <v>0</v>
          </cell>
          <cell r="Z826">
            <v>0</v>
          </cell>
          <cell r="AA826">
            <v>0</v>
          </cell>
          <cell r="AB826">
            <v>0</v>
          </cell>
          <cell r="AF826">
            <v>0</v>
          </cell>
          <cell r="AG826">
            <v>0</v>
          </cell>
          <cell r="AH826">
            <v>0</v>
          </cell>
          <cell r="AI826">
            <v>0</v>
          </cell>
          <cell r="AJ826">
            <v>0</v>
          </cell>
          <cell r="BZ826" t="str">
            <v/>
          </cell>
        </row>
        <row r="827">
          <cell r="C827" t="str">
            <v/>
          </cell>
          <cell r="X827">
            <v>0</v>
          </cell>
          <cell r="Y827">
            <v>0</v>
          </cell>
          <cell r="Z827">
            <v>0</v>
          </cell>
          <cell r="AA827">
            <v>0</v>
          </cell>
          <cell r="AB827">
            <v>0</v>
          </cell>
          <cell r="AF827">
            <v>0</v>
          </cell>
          <cell r="AG827">
            <v>0</v>
          </cell>
          <cell r="AH827">
            <v>0</v>
          </cell>
          <cell r="AI827">
            <v>0</v>
          </cell>
          <cell r="AJ827">
            <v>0</v>
          </cell>
          <cell r="BZ827" t="str">
            <v/>
          </cell>
        </row>
        <row r="828">
          <cell r="C828" t="str">
            <v/>
          </cell>
          <cell r="X828">
            <v>0</v>
          </cell>
          <cell r="Y828">
            <v>0</v>
          </cell>
          <cell r="Z828">
            <v>0</v>
          </cell>
          <cell r="AA828">
            <v>0</v>
          </cell>
          <cell r="AB828">
            <v>0</v>
          </cell>
          <cell r="AF828">
            <v>0</v>
          </cell>
          <cell r="AG828">
            <v>0</v>
          </cell>
          <cell r="AH828">
            <v>0</v>
          </cell>
          <cell r="AI828">
            <v>0</v>
          </cell>
          <cell r="AJ828">
            <v>0</v>
          </cell>
          <cell r="BZ828" t="str">
            <v/>
          </cell>
        </row>
        <row r="829">
          <cell r="C829" t="str">
            <v/>
          </cell>
          <cell r="X829">
            <v>0</v>
          </cell>
          <cell r="Y829">
            <v>0</v>
          </cell>
          <cell r="Z829">
            <v>0</v>
          </cell>
          <cell r="AA829">
            <v>0</v>
          </cell>
          <cell r="AB829">
            <v>0</v>
          </cell>
          <cell r="AF829">
            <v>0</v>
          </cell>
          <cell r="AG829">
            <v>0</v>
          </cell>
          <cell r="AH829">
            <v>0</v>
          </cell>
          <cell r="AI829">
            <v>0</v>
          </cell>
          <cell r="AJ829">
            <v>0</v>
          </cell>
          <cell r="BZ829" t="str">
            <v/>
          </cell>
        </row>
        <row r="830">
          <cell r="C830" t="str">
            <v/>
          </cell>
          <cell r="X830">
            <v>0</v>
          </cell>
          <cell r="Y830">
            <v>0</v>
          </cell>
          <cell r="Z830">
            <v>0</v>
          </cell>
          <cell r="AA830">
            <v>0</v>
          </cell>
          <cell r="AB830">
            <v>0</v>
          </cell>
          <cell r="AF830">
            <v>0</v>
          </cell>
          <cell r="AG830">
            <v>0</v>
          </cell>
          <cell r="AH830">
            <v>0</v>
          </cell>
          <cell r="AI830">
            <v>0</v>
          </cell>
          <cell r="AJ830">
            <v>0</v>
          </cell>
          <cell r="BZ830" t="str">
            <v/>
          </cell>
        </row>
        <row r="831">
          <cell r="C831" t="str">
            <v/>
          </cell>
          <cell r="X831">
            <v>0</v>
          </cell>
          <cell r="Y831">
            <v>0</v>
          </cell>
          <cell r="Z831">
            <v>0</v>
          </cell>
          <cell r="AA831">
            <v>0</v>
          </cell>
          <cell r="AB831">
            <v>0</v>
          </cell>
          <cell r="AF831">
            <v>0</v>
          </cell>
          <cell r="AG831">
            <v>0</v>
          </cell>
          <cell r="AH831">
            <v>0</v>
          </cell>
          <cell r="AI831">
            <v>0</v>
          </cell>
          <cell r="AJ831">
            <v>0</v>
          </cell>
          <cell r="BZ831" t="str">
            <v/>
          </cell>
        </row>
        <row r="832">
          <cell r="C832" t="str">
            <v/>
          </cell>
          <cell r="X832">
            <v>0</v>
          </cell>
          <cell r="Y832">
            <v>0</v>
          </cell>
          <cell r="Z832">
            <v>0</v>
          </cell>
          <cell r="AA832">
            <v>0</v>
          </cell>
          <cell r="AB832">
            <v>0</v>
          </cell>
          <cell r="AF832">
            <v>0</v>
          </cell>
          <cell r="AG832">
            <v>0</v>
          </cell>
          <cell r="AH832">
            <v>0</v>
          </cell>
          <cell r="AI832">
            <v>0</v>
          </cell>
          <cell r="AJ832">
            <v>0</v>
          </cell>
          <cell r="BZ832" t="str">
            <v/>
          </cell>
        </row>
        <row r="833">
          <cell r="C833" t="str">
            <v/>
          </cell>
          <cell r="X833">
            <v>0</v>
          </cell>
          <cell r="Y833">
            <v>0</v>
          </cell>
          <cell r="Z833">
            <v>0</v>
          </cell>
          <cell r="AA833">
            <v>0</v>
          </cell>
          <cell r="AB833">
            <v>0</v>
          </cell>
          <cell r="AF833">
            <v>0</v>
          </cell>
          <cell r="AG833">
            <v>0</v>
          </cell>
          <cell r="AH833">
            <v>0</v>
          </cell>
          <cell r="AI833">
            <v>0</v>
          </cell>
          <cell r="AJ833">
            <v>0</v>
          </cell>
          <cell r="BZ833" t="str">
            <v/>
          </cell>
        </row>
        <row r="834">
          <cell r="C834" t="str">
            <v/>
          </cell>
          <cell r="X834">
            <v>0</v>
          </cell>
          <cell r="Y834">
            <v>0</v>
          </cell>
          <cell r="Z834">
            <v>0</v>
          </cell>
          <cell r="AA834">
            <v>0</v>
          </cell>
          <cell r="AB834">
            <v>0</v>
          </cell>
          <cell r="AF834">
            <v>0</v>
          </cell>
          <cell r="AG834">
            <v>0</v>
          </cell>
          <cell r="AH834">
            <v>0</v>
          </cell>
          <cell r="AI834">
            <v>0</v>
          </cell>
          <cell r="AJ834">
            <v>0</v>
          </cell>
          <cell r="BZ834" t="str">
            <v/>
          </cell>
        </row>
        <row r="835">
          <cell r="C835" t="str">
            <v/>
          </cell>
          <cell r="X835">
            <v>0</v>
          </cell>
          <cell r="Y835">
            <v>0</v>
          </cell>
          <cell r="Z835">
            <v>0</v>
          </cell>
          <cell r="AA835">
            <v>0</v>
          </cell>
          <cell r="AB835">
            <v>0</v>
          </cell>
          <cell r="AF835">
            <v>0</v>
          </cell>
          <cell r="AG835">
            <v>0</v>
          </cell>
          <cell r="AH835">
            <v>0</v>
          </cell>
          <cell r="AI835">
            <v>0</v>
          </cell>
          <cell r="AJ835">
            <v>0</v>
          </cell>
          <cell r="BZ835" t="str">
            <v/>
          </cell>
        </row>
        <row r="836">
          <cell r="C836" t="str">
            <v/>
          </cell>
          <cell r="X836">
            <v>0</v>
          </cell>
          <cell r="Y836">
            <v>0</v>
          </cell>
          <cell r="Z836">
            <v>0</v>
          </cell>
          <cell r="AA836">
            <v>0</v>
          </cell>
          <cell r="AB836">
            <v>0</v>
          </cell>
          <cell r="AF836">
            <v>0</v>
          </cell>
          <cell r="AG836">
            <v>0</v>
          </cell>
          <cell r="AH836">
            <v>0</v>
          </cell>
          <cell r="AI836">
            <v>0</v>
          </cell>
          <cell r="AJ836">
            <v>0</v>
          </cell>
          <cell r="BZ836" t="str">
            <v/>
          </cell>
        </row>
        <row r="837">
          <cell r="C837" t="str">
            <v/>
          </cell>
          <cell r="X837">
            <v>0</v>
          </cell>
          <cell r="Y837">
            <v>0</v>
          </cell>
          <cell r="Z837">
            <v>0</v>
          </cell>
          <cell r="AA837">
            <v>0</v>
          </cell>
          <cell r="AB837">
            <v>0</v>
          </cell>
          <cell r="AF837">
            <v>0</v>
          </cell>
          <cell r="AG837">
            <v>0</v>
          </cell>
          <cell r="AH837">
            <v>0</v>
          </cell>
          <cell r="AI837">
            <v>0</v>
          </cell>
          <cell r="AJ837">
            <v>0</v>
          </cell>
          <cell r="BZ837" t="str">
            <v/>
          </cell>
        </row>
        <row r="838">
          <cell r="C838" t="str">
            <v/>
          </cell>
          <cell r="X838">
            <v>0</v>
          </cell>
          <cell r="Y838">
            <v>0</v>
          </cell>
          <cell r="Z838">
            <v>0</v>
          </cell>
          <cell r="AA838">
            <v>0</v>
          </cell>
          <cell r="AB838">
            <v>0</v>
          </cell>
          <cell r="AF838">
            <v>0</v>
          </cell>
          <cell r="AG838">
            <v>0</v>
          </cell>
          <cell r="AH838">
            <v>0</v>
          </cell>
          <cell r="AI838">
            <v>0</v>
          </cell>
          <cell r="AJ838">
            <v>0</v>
          </cell>
          <cell r="BZ838" t="str">
            <v/>
          </cell>
        </row>
        <row r="839">
          <cell r="C839" t="str">
            <v/>
          </cell>
          <cell r="X839">
            <v>0</v>
          </cell>
          <cell r="Y839">
            <v>0</v>
          </cell>
          <cell r="Z839">
            <v>0</v>
          </cell>
          <cell r="AA839">
            <v>0</v>
          </cell>
          <cell r="AB839">
            <v>0</v>
          </cell>
          <cell r="AF839">
            <v>0</v>
          </cell>
          <cell r="AG839">
            <v>0</v>
          </cell>
          <cell r="AH839">
            <v>0</v>
          </cell>
          <cell r="AI839">
            <v>0</v>
          </cell>
          <cell r="AJ839">
            <v>0</v>
          </cell>
          <cell r="BZ839" t="str">
            <v/>
          </cell>
        </row>
        <row r="840">
          <cell r="C840" t="str">
            <v/>
          </cell>
          <cell r="X840">
            <v>0</v>
          </cell>
          <cell r="Y840">
            <v>0</v>
          </cell>
          <cell r="Z840">
            <v>0</v>
          </cell>
          <cell r="AA840">
            <v>0</v>
          </cell>
          <cell r="AB840">
            <v>0</v>
          </cell>
          <cell r="AF840">
            <v>0</v>
          </cell>
          <cell r="AG840">
            <v>0</v>
          </cell>
          <cell r="AH840">
            <v>0</v>
          </cell>
          <cell r="AI840">
            <v>0</v>
          </cell>
          <cell r="AJ840">
            <v>0</v>
          </cell>
          <cell r="BZ840" t="str">
            <v/>
          </cell>
        </row>
        <row r="841">
          <cell r="C841" t="str">
            <v/>
          </cell>
          <cell r="X841">
            <v>0</v>
          </cell>
          <cell r="Y841">
            <v>0</v>
          </cell>
          <cell r="Z841">
            <v>0</v>
          </cell>
          <cell r="AA841">
            <v>0</v>
          </cell>
          <cell r="AB841">
            <v>0</v>
          </cell>
          <cell r="AF841">
            <v>0</v>
          </cell>
          <cell r="AG841">
            <v>0</v>
          </cell>
          <cell r="AH841">
            <v>0</v>
          </cell>
          <cell r="AI841">
            <v>0</v>
          </cell>
          <cell r="AJ841">
            <v>0</v>
          </cell>
          <cell r="BZ841" t="str">
            <v/>
          </cell>
        </row>
        <row r="842">
          <cell r="C842" t="str">
            <v/>
          </cell>
          <cell r="X842">
            <v>0</v>
          </cell>
          <cell r="Y842">
            <v>0</v>
          </cell>
          <cell r="Z842">
            <v>0</v>
          </cell>
          <cell r="AA842">
            <v>0</v>
          </cell>
          <cell r="AB842">
            <v>0</v>
          </cell>
          <cell r="AF842">
            <v>0</v>
          </cell>
          <cell r="AG842">
            <v>0</v>
          </cell>
          <cell r="AH842">
            <v>0</v>
          </cell>
          <cell r="AI842">
            <v>0</v>
          </cell>
          <cell r="AJ842">
            <v>0</v>
          </cell>
          <cell r="BZ842" t="str">
            <v/>
          </cell>
        </row>
        <row r="843">
          <cell r="C843" t="str">
            <v/>
          </cell>
          <cell r="X843">
            <v>0</v>
          </cell>
          <cell r="Y843">
            <v>0</v>
          </cell>
          <cell r="Z843">
            <v>0</v>
          </cell>
          <cell r="AA843">
            <v>0</v>
          </cell>
          <cell r="AB843">
            <v>0</v>
          </cell>
          <cell r="AF843">
            <v>0</v>
          </cell>
          <cell r="AG843">
            <v>0</v>
          </cell>
          <cell r="AH843">
            <v>0</v>
          </cell>
          <cell r="AI843">
            <v>0</v>
          </cell>
          <cell r="AJ843">
            <v>0</v>
          </cell>
          <cell r="BZ843" t="str">
            <v/>
          </cell>
        </row>
        <row r="844">
          <cell r="C844" t="str">
            <v/>
          </cell>
          <cell r="X844">
            <v>0</v>
          </cell>
          <cell r="Y844">
            <v>0</v>
          </cell>
          <cell r="Z844">
            <v>0</v>
          </cell>
          <cell r="AA844">
            <v>0</v>
          </cell>
          <cell r="AB844">
            <v>0</v>
          </cell>
          <cell r="AF844">
            <v>0</v>
          </cell>
          <cell r="AG844">
            <v>0</v>
          </cell>
          <cell r="AH844">
            <v>0</v>
          </cell>
          <cell r="AI844">
            <v>0</v>
          </cell>
          <cell r="AJ844">
            <v>0</v>
          </cell>
          <cell r="BZ844" t="str">
            <v/>
          </cell>
        </row>
        <row r="845">
          <cell r="C845" t="str">
            <v/>
          </cell>
          <cell r="X845">
            <v>0</v>
          </cell>
          <cell r="Y845">
            <v>0</v>
          </cell>
          <cell r="Z845">
            <v>0</v>
          </cell>
          <cell r="AA845">
            <v>0</v>
          </cell>
          <cell r="AB845">
            <v>0</v>
          </cell>
          <cell r="AF845">
            <v>0</v>
          </cell>
          <cell r="AG845">
            <v>0</v>
          </cell>
          <cell r="AH845">
            <v>0</v>
          </cell>
          <cell r="AI845">
            <v>0</v>
          </cell>
          <cell r="AJ845">
            <v>0</v>
          </cell>
          <cell r="BZ845" t="str">
            <v/>
          </cell>
        </row>
        <row r="846">
          <cell r="C846" t="str">
            <v/>
          </cell>
          <cell r="X846">
            <v>0</v>
          </cell>
          <cell r="Y846">
            <v>0</v>
          </cell>
          <cell r="Z846">
            <v>0</v>
          </cell>
          <cell r="AA846">
            <v>0</v>
          </cell>
          <cell r="AB846">
            <v>0</v>
          </cell>
          <cell r="AF846">
            <v>0</v>
          </cell>
          <cell r="AG846">
            <v>0</v>
          </cell>
          <cell r="AH846">
            <v>0</v>
          </cell>
          <cell r="AI846">
            <v>0</v>
          </cell>
          <cell r="AJ846">
            <v>0</v>
          </cell>
          <cell r="BZ846" t="str">
            <v/>
          </cell>
        </row>
        <row r="847">
          <cell r="C847" t="str">
            <v/>
          </cell>
          <cell r="X847">
            <v>0</v>
          </cell>
          <cell r="Y847">
            <v>0</v>
          </cell>
          <cell r="Z847">
            <v>0</v>
          </cell>
          <cell r="AA847">
            <v>0</v>
          </cell>
          <cell r="AB847">
            <v>0</v>
          </cell>
          <cell r="AF847">
            <v>0</v>
          </cell>
          <cell r="AG847">
            <v>0</v>
          </cell>
          <cell r="AH847">
            <v>0</v>
          </cell>
          <cell r="AI847">
            <v>0</v>
          </cell>
          <cell r="AJ847">
            <v>0</v>
          </cell>
          <cell r="BZ847" t="str">
            <v/>
          </cell>
        </row>
        <row r="848">
          <cell r="C848" t="str">
            <v/>
          </cell>
          <cell r="X848">
            <v>0</v>
          </cell>
          <cell r="Y848">
            <v>0</v>
          </cell>
          <cell r="Z848">
            <v>0</v>
          </cell>
          <cell r="AA848">
            <v>0</v>
          </cell>
          <cell r="AB848">
            <v>0</v>
          </cell>
          <cell r="AF848">
            <v>0</v>
          </cell>
          <cell r="AG848">
            <v>0</v>
          </cell>
          <cell r="AH848">
            <v>0</v>
          </cell>
          <cell r="AI848">
            <v>0</v>
          </cell>
          <cell r="AJ848">
            <v>0</v>
          </cell>
          <cell r="BZ848" t="str">
            <v/>
          </cell>
        </row>
        <row r="849">
          <cell r="C849" t="str">
            <v/>
          </cell>
          <cell r="X849">
            <v>0</v>
          </cell>
          <cell r="Y849">
            <v>0</v>
          </cell>
          <cell r="Z849">
            <v>0</v>
          </cell>
          <cell r="AA849">
            <v>0</v>
          </cell>
          <cell r="AB849">
            <v>0</v>
          </cell>
          <cell r="AF849">
            <v>0</v>
          </cell>
          <cell r="AG849">
            <v>0</v>
          </cell>
          <cell r="AH849">
            <v>0</v>
          </cell>
          <cell r="AI849">
            <v>0</v>
          </cell>
          <cell r="AJ849">
            <v>0</v>
          </cell>
          <cell r="BZ849" t="str">
            <v/>
          </cell>
        </row>
        <row r="850">
          <cell r="C850" t="str">
            <v/>
          </cell>
          <cell r="X850">
            <v>0</v>
          </cell>
          <cell r="Y850">
            <v>0</v>
          </cell>
          <cell r="Z850">
            <v>0</v>
          </cell>
          <cell r="AA850">
            <v>0</v>
          </cell>
          <cell r="AB850">
            <v>0</v>
          </cell>
          <cell r="AF850">
            <v>0</v>
          </cell>
          <cell r="AG850">
            <v>0</v>
          </cell>
          <cell r="AH850">
            <v>0</v>
          </cell>
          <cell r="AI850">
            <v>0</v>
          </cell>
          <cell r="AJ850">
            <v>0</v>
          </cell>
          <cell r="BZ850" t="str">
            <v/>
          </cell>
        </row>
        <row r="851">
          <cell r="C851" t="str">
            <v/>
          </cell>
          <cell r="X851">
            <v>0</v>
          </cell>
          <cell r="Y851">
            <v>0</v>
          </cell>
          <cell r="Z851">
            <v>0</v>
          </cell>
          <cell r="AA851">
            <v>0</v>
          </cell>
          <cell r="AB851">
            <v>0</v>
          </cell>
          <cell r="AF851">
            <v>0</v>
          </cell>
          <cell r="AG851">
            <v>0</v>
          </cell>
          <cell r="AH851">
            <v>0</v>
          </cell>
          <cell r="AI851">
            <v>0</v>
          </cell>
          <cell r="AJ851">
            <v>0</v>
          </cell>
          <cell r="BZ851" t="str">
            <v/>
          </cell>
        </row>
        <row r="852">
          <cell r="C852" t="str">
            <v/>
          </cell>
          <cell r="X852">
            <v>0</v>
          </cell>
          <cell r="Y852">
            <v>0</v>
          </cell>
          <cell r="Z852">
            <v>0</v>
          </cell>
          <cell r="AA852">
            <v>0</v>
          </cell>
          <cell r="AB852">
            <v>0</v>
          </cell>
          <cell r="AF852">
            <v>0</v>
          </cell>
          <cell r="AG852">
            <v>0</v>
          </cell>
          <cell r="AH852">
            <v>0</v>
          </cell>
          <cell r="AI852">
            <v>0</v>
          </cell>
          <cell r="AJ852">
            <v>0</v>
          </cell>
          <cell r="BZ852" t="str">
            <v/>
          </cell>
        </row>
        <row r="853">
          <cell r="C853" t="str">
            <v/>
          </cell>
          <cell r="X853">
            <v>0</v>
          </cell>
          <cell r="Y853">
            <v>0</v>
          </cell>
          <cell r="Z853">
            <v>0</v>
          </cell>
          <cell r="AA853">
            <v>0</v>
          </cell>
          <cell r="AB853">
            <v>0</v>
          </cell>
          <cell r="AF853">
            <v>0</v>
          </cell>
          <cell r="AG853">
            <v>0</v>
          </cell>
          <cell r="AH853">
            <v>0</v>
          </cell>
          <cell r="AI853">
            <v>0</v>
          </cell>
          <cell r="AJ853">
            <v>0</v>
          </cell>
          <cell r="BZ853" t="str">
            <v/>
          </cell>
        </row>
        <row r="854">
          <cell r="C854" t="str">
            <v/>
          </cell>
          <cell r="X854">
            <v>0</v>
          </cell>
          <cell r="Y854">
            <v>0</v>
          </cell>
          <cell r="Z854">
            <v>0</v>
          </cell>
          <cell r="AA854">
            <v>0</v>
          </cell>
          <cell r="AB854">
            <v>0</v>
          </cell>
          <cell r="AF854">
            <v>0</v>
          </cell>
          <cell r="AG854">
            <v>0</v>
          </cell>
          <cell r="AH854">
            <v>0</v>
          </cell>
          <cell r="AI854">
            <v>0</v>
          </cell>
          <cell r="AJ854">
            <v>0</v>
          </cell>
          <cell r="BZ854" t="str">
            <v/>
          </cell>
        </row>
        <row r="855">
          <cell r="C855" t="str">
            <v/>
          </cell>
          <cell r="X855">
            <v>0</v>
          </cell>
          <cell r="Y855">
            <v>0</v>
          </cell>
          <cell r="Z855">
            <v>0</v>
          </cell>
          <cell r="AA855">
            <v>0</v>
          </cell>
          <cell r="AB855">
            <v>0</v>
          </cell>
          <cell r="AF855">
            <v>0</v>
          </cell>
          <cell r="AG855">
            <v>0</v>
          </cell>
          <cell r="AH855">
            <v>0</v>
          </cell>
          <cell r="AI855">
            <v>0</v>
          </cell>
          <cell r="AJ855">
            <v>0</v>
          </cell>
          <cell r="BZ855" t="str">
            <v/>
          </cell>
        </row>
        <row r="856">
          <cell r="C856" t="str">
            <v/>
          </cell>
          <cell r="X856">
            <v>0</v>
          </cell>
          <cell r="Y856">
            <v>0</v>
          </cell>
          <cell r="Z856">
            <v>0</v>
          </cell>
          <cell r="AA856">
            <v>0</v>
          </cell>
          <cell r="AB856">
            <v>0</v>
          </cell>
          <cell r="AF856">
            <v>0</v>
          </cell>
          <cell r="AG856">
            <v>0</v>
          </cell>
          <cell r="AH856">
            <v>0</v>
          </cell>
          <cell r="AI856">
            <v>0</v>
          </cell>
          <cell r="AJ856">
            <v>0</v>
          </cell>
          <cell r="BZ856" t="str">
            <v/>
          </cell>
        </row>
        <row r="857">
          <cell r="C857" t="str">
            <v/>
          </cell>
          <cell r="X857">
            <v>0</v>
          </cell>
          <cell r="Y857">
            <v>0</v>
          </cell>
          <cell r="Z857">
            <v>0</v>
          </cell>
          <cell r="AA857">
            <v>0</v>
          </cell>
          <cell r="AB857">
            <v>0</v>
          </cell>
          <cell r="AF857">
            <v>0</v>
          </cell>
          <cell r="AG857">
            <v>0</v>
          </cell>
          <cell r="AH857">
            <v>0</v>
          </cell>
          <cell r="AI857">
            <v>0</v>
          </cell>
          <cell r="AJ857">
            <v>0</v>
          </cell>
          <cell r="BZ857" t="str">
            <v/>
          </cell>
        </row>
        <row r="858">
          <cell r="C858" t="str">
            <v/>
          </cell>
          <cell r="X858">
            <v>0</v>
          </cell>
          <cell r="Y858">
            <v>0</v>
          </cell>
          <cell r="Z858">
            <v>0</v>
          </cell>
          <cell r="AA858">
            <v>0</v>
          </cell>
          <cell r="AB858">
            <v>0</v>
          </cell>
          <cell r="AF858">
            <v>0</v>
          </cell>
          <cell r="AG858">
            <v>0</v>
          </cell>
          <cell r="AH858">
            <v>0</v>
          </cell>
          <cell r="AI858">
            <v>0</v>
          </cell>
          <cell r="AJ858">
            <v>0</v>
          </cell>
          <cell r="BZ858" t="str">
            <v/>
          </cell>
        </row>
        <row r="859">
          <cell r="C859" t="str">
            <v/>
          </cell>
          <cell r="X859">
            <v>0</v>
          </cell>
          <cell r="Y859">
            <v>0</v>
          </cell>
          <cell r="Z859">
            <v>0</v>
          </cell>
          <cell r="AA859">
            <v>0</v>
          </cell>
          <cell r="AB859">
            <v>0</v>
          </cell>
          <cell r="AF859">
            <v>0</v>
          </cell>
          <cell r="AG859">
            <v>0</v>
          </cell>
          <cell r="AH859">
            <v>0</v>
          </cell>
          <cell r="AI859">
            <v>0</v>
          </cell>
          <cell r="AJ859">
            <v>0</v>
          </cell>
          <cell r="BZ859" t="str">
            <v/>
          </cell>
        </row>
        <row r="860">
          <cell r="C860" t="str">
            <v/>
          </cell>
          <cell r="X860">
            <v>0</v>
          </cell>
          <cell r="Y860">
            <v>0</v>
          </cell>
          <cell r="Z860">
            <v>0</v>
          </cell>
          <cell r="AA860">
            <v>0</v>
          </cell>
          <cell r="AB860">
            <v>0</v>
          </cell>
          <cell r="AF860">
            <v>0</v>
          </cell>
          <cell r="AG860">
            <v>0</v>
          </cell>
          <cell r="AH860">
            <v>0</v>
          </cell>
          <cell r="AI860">
            <v>0</v>
          </cell>
          <cell r="AJ860">
            <v>0</v>
          </cell>
          <cell r="BZ860" t="str">
            <v/>
          </cell>
        </row>
        <row r="861">
          <cell r="C861" t="str">
            <v/>
          </cell>
          <cell r="X861">
            <v>0</v>
          </cell>
          <cell r="Y861">
            <v>0</v>
          </cell>
          <cell r="Z861">
            <v>0</v>
          </cell>
          <cell r="AA861">
            <v>0</v>
          </cell>
          <cell r="AB861">
            <v>0</v>
          </cell>
          <cell r="AF861">
            <v>0</v>
          </cell>
          <cell r="AG861">
            <v>0</v>
          </cell>
          <cell r="AH861">
            <v>0</v>
          </cell>
          <cell r="AI861">
            <v>0</v>
          </cell>
          <cell r="AJ861">
            <v>0</v>
          </cell>
          <cell r="BZ861" t="str">
            <v/>
          </cell>
        </row>
        <row r="862">
          <cell r="C862" t="str">
            <v/>
          </cell>
          <cell r="X862">
            <v>0</v>
          </cell>
          <cell r="Y862">
            <v>0</v>
          </cell>
          <cell r="Z862">
            <v>0</v>
          </cell>
          <cell r="AA862">
            <v>0</v>
          </cell>
          <cell r="AB862">
            <v>0</v>
          </cell>
          <cell r="AF862">
            <v>0</v>
          </cell>
          <cell r="AG862">
            <v>0</v>
          </cell>
          <cell r="AH862">
            <v>0</v>
          </cell>
          <cell r="AI862">
            <v>0</v>
          </cell>
          <cell r="AJ862">
            <v>0</v>
          </cell>
          <cell r="BZ862" t="str">
            <v/>
          </cell>
        </row>
        <row r="863">
          <cell r="C863" t="str">
            <v/>
          </cell>
          <cell r="X863">
            <v>0</v>
          </cell>
          <cell r="Y863">
            <v>0</v>
          </cell>
          <cell r="Z863">
            <v>0</v>
          </cell>
          <cell r="AA863">
            <v>0</v>
          </cell>
          <cell r="AB863">
            <v>0</v>
          </cell>
          <cell r="AF863">
            <v>0</v>
          </cell>
          <cell r="AG863">
            <v>0</v>
          </cell>
          <cell r="AH863">
            <v>0</v>
          </cell>
          <cell r="AI863">
            <v>0</v>
          </cell>
          <cell r="AJ863">
            <v>0</v>
          </cell>
          <cell r="BZ863" t="str">
            <v/>
          </cell>
        </row>
        <row r="864">
          <cell r="C864" t="str">
            <v/>
          </cell>
          <cell r="X864">
            <v>0</v>
          </cell>
          <cell r="Y864">
            <v>0</v>
          </cell>
          <cell r="Z864">
            <v>0</v>
          </cell>
          <cell r="AA864">
            <v>0</v>
          </cell>
          <cell r="AB864">
            <v>0</v>
          </cell>
          <cell r="AF864">
            <v>0</v>
          </cell>
          <cell r="AG864">
            <v>0</v>
          </cell>
          <cell r="AH864">
            <v>0</v>
          </cell>
          <cell r="AI864">
            <v>0</v>
          </cell>
          <cell r="AJ864">
            <v>0</v>
          </cell>
          <cell r="BZ864" t="str">
            <v/>
          </cell>
        </row>
        <row r="865">
          <cell r="C865" t="str">
            <v/>
          </cell>
          <cell r="X865">
            <v>0</v>
          </cell>
          <cell r="Y865">
            <v>0</v>
          </cell>
          <cell r="Z865">
            <v>0</v>
          </cell>
          <cell r="AA865">
            <v>0</v>
          </cell>
          <cell r="AB865">
            <v>0</v>
          </cell>
          <cell r="AF865">
            <v>0</v>
          </cell>
          <cell r="AG865">
            <v>0</v>
          </cell>
          <cell r="AH865">
            <v>0</v>
          </cell>
          <cell r="AI865">
            <v>0</v>
          </cell>
          <cell r="AJ865">
            <v>0</v>
          </cell>
          <cell r="BZ865" t="str">
            <v/>
          </cell>
        </row>
        <row r="866">
          <cell r="C866" t="str">
            <v/>
          </cell>
          <cell r="X866">
            <v>0</v>
          </cell>
          <cell r="Y866">
            <v>0</v>
          </cell>
          <cell r="Z866">
            <v>0</v>
          </cell>
          <cell r="AA866">
            <v>0</v>
          </cell>
          <cell r="AB866">
            <v>0</v>
          </cell>
          <cell r="AF866">
            <v>0</v>
          </cell>
          <cell r="AG866">
            <v>0</v>
          </cell>
          <cell r="AH866">
            <v>0</v>
          </cell>
          <cell r="AI866">
            <v>0</v>
          </cell>
          <cell r="AJ866">
            <v>0</v>
          </cell>
          <cell r="BZ866" t="str">
            <v/>
          </cell>
        </row>
        <row r="867">
          <cell r="C867" t="str">
            <v/>
          </cell>
          <cell r="X867">
            <v>0</v>
          </cell>
          <cell r="Y867">
            <v>0</v>
          </cell>
          <cell r="Z867">
            <v>0</v>
          </cell>
          <cell r="AA867">
            <v>0</v>
          </cell>
          <cell r="AB867">
            <v>0</v>
          </cell>
          <cell r="AF867">
            <v>0</v>
          </cell>
          <cell r="AG867">
            <v>0</v>
          </cell>
          <cell r="AH867">
            <v>0</v>
          </cell>
          <cell r="AI867">
            <v>0</v>
          </cell>
          <cell r="AJ867">
            <v>0</v>
          </cell>
          <cell r="BZ867" t="str">
            <v/>
          </cell>
        </row>
        <row r="868">
          <cell r="C868" t="str">
            <v/>
          </cell>
          <cell r="X868">
            <v>0</v>
          </cell>
          <cell r="Y868">
            <v>0</v>
          </cell>
          <cell r="Z868">
            <v>0</v>
          </cell>
          <cell r="AA868">
            <v>0</v>
          </cell>
          <cell r="AB868">
            <v>0</v>
          </cell>
          <cell r="AF868">
            <v>0</v>
          </cell>
          <cell r="AG868">
            <v>0</v>
          </cell>
          <cell r="AH868">
            <v>0</v>
          </cell>
          <cell r="AI868">
            <v>0</v>
          </cell>
          <cell r="AJ868">
            <v>0</v>
          </cell>
          <cell r="BZ868" t="str">
            <v/>
          </cell>
        </row>
        <row r="869">
          <cell r="C869" t="str">
            <v/>
          </cell>
          <cell r="X869">
            <v>0</v>
          </cell>
          <cell r="Y869">
            <v>0</v>
          </cell>
          <cell r="Z869">
            <v>0</v>
          </cell>
          <cell r="AA869">
            <v>0</v>
          </cell>
          <cell r="AB869">
            <v>0</v>
          </cell>
          <cell r="AF869">
            <v>0</v>
          </cell>
          <cell r="AG869">
            <v>0</v>
          </cell>
          <cell r="AH869">
            <v>0</v>
          </cell>
          <cell r="AI869">
            <v>0</v>
          </cell>
          <cell r="AJ869">
            <v>0</v>
          </cell>
          <cell r="BZ869" t="str">
            <v/>
          </cell>
        </row>
        <row r="870">
          <cell r="C870" t="str">
            <v/>
          </cell>
          <cell r="X870">
            <v>0</v>
          </cell>
          <cell r="Y870">
            <v>0</v>
          </cell>
          <cell r="Z870">
            <v>0</v>
          </cell>
          <cell r="AA870">
            <v>0</v>
          </cell>
          <cell r="AB870">
            <v>0</v>
          </cell>
          <cell r="AF870">
            <v>0</v>
          </cell>
          <cell r="AG870">
            <v>0</v>
          </cell>
          <cell r="AH870">
            <v>0</v>
          </cell>
          <cell r="AI870">
            <v>0</v>
          </cell>
          <cell r="AJ870">
            <v>0</v>
          </cell>
          <cell r="BZ870" t="str">
            <v/>
          </cell>
        </row>
        <row r="871">
          <cell r="C871" t="str">
            <v/>
          </cell>
          <cell r="X871">
            <v>0</v>
          </cell>
          <cell r="Y871">
            <v>0</v>
          </cell>
          <cell r="Z871">
            <v>0</v>
          </cell>
          <cell r="AA871">
            <v>0</v>
          </cell>
          <cell r="AB871">
            <v>0</v>
          </cell>
          <cell r="AF871">
            <v>0</v>
          </cell>
          <cell r="AG871">
            <v>0</v>
          </cell>
          <cell r="AH871">
            <v>0</v>
          </cell>
          <cell r="AI871">
            <v>0</v>
          </cell>
          <cell r="AJ871">
            <v>0</v>
          </cell>
          <cell r="BZ871" t="str">
            <v/>
          </cell>
        </row>
        <row r="872">
          <cell r="C872" t="str">
            <v/>
          </cell>
          <cell r="X872">
            <v>0</v>
          </cell>
          <cell r="Y872">
            <v>0</v>
          </cell>
          <cell r="Z872">
            <v>0</v>
          </cell>
          <cell r="AA872">
            <v>0</v>
          </cell>
          <cell r="AB872">
            <v>0</v>
          </cell>
          <cell r="AF872">
            <v>0</v>
          </cell>
          <cell r="AG872">
            <v>0</v>
          </cell>
          <cell r="AH872">
            <v>0</v>
          </cell>
          <cell r="AI872">
            <v>0</v>
          </cell>
          <cell r="AJ872">
            <v>0</v>
          </cell>
          <cell r="BZ872" t="str">
            <v/>
          </cell>
        </row>
        <row r="873">
          <cell r="C873" t="str">
            <v/>
          </cell>
          <cell r="X873">
            <v>0</v>
          </cell>
          <cell r="Y873">
            <v>0</v>
          </cell>
          <cell r="Z873">
            <v>0</v>
          </cell>
          <cell r="AA873">
            <v>0</v>
          </cell>
          <cell r="AB873">
            <v>0</v>
          </cell>
          <cell r="AF873">
            <v>0</v>
          </cell>
          <cell r="AG873">
            <v>0</v>
          </cell>
          <cell r="AH873">
            <v>0</v>
          </cell>
          <cell r="AI873">
            <v>0</v>
          </cell>
          <cell r="AJ873">
            <v>0</v>
          </cell>
          <cell r="BZ873" t="str">
            <v/>
          </cell>
        </row>
        <row r="874">
          <cell r="C874" t="str">
            <v/>
          </cell>
          <cell r="X874">
            <v>0</v>
          </cell>
          <cell r="Y874">
            <v>0</v>
          </cell>
          <cell r="Z874">
            <v>0</v>
          </cell>
          <cell r="AA874">
            <v>0</v>
          </cell>
          <cell r="AB874">
            <v>0</v>
          </cell>
          <cell r="AF874">
            <v>0</v>
          </cell>
          <cell r="AG874">
            <v>0</v>
          </cell>
          <cell r="AH874">
            <v>0</v>
          </cell>
          <cell r="AI874">
            <v>0</v>
          </cell>
          <cell r="AJ874">
            <v>0</v>
          </cell>
          <cell r="BZ874" t="str">
            <v/>
          </cell>
        </row>
        <row r="875">
          <cell r="C875" t="str">
            <v/>
          </cell>
          <cell r="X875">
            <v>0</v>
          </cell>
          <cell r="Y875">
            <v>0</v>
          </cell>
          <cell r="Z875">
            <v>0</v>
          </cell>
          <cell r="AA875">
            <v>0</v>
          </cell>
          <cell r="AB875">
            <v>0</v>
          </cell>
          <cell r="AF875">
            <v>0</v>
          </cell>
          <cell r="AG875">
            <v>0</v>
          </cell>
          <cell r="AH875">
            <v>0</v>
          </cell>
          <cell r="AI875">
            <v>0</v>
          </cell>
          <cell r="AJ875">
            <v>0</v>
          </cell>
          <cell r="BZ875" t="str">
            <v/>
          </cell>
        </row>
        <row r="876">
          <cell r="C876" t="str">
            <v/>
          </cell>
          <cell r="X876">
            <v>0</v>
          </cell>
          <cell r="Y876">
            <v>0</v>
          </cell>
          <cell r="Z876">
            <v>0</v>
          </cell>
          <cell r="AA876">
            <v>0</v>
          </cell>
          <cell r="AB876">
            <v>0</v>
          </cell>
          <cell r="AF876">
            <v>0</v>
          </cell>
          <cell r="AG876">
            <v>0</v>
          </cell>
          <cell r="AH876">
            <v>0</v>
          </cell>
          <cell r="AI876">
            <v>0</v>
          </cell>
          <cell r="AJ876">
            <v>0</v>
          </cell>
          <cell r="BZ876" t="str">
            <v/>
          </cell>
        </row>
        <row r="877">
          <cell r="C877" t="str">
            <v/>
          </cell>
          <cell r="X877">
            <v>0</v>
          </cell>
          <cell r="Y877">
            <v>0</v>
          </cell>
          <cell r="Z877">
            <v>0</v>
          </cell>
          <cell r="AA877">
            <v>0</v>
          </cell>
          <cell r="AB877">
            <v>0</v>
          </cell>
          <cell r="AF877">
            <v>0</v>
          </cell>
          <cell r="AG877">
            <v>0</v>
          </cell>
          <cell r="AH877">
            <v>0</v>
          </cell>
          <cell r="AI877">
            <v>0</v>
          </cell>
          <cell r="AJ877">
            <v>0</v>
          </cell>
          <cell r="BZ877" t="str">
            <v/>
          </cell>
        </row>
        <row r="878">
          <cell r="C878" t="str">
            <v/>
          </cell>
          <cell r="X878">
            <v>0</v>
          </cell>
          <cell r="Y878">
            <v>0</v>
          </cell>
          <cell r="Z878">
            <v>0</v>
          </cell>
          <cell r="AA878">
            <v>0</v>
          </cell>
          <cell r="AB878">
            <v>0</v>
          </cell>
          <cell r="AF878">
            <v>0</v>
          </cell>
          <cell r="AG878">
            <v>0</v>
          </cell>
          <cell r="AH878">
            <v>0</v>
          </cell>
          <cell r="AI878">
            <v>0</v>
          </cell>
          <cell r="AJ878">
            <v>0</v>
          </cell>
          <cell r="BZ878" t="str">
            <v/>
          </cell>
        </row>
        <row r="879">
          <cell r="C879" t="str">
            <v/>
          </cell>
          <cell r="X879">
            <v>0</v>
          </cell>
          <cell r="Y879">
            <v>0</v>
          </cell>
          <cell r="Z879">
            <v>0</v>
          </cell>
          <cell r="AA879">
            <v>0</v>
          </cell>
          <cell r="AB879">
            <v>0</v>
          </cell>
          <cell r="AF879">
            <v>0</v>
          </cell>
          <cell r="AG879">
            <v>0</v>
          </cell>
          <cell r="AH879">
            <v>0</v>
          </cell>
          <cell r="AI879">
            <v>0</v>
          </cell>
          <cell r="AJ879">
            <v>0</v>
          </cell>
          <cell r="BZ879" t="str">
            <v/>
          </cell>
        </row>
        <row r="880">
          <cell r="C880" t="str">
            <v/>
          </cell>
          <cell r="X880">
            <v>0</v>
          </cell>
          <cell r="Y880">
            <v>0</v>
          </cell>
          <cell r="Z880">
            <v>0</v>
          </cell>
          <cell r="AA880">
            <v>0</v>
          </cell>
          <cell r="AB880">
            <v>0</v>
          </cell>
          <cell r="AF880">
            <v>0</v>
          </cell>
          <cell r="AG880">
            <v>0</v>
          </cell>
          <cell r="AH880">
            <v>0</v>
          </cell>
          <cell r="AI880">
            <v>0</v>
          </cell>
          <cell r="AJ880">
            <v>0</v>
          </cell>
          <cell r="BZ880" t="str">
            <v/>
          </cell>
        </row>
        <row r="881">
          <cell r="C881" t="str">
            <v/>
          </cell>
          <cell r="X881">
            <v>0</v>
          </cell>
          <cell r="Y881">
            <v>0</v>
          </cell>
          <cell r="Z881">
            <v>0</v>
          </cell>
          <cell r="AA881">
            <v>0</v>
          </cell>
          <cell r="AB881">
            <v>0</v>
          </cell>
          <cell r="AF881">
            <v>0</v>
          </cell>
          <cell r="AG881">
            <v>0</v>
          </cell>
          <cell r="AH881">
            <v>0</v>
          </cell>
          <cell r="AI881">
            <v>0</v>
          </cell>
          <cell r="AJ881">
            <v>0</v>
          </cell>
          <cell r="BZ881" t="str">
            <v/>
          </cell>
        </row>
        <row r="882">
          <cell r="C882" t="str">
            <v/>
          </cell>
          <cell r="X882">
            <v>0</v>
          </cell>
          <cell r="Y882">
            <v>0</v>
          </cell>
          <cell r="Z882">
            <v>0</v>
          </cell>
          <cell r="AA882">
            <v>0</v>
          </cell>
          <cell r="AB882">
            <v>0</v>
          </cell>
          <cell r="AF882">
            <v>0</v>
          </cell>
          <cell r="AG882">
            <v>0</v>
          </cell>
          <cell r="AH882">
            <v>0</v>
          </cell>
          <cell r="AI882">
            <v>0</v>
          </cell>
          <cell r="AJ882">
            <v>0</v>
          </cell>
          <cell r="BZ882" t="str">
            <v/>
          </cell>
        </row>
        <row r="883">
          <cell r="C883" t="str">
            <v/>
          </cell>
          <cell r="X883">
            <v>0</v>
          </cell>
          <cell r="Y883">
            <v>0</v>
          </cell>
          <cell r="Z883">
            <v>0</v>
          </cell>
          <cell r="AA883">
            <v>0</v>
          </cell>
          <cell r="AB883">
            <v>0</v>
          </cell>
          <cell r="AF883">
            <v>0</v>
          </cell>
          <cell r="AG883">
            <v>0</v>
          </cell>
          <cell r="AH883">
            <v>0</v>
          </cell>
          <cell r="AI883">
            <v>0</v>
          </cell>
          <cell r="AJ883">
            <v>0</v>
          </cell>
          <cell r="BZ883" t="str">
            <v/>
          </cell>
        </row>
        <row r="884">
          <cell r="C884" t="str">
            <v/>
          </cell>
          <cell r="X884">
            <v>0</v>
          </cell>
          <cell r="Y884">
            <v>0</v>
          </cell>
          <cell r="Z884">
            <v>0</v>
          </cell>
          <cell r="AA884">
            <v>0</v>
          </cell>
          <cell r="AB884">
            <v>0</v>
          </cell>
          <cell r="AF884">
            <v>0</v>
          </cell>
          <cell r="AG884">
            <v>0</v>
          </cell>
          <cell r="AH884">
            <v>0</v>
          </cell>
          <cell r="AI884">
            <v>0</v>
          </cell>
          <cell r="AJ884">
            <v>0</v>
          </cell>
          <cell r="BZ884" t="str">
            <v/>
          </cell>
        </row>
        <row r="885">
          <cell r="C885" t="str">
            <v/>
          </cell>
          <cell r="X885">
            <v>0</v>
          </cell>
          <cell r="Y885">
            <v>0</v>
          </cell>
          <cell r="Z885">
            <v>0</v>
          </cell>
          <cell r="AA885">
            <v>0</v>
          </cell>
          <cell r="AB885">
            <v>0</v>
          </cell>
          <cell r="AF885">
            <v>0</v>
          </cell>
          <cell r="AG885">
            <v>0</v>
          </cell>
          <cell r="AH885">
            <v>0</v>
          </cell>
          <cell r="AI885">
            <v>0</v>
          </cell>
          <cell r="AJ885">
            <v>0</v>
          </cell>
          <cell r="BZ885" t="str">
            <v/>
          </cell>
        </row>
        <row r="886">
          <cell r="C886" t="str">
            <v/>
          </cell>
          <cell r="X886">
            <v>0</v>
          </cell>
          <cell r="Y886">
            <v>0</v>
          </cell>
          <cell r="Z886">
            <v>0</v>
          </cell>
          <cell r="AA886">
            <v>0</v>
          </cell>
          <cell r="AB886">
            <v>0</v>
          </cell>
          <cell r="AF886">
            <v>0</v>
          </cell>
          <cell r="AG886">
            <v>0</v>
          </cell>
          <cell r="AH886">
            <v>0</v>
          </cell>
          <cell r="AI886">
            <v>0</v>
          </cell>
          <cell r="AJ886">
            <v>0</v>
          </cell>
          <cell r="BZ886" t="str">
            <v/>
          </cell>
        </row>
        <row r="887">
          <cell r="C887" t="str">
            <v/>
          </cell>
          <cell r="X887">
            <v>0</v>
          </cell>
          <cell r="Y887">
            <v>0</v>
          </cell>
          <cell r="Z887">
            <v>0</v>
          </cell>
          <cell r="AA887">
            <v>0</v>
          </cell>
          <cell r="AB887">
            <v>0</v>
          </cell>
          <cell r="AF887">
            <v>0</v>
          </cell>
          <cell r="AG887">
            <v>0</v>
          </cell>
          <cell r="AH887">
            <v>0</v>
          </cell>
          <cell r="AI887">
            <v>0</v>
          </cell>
          <cell r="AJ887">
            <v>0</v>
          </cell>
          <cell r="BZ887" t="str">
            <v/>
          </cell>
        </row>
        <row r="888">
          <cell r="C888" t="str">
            <v/>
          </cell>
          <cell r="X888">
            <v>0</v>
          </cell>
          <cell r="Y888">
            <v>0</v>
          </cell>
          <cell r="Z888">
            <v>0</v>
          </cell>
          <cell r="AA888">
            <v>0</v>
          </cell>
          <cell r="AB888">
            <v>0</v>
          </cell>
          <cell r="AF888">
            <v>0</v>
          </cell>
          <cell r="AG888">
            <v>0</v>
          </cell>
          <cell r="AH888">
            <v>0</v>
          </cell>
          <cell r="AI888">
            <v>0</v>
          </cell>
          <cell r="AJ888">
            <v>0</v>
          </cell>
          <cell r="BZ888" t="str">
            <v/>
          </cell>
        </row>
        <row r="889">
          <cell r="C889" t="str">
            <v/>
          </cell>
          <cell r="X889">
            <v>0</v>
          </cell>
          <cell r="Y889">
            <v>0</v>
          </cell>
          <cell r="Z889">
            <v>0</v>
          </cell>
          <cell r="AA889">
            <v>0</v>
          </cell>
          <cell r="AB889">
            <v>0</v>
          </cell>
          <cell r="AF889">
            <v>0</v>
          </cell>
          <cell r="AG889">
            <v>0</v>
          </cell>
          <cell r="AH889">
            <v>0</v>
          </cell>
          <cell r="AI889">
            <v>0</v>
          </cell>
          <cell r="AJ889">
            <v>0</v>
          </cell>
          <cell r="BZ889" t="str">
            <v/>
          </cell>
        </row>
        <row r="890">
          <cell r="C890" t="str">
            <v/>
          </cell>
          <cell r="X890">
            <v>0</v>
          </cell>
          <cell r="Y890">
            <v>0</v>
          </cell>
          <cell r="Z890">
            <v>0</v>
          </cell>
          <cell r="AA890">
            <v>0</v>
          </cell>
          <cell r="AB890">
            <v>0</v>
          </cell>
          <cell r="AF890">
            <v>0</v>
          </cell>
          <cell r="AG890">
            <v>0</v>
          </cell>
          <cell r="AH890">
            <v>0</v>
          </cell>
          <cell r="AI890">
            <v>0</v>
          </cell>
          <cell r="AJ890">
            <v>0</v>
          </cell>
          <cell r="BZ890" t="str">
            <v/>
          </cell>
        </row>
        <row r="891">
          <cell r="C891" t="str">
            <v/>
          </cell>
          <cell r="X891">
            <v>0</v>
          </cell>
          <cell r="Y891">
            <v>0</v>
          </cell>
          <cell r="Z891">
            <v>0</v>
          </cell>
          <cell r="AA891">
            <v>0</v>
          </cell>
          <cell r="AB891">
            <v>0</v>
          </cell>
          <cell r="AF891">
            <v>0</v>
          </cell>
          <cell r="AG891">
            <v>0</v>
          </cell>
          <cell r="AH891">
            <v>0</v>
          </cell>
          <cell r="AI891">
            <v>0</v>
          </cell>
          <cell r="AJ891">
            <v>0</v>
          </cell>
          <cell r="BZ891" t="str">
            <v/>
          </cell>
        </row>
        <row r="892">
          <cell r="C892" t="str">
            <v/>
          </cell>
          <cell r="X892">
            <v>0</v>
          </cell>
          <cell r="Y892">
            <v>0</v>
          </cell>
          <cell r="Z892">
            <v>0</v>
          </cell>
          <cell r="AA892">
            <v>0</v>
          </cell>
          <cell r="AB892">
            <v>0</v>
          </cell>
          <cell r="AF892">
            <v>0</v>
          </cell>
          <cell r="AG892">
            <v>0</v>
          </cell>
          <cell r="AH892">
            <v>0</v>
          </cell>
          <cell r="AI892">
            <v>0</v>
          </cell>
          <cell r="AJ892">
            <v>0</v>
          </cell>
          <cell r="BZ892" t="str">
            <v/>
          </cell>
        </row>
        <row r="893">
          <cell r="C893" t="str">
            <v/>
          </cell>
          <cell r="X893">
            <v>0</v>
          </cell>
          <cell r="Y893">
            <v>0</v>
          </cell>
          <cell r="Z893">
            <v>0</v>
          </cell>
          <cell r="AA893">
            <v>0</v>
          </cell>
          <cell r="AB893">
            <v>0</v>
          </cell>
          <cell r="AF893">
            <v>0</v>
          </cell>
          <cell r="AG893">
            <v>0</v>
          </cell>
          <cell r="AH893">
            <v>0</v>
          </cell>
          <cell r="AI893">
            <v>0</v>
          </cell>
          <cell r="AJ893">
            <v>0</v>
          </cell>
          <cell r="BZ893" t="str">
            <v/>
          </cell>
        </row>
        <row r="894">
          <cell r="C894" t="str">
            <v/>
          </cell>
          <cell r="X894">
            <v>0</v>
          </cell>
          <cell r="Y894">
            <v>0</v>
          </cell>
          <cell r="Z894">
            <v>0</v>
          </cell>
          <cell r="AA894">
            <v>0</v>
          </cell>
          <cell r="AB894">
            <v>0</v>
          </cell>
          <cell r="AF894">
            <v>0</v>
          </cell>
          <cell r="AG894">
            <v>0</v>
          </cell>
          <cell r="AH894">
            <v>0</v>
          </cell>
          <cell r="AI894">
            <v>0</v>
          </cell>
          <cell r="AJ894">
            <v>0</v>
          </cell>
          <cell r="BZ894" t="str">
            <v/>
          </cell>
        </row>
        <row r="895">
          <cell r="C895" t="str">
            <v/>
          </cell>
          <cell r="X895">
            <v>0</v>
          </cell>
          <cell r="Y895">
            <v>0</v>
          </cell>
          <cell r="Z895">
            <v>0</v>
          </cell>
          <cell r="AA895">
            <v>0</v>
          </cell>
          <cell r="AB895">
            <v>0</v>
          </cell>
          <cell r="AF895">
            <v>0</v>
          </cell>
          <cell r="AG895">
            <v>0</v>
          </cell>
          <cell r="AH895">
            <v>0</v>
          </cell>
          <cell r="AI895">
            <v>0</v>
          </cell>
          <cell r="AJ895">
            <v>0</v>
          </cell>
          <cell r="BZ895" t="str">
            <v/>
          </cell>
        </row>
        <row r="896">
          <cell r="C896" t="str">
            <v/>
          </cell>
          <cell r="X896">
            <v>0</v>
          </cell>
          <cell r="Y896">
            <v>0</v>
          </cell>
          <cell r="Z896">
            <v>0</v>
          </cell>
          <cell r="AA896">
            <v>0</v>
          </cell>
          <cell r="AB896">
            <v>0</v>
          </cell>
          <cell r="AF896">
            <v>0</v>
          </cell>
          <cell r="AG896">
            <v>0</v>
          </cell>
          <cell r="AH896">
            <v>0</v>
          </cell>
          <cell r="AI896">
            <v>0</v>
          </cell>
          <cell r="AJ896">
            <v>0</v>
          </cell>
          <cell r="BZ896" t="str">
            <v/>
          </cell>
        </row>
        <row r="897">
          <cell r="C897" t="str">
            <v/>
          </cell>
          <cell r="X897">
            <v>0</v>
          </cell>
          <cell r="Y897">
            <v>0</v>
          </cell>
          <cell r="Z897">
            <v>0</v>
          </cell>
          <cell r="AA897">
            <v>0</v>
          </cell>
          <cell r="AB897">
            <v>0</v>
          </cell>
          <cell r="AF897">
            <v>0</v>
          </cell>
          <cell r="AG897">
            <v>0</v>
          </cell>
          <cell r="AH897">
            <v>0</v>
          </cell>
          <cell r="AI897">
            <v>0</v>
          </cell>
          <cell r="AJ897">
            <v>0</v>
          </cell>
          <cell r="BZ897" t="str">
            <v/>
          </cell>
        </row>
        <row r="898">
          <cell r="C898" t="str">
            <v/>
          </cell>
          <cell r="X898">
            <v>0</v>
          </cell>
          <cell r="Y898">
            <v>0</v>
          </cell>
          <cell r="Z898">
            <v>0</v>
          </cell>
          <cell r="AA898">
            <v>0</v>
          </cell>
          <cell r="AB898">
            <v>0</v>
          </cell>
          <cell r="AF898">
            <v>0</v>
          </cell>
          <cell r="AG898">
            <v>0</v>
          </cell>
          <cell r="AH898">
            <v>0</v>
          </cell>
          <cell r="AI898">
            <v>0</v>
          </cell>
          <cell r="AJ898">
            <v>0</v>
          </cell>
          <cell r="BZ898" t="str">
            <v/>
          </cell>
        </row>
        <row r="899">
          <cell r="C899" t="str">
            <v/>
          </cell>
          <cell r="X899">
            <v>0</v>
          </cell>
          <cell r="Y899">
            <v>0</v>
          </cell>
          <cell r="Z899">
            <v>0</v>
          </cell>
          <cell r="AA899">
            <v>0</v>
          </cell>
          <cell r="AB899">
            <v>0</v>
          </cell>
          <cell r="AF899">
            <v>0</v>
          </cell>
          <cell r="AG899">
            <v>0</v>
          </cell>
          <cell r="AH899">
            <v>0</v>
          </cell>
          <cell r="AI899">
            <v>0</v>
          </cell>
          <cell r="AJ899">
            <v>0</v>
          </cell>
          <cell r="BZ899" t="str">
            <v/>
          </cell>
        </row>
        <row r="900">
          <cell r="C900" t="str">
            <v/>
          </cell>
          <cell r="X900">
            <v>0</v>
          </cell>
          <cell r="Y900">
            <v>0</v>
          </cell>
          <cell r="Z900">
            <v>0</v>
          </cell>
          <cell r="AA900">
            <v>0</v>
          </cell>
          <cell r="AB900">
            <v>0</v>
          </cell>
          <cell r="AF900">
            <v>0</v>
          </cell>
          <cell r="AG900">
            <v>0</v>
          </cell>
          <cell r="AH900">
            <v>0</v>
          </cell>
          <cell r="AI900">
            <v>0</v>
          </cell>
          <cell r="AJ900">
            <v>0</v>
          </cell>
          <cell r="BZ900" t="str">
            <v/>
          </cell>
        </row>
        <row r="901">
          <cell r="C901" t="str">
            <v/>
          </cell>
          <cell r="X901">
            <v>0</v>
          </cell>
          <cell r="Y901">
            <v>0</v>
          </cell>
          <cell r="Z901">
            <v>0</v>
          </cell>
          <cell r="AA901">
            <v>0</v>
          </cell>
          <cell r="AB901">
            <v>0</v>
          </cell>
          <cell r="AF901">
            <v>0</v>
          </cell>
          <cell r="AG901">
            <v>0</v>
          </cell>
          <cell r="AH901">
            <v>0</v>
          </cell>
          <cell r="AI901">
            <v>0</v>
          </cell>
          <cell r="AJ901">
            <v>0</v>
          </cell>
          <cell r="BZ901" t="str">
            <v/>
          </cell>
        </row>
        <row r="902">
          <cell r="C902" t="str">
            <v/>
          </cell>
          <cell r="X902">
            <v>0</v>
          </cell>
          <cell r="Y902">
            <v>0</v>
          </cell>
          <cell r="Z902">
            <v>0</v>
          </cell>
          <cell r="AA902">
            <v>0</v>
          </cell>
          <cell r="AB902">
            <v>0</v>
          </cell>
          <cell r="AF902">
            <v>0</v>
          </cell>
          <cell r="AG902">
            <v>0</v>
          </cell>
          <cell r="AH902">
            <v>0</v>
          </cell>
          <cell r="AI902">
            <v>0</v>
          </cell>
          <cell r="AJ902">
            <v>0</v>
          </cell>
          <cell r="BZ902" t="str">
            <v/>
          </cell>
        </row>
        <row r="903">
          <cell r="C903" t="str">
            <v/>
          </cell>
          <cell r="X903">
            <v>0</v>
          </cell>
          <cell r="Y903">
            <v>0</v>
          </cell>
          <cell r="Z903">
            <v>0</v>
          </cell>
          <cell r="AA903">
            <v>0</v>
          </cell>
          <cell r="AB903">
            <v>0</v>
          </cell>
          <cell r="AF903">
            <v>0</v>
          </cell>
          <cell r="AG903">
            <v>0</v>
          </cell>
          <cell r="AH903">
            <v>0</v>
          </cell>
          <cell r="AI903">
            <v>0</v>
          </cell>
          <cell r="AJ903">
            <v>0</v>
          </cell>
          <cell r="BZ903" t="str">
            <v/>
          </cell>
        </row>
        <row r="904">
          <cell r="C904" t="str">
            <v/>
          </cell>
          <cell r="X904">
            <v>0</v>
          </cell>
          <cell r="Y904">
            <v>0</v>
          </cell>
          <cell r="Z904">
            <v>0</v>
          </cell>
          <cell r="AA904">
            <v>0</v>
          </cell>
          <cell r="AB904">
            <v>0</v>
          </cell>
          <cell r="AF904">
            <v>0</v>
          </cell>
          <cell r="AG904">
            <v>0</v>
          </cell>
          <cell r="AH904">
            <v>0</v>
          </cell>
          <cell r="AI904">
            <v>0</v>
          </cell>
          <cell r="AJ904">
            <v>0</v>
          </cell>
          <cell r="BZ904" t="str">
            <v/>
          </cell>
        </row>
        <row r="905">
          <cell r="C905" t="str">
            <v/>
          </cell>
          <cell r="X905">
            <v>0</v>
          </cell>
          <cell r="Y905">
            <v>0</v>
          </cell>
          <cell r="Z905">
            <v>0</v>
          </cell>
          <cell r="AA905">
            <v>0</v>
          </cell>
          <cell r="AB905">
            <v>0</v>
          </cell>
          <cell r="AF905">
            <v>0</v>
          </cell>
          <cell r="AG905">
            <v>0</v>
          </cell>
          <cell r="AH905">
            <v>0</v>
          </cell>
          <cell r="AI905">
            <v>0</v>
          </cell>
          <cell r="AJ905">
            <v>0</v>
          </cell>
          <cell r="BZ905" t="str">
            <v/>
          </cell>
        </row>
        <row r="906">
          <cell r="C906" t="str">
            <v/>
          </cell>
          <cell r="X906">
            <v>0</v>
          </cell>
          <cell r="Y906">
            <v>0</v>
          </cell>
          <cell r="Z906">
            <v>0</v>
          </cell>
          <cell r="AA906">
            <v>0</v>
          </cell>
          <cell r="AB906">
            <v>0</v>
          </cell>
          <cell r="AF906">
            <v>0</v>
          </cell>
          <cell r="AG906">
            <v>0</v>
          </cell>
          <cell r="AH906">
            <v>0</v>
          </cell>
          <cell r="AI906">
            <v>0</v>
          </cell>
          <cell r="AJ906">
            <v>0</v>
          </cell>
          <cell r="BZ906" t="str">
            <v/>
          </cell>
        </row>
        <row r="907">
          <cell r="C907" t="str">
            <v/>
          </cell>
          <cell r="X907">
            <v>0</v>
          </cell>
          <cell r="Y907">
            <v>0</v>
          </cell>
          <cell r="Z907">
            <v>0</v>
          </cell>
          <cell r="AA907">
            <v>0</v>
          </cell>
          <cell r="AB907">
            <v>0</v>
          </cell>
          <cell r="AF907">
            <v>0</v>
          </cell>
          <cell r="AG907">
            <v>0</v>
          </cell>
          <cell r="AH907">
            <v>0</v>
          </cell>
          <cell r="AI907">
            <v>0</v>
          </cell>
          <cell r="AJ907">
            <v>0</v>
          </cell>
          <cell r="BZ907" t="str">
            <v/>
          </cell>
        </row>
        <row r="908">
          <cell r="C908" t="str">
            <v/>
          </cell>
          <cell r="X908">
            <v>0</v>
          </cell>
          <cell r="Y908">
            <v>0</v>
          </cell>
          <cell r="Z908">
            <v>0</v>
          </cell>
          <cell r="AA908">
            <v>0</v>
          </cell>
          <cell r="AB908">
            <v>0</v>
          </cell>
          <cell r="AF908">
            <v>0</v>
          </cell>
          <cell r="AG908">
            <v>0</v>
          </cell>
          <cell r="AH908">
            <v>0</v>
          </cell>
          <cell r="AI908">
            <v>0</v>
          </cell>
          <cell r="AJ908">
            <v>0</v>
          </cell>
          <cell r="BZ908" t="str">
            <v/>
          </cell>
        </row>
        <row r="909">
          <cell r="C909" t="str">
            <v/>
          </cell>
          <cell r="X909">
            <v>0</v>
          </cell>
          <cell r="Y909">
            <v>0</v>
          </cell>
          <cell r="Z909">
            <v>0</v>
          </cell>
          <cell r="AA909">
            <v>0</v>
          </cell>
          <cell r="AB909">
            <v>0</v>
          </cell>
          <cell r="AF909">
            <v>0</v>
          </cell>
          <cell r="AG909">
            <v>0</v>
          </cell>
          <cell r="AH909">
            <v>0</v>
          </cell>
          <cell r="AI909">
            <v>0</v>
          </cell>
          <cell r="AJ909">
            <v>0</v>
          </cell>
          <cell r="BZ909" t="str">
            <v/>
          </cell>
        </row>
        <row r="910">
          <cell r="C910" t="str">
            <v/>
          </cell>
          <cell r="X910">
            <v>0</v>
          </cell>
          <cell r="Y910">
            <v>0</v>
          </cell>
          <cell r="Z910">
            <v>0</v>
          </cell>
          <cell r="AA910">
            <v>0</v>
          </cell>
          <cell r="AB910">
            <v>0</v>
          </cell>
          <cell r="AF910">
            <v>0</v>
          </cell>
          <cell r="AG910">
            <v>0</v>
          </cell>
          <cell r="AH910">
            <v>0</v>
          </cell>
          <cell r="AI910">
            <v>0</v>
          </cell>
          <cell r="AJ910">
            <v>0</v>
          </cell>
          <cell r="BZ910" t="str">
            <v/>
          </cell>
        </row>
        <row r="911">
          <cell r="C911" t="str">
            <v/>
          </cell>
          <cell r="X911">
            <v>0</v>
          </cell>
          <cell r="Y911">
            <v>0</v>
          </cell>
          <cell r="Z911">
            <v>0</v>
          </cell>
          <cell r="AA911">
            <v>0</v>
          </cell>
          <cell r="AB911">
            <v>0</v>
          </cell>
          <cell r="AF911">
            <v>0</v>
          </cell>
          <cell r="AG911">
            <v>0</v>
          </cell>
          <cell r="AH911">
            <v>0</v>
          </cell>
          <cell r="AI911">
            <v>0</v>
          </cell>
          <cell r="AJ911">
            <v>0</v>
          </cell>
          <cell r="BZ911" t="str">
            <v/>
          </cell>
        </row>
        <row r="912">
          <cell r="C912" t="str">
            <v/>
          </cell>
          <cell r="X912">
            <v>0</v>
          </cell>
          <cell r="Y912">
            <v>0</v>
          </cell>
          <cell r="Z912">
            <v>0</v>
          </cell>
          <cell r="AA912">
            <v>0</v>
          </cell>
          <cell r="AB912">
            <v>0</v>
          </cell>
          <cell r="AF912">
            <v>0</v>
          </cell>
          <cell r="AG912">
            <v>0</v>
          </cell>
          <cell r="AH912">
            <v>0</v>
          </cell>
          <cell r="AI912">
            <v>0</v>
          </cell>
          <cell r="AJ912">
            <v>0</v>
          </cell>
          <cell r="BZ912" t="str">
            <v/>
          </cell>
        </row>
        <row r="913">
          <cell r="C913" t="str">
            <v/>
          </cell>
          <cell r="X913">
            <v>0</v>
          </cell>
          <cell r="Y913">
            <v>0</v>
          </cell>
          <cell r="Z913">
            <v>0</v>
          </cell>
          <cell r="AA913">
            <v>0</v>
          </cell>
          <cell r="AB913">
            <v>0</v>
          </cell>
          <cell r="AF913">
            <v>0</v>
          </cell>
          <cell r="AG913">
            <v>0</v>
          </cell>
          <cell r="AH913">
            <v>0</v>
          </cell>
          <cell r="AI913">
            <v>0</v>
          </cell>
          <cell r="AJ913">
            <v>0</v>
          </cell>
          <cell r="BZ913" t="str">
            <v/>
          </cell>
        </row>
        <row r="914">
          <cell r="C914" t="str">
            <v/>
          </cell>
          <cell r="X914">
            <v>0</v>
          </cell>
          <cell r="Y914">
            <v>0</v>
          </cell>
          <cell r="Z914">
            <v>0</v>
          </cell>
          <cell r="AA914">
            <v>0</v>
          </cell>
          <cell r="AB914">
            <v>0</v>
          </cell>
          <cell r="AF914">
            <v>0</v>
          </cell>
          <cell r="AG914">
            <v>0</v>
          </cell>
          <cell r="AH914">
            <v>0</v>
          </cell>
          <cell r="AI914">
            <v>0</v>
          </cell>
          <cell r="AJ914">
            <v>0</v>
          </cell>
          <cell r="BZ914" t="str">
            <v/>
          </cell>
        </row>
        <row r="915">
          <cell r="C915" t="str">
            <v/>
          </cell>
          <cell r="X915">
            <v>0</v>
          </cell>
          <cell r="Y915">
            <v>0</v>
          </cell>
          <cell r="Z915">
            <v>0</v>
          </cell>
          <cell r="AA915">
            <v>0</v>
          </cell>
          <cell r="AB915">
            <v>0</v>
          </cell>
          <cell r="AF915">
            <v>0</v>
          </cell>
          <cell r="AG915">
            <v>0</v>
          </cell>
          <cell r="AH915">
            <v>0</v>
          </cell>
          <cell r="AI915">
            <v>0</v>
          </cell>
          <cell r="AJ915">
            <v>0</v>
          </cell>
          <cell r="BZ915" t="str">
            <v/>
          </cell>
        </row>
        <row r="916">
          <cell r="C916" t="str">
            <v/>
          </cell>
          <cell r="X916">
            <v>0</v>
          </cell>
          <cell r="Y916">
            <v>0</v>
          </cell>
          <cell r="Z916">
            <v>0</v>
          </cell>
          <cell r="AA916">
            <v>0</v>
          </cell>
          <cell r="AB916">
            <v>0</v>
          </cell>
          <cell r="AF916">
            <v>0</v>
          </cell>
          <cell r="AG916">
            <v>0</v>
          </cell>
          <cell r="AH916">
            <v>0</v>
          </cell>
          <cell r="AI916">
            <v>0</v>
          </cell>
          <cell r="AJ916">
            <v>0</v>
          </cell>
          <cell r="BZ916" t="str">
            <v/>
          </cell>
        </row>
        <row r="917">
          <cell r="C917" t="str">
            <v/>
          </cell>
          <cell r="X917">
            <v>0</v>
          </cell>
          <cell r="Y917">
            <v>0</v>
          </cell>
          <cell r="Z917">
            <v>0</v>
          </cell>
          <cell r="AA917">
            <v>0</v>
          </cell>
          <cell r="AB917">
            <v>0</v>
          </cell>
          <cell r="AF917">
            <v>0</v>
          </cell>
          <cell r="AG917">
            <v>0</v>
          </cell>
          <cell r="AH917">
            <v>0</v>
          </cell>
          <cell r="AI917">
            <v>0</v>
          </cell>
          <cell r="AJ917">
            <v>0</v>
          </cell>
          <cell r="BZ917" t="str">
            <v/>
          </cell>
        </row>
        <row r="918">
          <cell r="C918" t="str">
            <v/>
          </cell>
          <cell r="X918">
            <v>0</v>
          </cell>
          <cell r="Y918">
            <v>0</v>
          </cell>
          <cell r="Z918">
            <v>0</v>
          </cell>
          <cell r="AA918">
            <v>0</v>
          </cell>
          <cell r="AB918">
            <v>0</v>
          </cell>
          <cell r="AF918">
            <v>0</v>
          </cell>
          <cell r="AG918">
            <v>0</v>
          </cell>
          <cell r="AH918">
            <v>0</v>
          </cell>
          <cell r="AI918">
            <v>0</v>
          </cell>
          <cell r="AJ918">
            <v>0</v>
          </cell>
          <cell r="BZ918" t="str">
            <v/>
          </cell>
        </row>
        <row r="919">
          <cell r="C919" t="str">
            <v/>
          </cell>
          <cell r="X919">
            <v>0</v>
          </cell>
          <cell r="Y919">
            <v>0</v>
          </cell>
          <cell r="Z919">
            <v>0</v>
          </cell>
          <cell r="AA919">
            <v>0</v>
          </cell>
          <cell r="AB919">
            <v>0</v>
          </cell>
          <cell r="AF919">
            <v>0</v>
          </cell>
          <cell r="AG919">
            <v>0</v>
          </cell>
          <cell r="AH919">
            <v>0</v>
          </cell>
          <cell r="AI919">
            <v>0</v>
          </cell>
          <cell r="AJ919">
            <v>0</v>
          </cell>
          <cell r="BZ919" t="str">
            <v/>
          </cell>
        </row>
        <row r="920">
          <cell r="C920" t="str">
            <v/>
          </cell>
          <cell r="X920">
            <v>0</v>
          </cell>
          <cell r="Y920">
            <v>0</v>
          </cell>
          <cell r="Z920">
            <v>0</v>
          </cell>
          <cell r="AA920">
            <v>0</v>
          </cell>
          <cell r="AB920">
            <v>0</v>
          </cell>
          <cell r="AF920">
            <v>0</v>
          </cell>
          <cell r="AG920">
            <v>0</v>
          </cell>
          <cell r="AH920">
            <v>0</v>
          </cell>
          <cell r="AI920">
            <v>0</v>
          </cell>
          <cell r="AJ920">
            <v>0</v>
          </cell>
          <cell r="BZ920" t="str">
            <v/>
          </cell>
        </row>
        <row r="921">
          <cell r="C921" t="str">
            <v/>
          </cell>
          <cell r="X921">
            <v>0</v>
          </cell>
          <cell r="Y921">
            <v>0</v>
          </cell>
          <cell r="Z921">
            <v>0</v>
          </cell>
          <cell r="AA921">
            <v>0</v>
          </cell>
          <cell r="AB921">
            <v>0</v>
          </cell>
          <cell r="AF921">
            <v>0</v>
          </cell>
          <cell r="AG921">
            <v>0</v>
          </cell>
          <cell r="AH921">
            <v>0</v>
          </cell>
          <cell r="AI921">
            <v>0</v>
          </cell>
          <cell r="AJ921">
            <v>0</v>
          </cell>
          <cell r="BZ921" t="str">
            <v/>
          </cell>
        </row>
        <row r="922">
          <cell r="C922" t="str">
            <v/>
          </cell>
          <cell r="X922">
            <v>0</v>
          </cell>
          <cell r="Y922">
            <v>0</v>
          </cell>
          <cell r="Z922">
            <v>0</v>
          </cell>
          <cell r="AA922">
            <v>0</v>
          </cell>
          <cell r="AB922">
            <v>0</v>
          </cell>
          <cell r="AF922">
            <v>0</v>
          </cell>
          <cell r="AG922">
            <v>0</v>
          </cell>
          <cell r="AH922">
            <v>0</v>
          </cell>
          <cell r="AI922">
            <v>0</v>
          </cell>
          <cell r="AJ922">
            <v>0</v>
          </cell>
          <cell r="BZ922" t="str">
            <v/>
          </cell>
        </row>
        <row r="923">
          <cell r="C923" t="str">
            <v/>
          </cell>
          <cell r="X923">
            <v>0</v>
          </cell>
          <cell r="Y923">
            <v>0</v>
          </cell>
          <cell r="Z923">
            <v>0</v>
          </cell>
          <cell r="AA923">
            <v>0</v>
          </cell>
          <cell r="AB923">
            <v>0</v>
          </cell>
          <cell r="AF923">
            <v>0</v>
          </cell>
          <cell r="AG923">
            <v>0</v>
          </cell>
          <cell r="AH923">
            <v>0</v>
          </cell>
          <cell r="AI923">
            <v>0</v>
          </cell>
          <cell r="AJ923">
            <v>0</v>
          </cell>
          <cell r="BZ923" t="str">
            <v/>
          </cell>
        </row>
        <row r="924">
          <cell r="C924" t="str">
            <v/>
          </cell>
          <cell r="X924">
            <v>0</v>
          </cell>
          <cell r="Y924">
            <v>0</v>
          </cell>
          <cell r="Z924">
            <v>0</v>
          </cell>
          <cell r="AA924">
            <v>0</v>
          </cell>
          <cell r="AB924">
            <v>0</v>
          </cell>
          <cell r="AF924">
            <v>0</v>
          </cell>
          <cell r="AG924">
            <v>0</v>
          </cell>
          <cell r="AH924">
            <v>0</v>
          </cell>
          <cell r="AI924">
            <v>0</v>
          </cell>
          <cell r="AJ924">
            <v>0</v>
          </cell>
          <cell r="BZ924" t="str">
            <v/>
          </cell>
        </row>
        <row r="925">
          <cell r="C925" t="str">
            <v/>
          </cell>
          <cell r="X925">
            <v>0</v>
          </cell>
          <cell r="Y925">
            <v>0</v>
          </cell>
          <cell r="Z925">
            <v>0</v>
          </cell>
          <cell r="AA925">
            <v>0</v>
          </cell>
          <cell r="AB925">
            <v>0</v>
          </cell>
          <cell r="AF925">
            <v>0</v>
          </cell>
          <cell r="AG925">
            <v>0</v>
          </cell>
          <cell r="AH925">
            <v>0</v>
          </cell>
          <cell r="AI925">
            <v>0</v>
          </cell>
          <cell r="AJ925">
            <v>0</v>
          </cell>
          <cell r="BZ925" t="str">
            <v/>
          </cell>
        </row>
        <row r="926">
          <cell r="C926" t="str">
            <v/>
          </cell>
          <cell r="X926">
            <v>0</v>
          </cell>
          <cell r="Y926">
            <v>0</v>
          </cell>
          <cell r="Z926">
            <v>0</v>
          </cell>
          <cell r="AA926">
            <v>0</v>
          </cell>
          <cell r="AB926">
            <v>0</v>
          </cell>
          <cell r="AF926">
            <v>0</v>
          </cell>
          <cell r="AG926">
            <v>0</v>
          </cell>
          <cell r="AH926">
            <v>0</v>
          </cell>
          <cell r="AI926">
            <v>0</v>
          </cell>
          <cell r="AJ926">
            <v>0</v>
          </cell>
          <cell r="BZ926" t="str">
            <v/>
          </cell>
        </row>
        <row r="927">
          <cell r="C927" t="str">
            <v/>
          </cell>
          <cell r="X927">
            <v>0</v>
          </cell>
          <cell r="Y927">
            <v>0</v>
          </cell>
          <cell r="Z927">
            <v>0</v>
          </cell>
          <cell r="AA927">
            <v>0</v>
          </cell>
          <cell r="AB927">
            <v>0</v>
          </cell>
          <cell r="AF927">
            <v>0</v>
          </cell>
          <cell r="AG927">
            <v>0</v>
          </cell>
          <cell r="AH927">
            <v>0</v>
          </cell>
          <cell r="AI927">
            <v>0</v>
          </cell>
          <cell r="AJ927">
            <v>0</v>
          </cell>
          <cell r="BZ927" t="str">
            <v/>
          </cell>
        </row>
        <row r="928">
          <cell r="C928" t="str">
            <v/>
          </cell>
          <cell r="X928">
            <v>0</v>
          </cell>
          <cell r="Y928">
            <v>0</v>
          </cell>
          <cell r="Z928">
            <v>0</v>
          </cell>
          <cell r="AA928">
            <v>0</v>
          </cell>
          <cell r="AB928">
            <v>0</v>
          </cell>
          <cell r="AF928">
            <v>0</v>
          </cell>
          <cell r="AG928">
            <v>0</v>
          </cell>
          <cell r="AH928">
            <v>0</v>
          </cell>
          <cell r="AI928">
            <v>0</v>
          </cell>
          <cell r="AJ928">
            <v>0</v>
          </cell>
          <cell r="BZ928" t="str">
            <v/>
          </cell>
        </row>
        <row r="929">
          <cell r="C929" t="str">
            <v/>
          </cell>
          <cell r="X929">
            <v>0</v>
          </cell>
          <cell r="Y929">
            <v>0</v>
          </cell>
          <cell r="Z929">
            <v>0</v>
          </cell>
          <cell r="AA929">
            <v>0</v>
          </cell>
          <cell r="AB929">
            <v>0</v>
          </cell>
          <cell r="AF929">
            <v>0</v>
          </cell>
          <cell r="AG929">
            <v>0</v>
          </cell>
          <cell r="AH929">
            <v>0</v>
          </cell>
          <cell r="AI929">
            <v>0</v>
          </cell>
          <cell r="AJ929">
            <v>0</v>
          </cell>
          <cell r="BZ929" t="str">
            <v/>
          </cell>
        </row>
        <row r="930">
          <cell r="C930" t="str">
            <v/>
          </cell>
          <cell r="X930">
            <v>0</v>
          </cell>
          <cell r="Y930">
            <v>0</v>
          </cell>
          <cell r="Z930">
            <v>0</v>
          </cell>
          <cell r="AA930">
            <v>0</v>
          </cell>
          <cell r="AB930">
            <v>0</v>
          </cell>
          <cell r="AF930">
            <v>0</v>
          </cell>
          <cell r="AG930">
            <v>0</v>
          </cell>
          <cell r="AH930">
            <v>0</v>
          </cell>
          <cell r="AI930">
            <v>0</v>
          </cell>
          <cell r="AJ930">
            <v>0</v>
          </cell>
          <cell r="BZ930" t="str">
            <v/>
          </cell>
        </row>
        <row r="931">
          <cell r="C931" t="str">
            <v/>
          </cell>
          <cell r="X931">
            <v>0</v>
          </cell>
          <cell r="Y931">
            <v>0</v>
          </cell>
          <cell r="Z931">
            <v>0</v>
          </cell>
          <cell r="AA931">
            <v>0</v>
          </cell>
          <cell r="AB931">
            <v>0</v>
          </cell>
          <cell r="AF931">
            <v>0</v>
          </cell>
          <cell r="AG931">
            <v>0</v>
          </cell>
          <cell r="AH931">
            <v>0</v>
          </cell>
          <cell r="AI931">
            <v>0</v>
          </cell>
          <cell r="AJ931">
            <v>0</v>
          </cell>
          <cell r="BZ931" t="str">
            <v/>
          </cell>
        </row>
        <row r="932">
          <cell r="C932" t="str">
            <v/>
          </cell>
          <cell r="X932">
            <v>0</v>
          </cell>
          <cell r="Y932">
            <v>0</v>
          </cell>
          <cell r="Z932">
            <v>0</v>
          </cell>
          <cell r="AA932">
            <v>0</v>
          </cell>
          <cell r="AB932">
            <v>0</v>
          </cell>
          <cell r="AF932">
            <v>0</v>
          </cell>
          <cell r="AG932">
            <v>0</v>
          </cell>
          <cell r="AH932">
            <v>0</v>
          </cell>
          <cell r="AI932">
            <v>0</v>
          </cell>
          <cell r="AJ932">
            <v>0</v>
          </cell>
          <cell r="BZ932" t="str">
            <v/>
          </cell>
        </row>
        <row r="933">
          <cell r="C933" t="str">
            <v/>
          </cell>
          <cell r="X933">
            <v>0</v>
          </cell>
          <cell r="Y933">
            <v>0</v>
          </cell>
          <cell r="Z933">
            <v>0</v>
          </cell>
          <cell r="AA933">
            <v>0</v>
          </cell>
          <cell r="AB933">
            <v>0</v>
          </cell>
          <cell r="AF933">
            <v>0</v>
          </cell>
          <cell r="AG933">
            <v>0</v>
          </cell>
          <cell r="AH933">
            <v>0</v>
          </cell>
          <cell r="AI933">
            <v>0</v>
          </cell>
          <cell r="AJ933">
            <v>0</v>
          </cell>
          <cell r="BZ933" t="str">
            <v/>
          </cell>
        </row>
        <row r="934">
          <cell r="C934" t="str">
            <v/>
          </cell>
          <cell r="X934">
            <v>0</v>
          </cell>
          <cell r="Y934">
            <v>0</v>
          </cell>
          <cell r="Z934">
            <v>0</v>
          </cell>
          <cell r="AA934">
            <v>0</v>
          </cell>
          <cell r="AB934">
            <v>0</v>
          </cell>
          <cell r="AF934">
            <v>0</v>
          </cell>
          <cell r="AG934">
            <v>0</v>
          </cell>
          <cell r="AH934">
            <v>0</v>
          </cell>
          <cell r="AI934">
            <v>0</v>
          </cell>
          <cell r="AJ934">
            <v>0</v>
          </cell>
          <cell r="BZ934" t="str">
            <v/>
          </cell>
        </row>
        <row r="935">
          <cell r="C935" t="str">
            <v/>
          </cell>
          <cell r="X935">
            <v>0</v>
          </cell>
          <cell r="Y935">
            <v>0</v>
          </cell>
          <cell r="Z935">
            <v>0</v>
          </cell>
          <cell r="AA935">
            <v>0</v>
          </cell>
          <cell r="AB935">
            <v>0</v>
          </cell>
          <cell r="AF935">
            <v>0</v>
          </cell>
          <cell r="AG935">
            <v>0</v>
          </cell>
          <cell r="AH935">
            <v>0</v>
          </cell>
          <cell r="AI935">
            <v>0</v>
          </cell>
          <cell r="AJ935">
            <v>0</v>
          </cell>
          <cell r="BZ935" t="str">
            <v/>
          </cell>
        </row>
        <row r="936">
          <cell r="C936" t="str">
            <v/>
          </cell>
          <cell r="X936">
            <v>0</v>
          </cell>
          <cell r="Y936">
            <v>0</v>
          </cell>
          <cell r="Z936">
            <v>0</v>
          </cell>
          <cell r="AA936">
            <v>0</v>
          </cell>
          <cell r="AB936">
            <v>0</v>
          </cell>
          <cell r="AF936">
            <v>0</v>
          </cell>
          <cell r="AG936">
            <v>0</v>
          </cell>
          <cell r="AH936">
            <v>0</v>
          </cell>
          <cell r="AI936">
            <v>0</v>
          </cell>
          <cell r="AJ936">
            <v>0</v>
          </cell>
          <cell r="BZ936" t="str">
            <v/>
          </cell>
        </row>
        <row r="937">
          <cell r="C937" t="str">
            <v/>
          </cell>
          <cell r="X937">
            <v>0</v>
          </cell>
          <cell r="Y937">
            <v>0</v>
          </cell>
          <cell r="Z937">
            <v>0</v>
          </cell>
          <cell r="AA937">
            <v>0</v>
          </cell>
          <cell r="AB937">
            <v>0</v>
          </cell>
          <cell r="AF937">
            <v>0</v>
          </cell>
          <cell r="AG937">
            <v>0</v>
          </cell>
          <cell r="AH937">
            <v>0</v>
          </cell>
          <cell r="AI937">
            <v>0</v>
          </cell>
          <cell r="AJ937">
            <v>0</v>
          </cell>
          <cell r="BZ937" t="str">
            <v/>
          </cell>
        </row>
        <row r="938">
          <cell r="C938" t="str">
            <v/>
          </cell>
          <cell r="X938">
            <v>0</v>
          </cell>
          <cell r="Y938">
            <v>0</v>
          </cell>
          <cell r="Z938">
            <v>0</v>
          </cell>
          <cell r="AA938">
            <v>0</v>
          </cell>
          <cell r="AB938">
            <v>0</v>
          </cell>
          <cell r="AF938">
            <v>0</v>
          </cell>
          <cell r="AG938">
            <v>0</v>
          </cell>
          <cell r="AH938">
            <v>0</v>
          </cell>
          <cell r="AI938">
            <v>0</v>
          </cell>
          <cell r="AJ938">
            <v>0</v>
          </cell>
          <cell r="BZ938" t="str">
            <v/>
          </cell>
        </row>
        <row r="939">
          <cell r="C939" t="str">
            <v/>
          </cell>
          <cell r="X939">
            <v>0</v>
          </cell>
          <cell r="Y939">
            <v>0</v>
          </cell>
          <cell r="Z939">
            <v>0</v>
          </cell>
          <cell r="AA939">
            <v>0</v>
          </cell>
          <cell r="AB939">
            <v>0</v>
          </cell>
          <cell r="AF939">
            <v>0</v>
          </cell>
          <cell r="AG939">
            <v>0</v>
          </cell>
          <cell r="AH939">
            <v>0</v>
          </cell>
          <cell r="AI939">
            <v>0</v>
          </cell>
          <cell r="AJ939">
            <v>0</v>
          </cell>
          <cell r="BZ939" t="str">
            <v/>
          </cell>
        </row>
        <row r="940">
          <cell r="C940" t="str">
            <v/>
          </cell>
          <cell r="X940">
            <v>0</v>
          </cell>
          <cell r="Y940">
            <v>0</v>
          </cell>
          <cell r="Z940">
            <v>0</v>
          </cell>
          <cell r="AA940">
            <v>0</v>
          </cell>
          <cell r="AB940">
            <v>0</v>
          </cell>
          <cell r="AF940">
            <v>0</v>
          </cell>
          <cell r="AG940">
            <v>0</v>
          </cell>
          <cell r="AH940">
            <v>0</v>
          </cell>
          <cell r="AI940">
            <v>0</v>
          </cell>
          <cell r="AJ940">
            <v>0</v>
          </cell>
          <cell r="BZ940" t="str">
            <v/>
          </cell>
        </row>
        <row r="941">
          <cell r="C941" t="str">
            <v/>
          </cell>
          <cell r="X941">
            <v>0</v>
          </cell>
          <cell r="Y941">
            <v>0</v>
          </cell>
          <cell r="Z941">
            <v>0</v>
          </cell>
          <cell r="AA941">
            <v>0</v>
          </cell>
          <cell r="AB941">
            <v>0</v>
          </cell>
          <cell r="AF941">
            <v>0</v>
          </cell>
          <cell r="AG941">
            <v>0</v>
          </cell>
          <cell r="AH941">
            <v>0</v>
          </cell>
          <cell r="AI941">
            <v>0</v>
          </cell>
          <cell r="AJ941">
            <v>0</v>
          </cell>
          <cell r="BZ941" t="str">
            <v/>
          </cell>
        </row>
        <row r="942">
          <cell r="C942" t="str">
            <v/>
          </cell>
          <cell r="X942">
            <v>0</v>
          </cell>
          <cell r="Y942">
            <v>0</v>
          </cell>
          <cell r="Z942">
            <v>0</v>
          </cell>
          <cell r="AA942">
            <v>0</v>
          </cell>
          <cell r="AB942">
            <v>0</v>
          </cell>
          <cell r="AF942">
            <v>0</v>
          </cell>
          <cell r="AG942">
            <v>0</v>
          </cell>
          <cell r="AH942">
            <v>0</v>
          </cell>
          <cell r="AI942">
            <v>0</v>
          </cell>
          <cell r="AJ942">
            <v>0</v>
          </cell>
          <cell r="BZ942" t="str">
            <v/>
          </cell>
        </row>
        <row r="943">
          <cell r="C943" t="str">
            <v/>
          </cell>
          <cell r="X943">
            <v>0</v>
          </cell>
          <cell r="Y943">
            <v>0</v>
          </cell>
          <cell r="Z943">
            <v>0</v>
          </cell>
          <cell r="AA943">
            <v>0</v>
          </cell>
          <cell r="AB943">
            <v>0</v>
          </cell>
          <cell r="AF943">
            <v>0</v>
          </cell>
          <cell r="AG943">
            <v>0</v>
          </cell>
          <cell r="AH943">
            <v>0</v>
          </cell>
          <cell r="AI943">
            <v>0</v>
          </cell>
          <cell r="AJ943">
            <v>0</v>
          </cell>
          <cell r="BZ943" t="str">
            <v/>
          </cell>
        </row>
        <row r="944">
          <cell r="C944" t="str">
            <v/>
          </cell>
          <cell r="X944">
            <v>0</v>
          </cell>
          <cell r="Y944">
            <v>0</v>
          </cell>
          <cell r="Z944">
            <v>0</v>
          </cell>
          <cell r="AA944">
            <v>0</v>
          </cell>
          <cell r="AB944">
            <v>0</v>
          </cell>
          <cell r="AF944">
            <v>0</v>
          </cell>
          <cell r="AG944">
            <v>0</v>
          </cell>
          <cell r="AH944">
            <v>0</v>
          </cell>
          <cell r="AI944">
            <v>0</v>
          </cell>
          <cell r="AJ944">
            <v>0</v>
          </cell>
          <cell r="BZ944" t="str">
            <v/>
          </cell>
        </row>
        <row r="945">
          <cell r="C945" t="str">
            <v/>
          </cell>
          <cell r="X945">
            <v>0</v>
          </cell>
          <cell r="Y945">
            <v>0</v>
          </cell>
          <cell r="Z945">
            <v>0</v>
          </cell>
          <cell r="AA945">
            <v>0</v>
          </cell>
          <cell r="AB945">
            <v>0</v>
          </cell>
          <cell r="AF945">
            <v>0</v>
          </cell>
          <cell r="AG945">
            <v>0</v>
          </cell>
          <cell r="AH945">
            <v>0</v>
          </cell>
          <cell r="AI945">
            <v>0</v>
          </cell>
          <cell r="AJ945">
            <v>0</v>
          </cell>
          <cell r="BZ945" t="str">
            <v/>
          </cell>
        </row>
        <row r="946">
          <cell r="C946" t="str">
            <v/>
          </cell>
          <cell r="X946">
            <v>0</v>
          </cell>
          <cell r="Y946">
            <v>0</v>
          </cell>
          <cell r="Z946">
            <v>0</v>
          </cell>
          <cell r="AA946">
            <v>0</v>
          </cell>
          <cell r="AB946">
            <v>0</v>
          </cell>
          <cell r="AF946">
            <v>0</v>
          </cell>
          <cell r="AG946">
            <v>0</v>
          </cell>
          <cell r="AH946">
            <v>0</v>
          </cell>
          <cell r="AI946">
            <v>0</v>
          </cell>
          <cell r="AJ946">
            <v>0</v>
          </cell>
          <cell r="BZ946" t="str">
            <v/>
          </cell>
        </row>
        <row r="947">
          <cell r="C947" t="str">
            <v/>
          </cell>
          <cell r="X947">
            <v>0</v>
          </cell>
          <cell r="Y947">
            <v>0</v>
          </cell>
          <cell r="Z947">
            <v>0</v>
          </cell>
          <cell r="AA947">
            <v>0</v>
          </cell>
          <cell r="AB947">
            <v>0</v>
          </cell>
          <cell r="AF947">
            <v>0</v>
          </cell>
          <cell r="AG947">
            <v>0</v>
          </cell>
          <cell r="AH947">
            <v>0</v>
          </cell>
          <cell r="AI947">
            <v>0</v>
          </cell>
          <cell r="AJ947">
            <v>0</v>
          </cell>
          <cell r="BZ947" t="str">
            <v/>
          </cell>
        </row>
        <row r="948">
          <cell r="C948" t="str">
            <v/>
          </cell>
          <cell r="X948">
            <v>0</v>
          </cell>
          <cell r="Y948">
            <v>0</v>
          </cell>
          <cell r="Z948">
            <v>0</v>
          </cell>
          <cell r="AA948">
            <v>0</v>
          </cell>
          <cell r="AB948">
            <v>0</v>
          </cell>
          <cell r="AF948">
            <v>0</v>
          </cell>
          <cell r="AG948">
            <v>0</v>
          </cell>
          <cell r="AH948">
            <v>0</v>
          </cell>
          <cell r="AI948">
            <v>0</v>
          </cell>
          <cell r="AJ948">
            <v>0</v>
          </cell>
          <cell r="BZ948" t="str">
            <v/>
          </cell>
        </row>
        <row r="949">
          <cell r="C949" t="str">
            <v/>
          </cell>
          <cell r="X949">
            <v>0</v>
          </cell>
          <cell r="Y949">
            <v>0</v>
          </cell>
          <cell r="Z949">
            <v>0</v>
          </cell>
          <cell r="AA949">
            <v>0</v>
          </cell>
          <cell r="AB949">
            <v>0</v>
          </cell>
          <cell r="AF949">
            <v>0</v>
          </cell>
          <cell r="AG949">
            <v>0</v>
          </cell>
          <cell r="AH949">
            <v>0</v>
          </cell>
          <cell r="AI949">
            <v>0</v>
          </cell>
          <cell r="AJ949">
            <v>0</v>
          </cell>
          <cell r="BZ949" t="str">
            <v/>
          </cell>
        </row>
        <row r="950">
          <cell r="C950" t="str">
            <v/>
          </cell>
          <cell r="X950">
            <v>0</v>
          </cell>
          <cell r="Y950">
            <v>0</v>
          </cell>
          <cell r="Z950">
            <v>0</v>
          </cell>
          <cell r="AA950">
            <v>0</v>
          </cell>
          <cell r="AB950">
            <v>0</v>
          </cell>
          <cell r="AF950">
            <v>0</v>
          </cell>
          <cell r="AG950">
            <v>0</v>
          </cell>
          <cell r="AH950">
            <v>0</v>
          </cell>
          <cell r="AI950">
            <v>0</v>
          </cell>
          <cell r="AJ950">
            <v>0</v>
          </cell>
          <cell r="BZ950" t="str">
            <v/>
          </cell>
        </row>
        <row r="951">
          <cell r="C951" t="str">
            <v/>
          </cell>
          <cell r="X951">
            <v>0</v>
          </cell>
          <cell r="Y951">
            <v>0</v>
          </cell>
          <cell r="Z951">
            <v>0</v>
          </cell>
          <cell r="AA951">
            <v>0</v>
          </cell>
          <cell r="AB951">
            <v>0</v>
          </cell>
          <cell r="AF951">
            <v>0</v>
          </cell>
          <cell r="AG951">
            <v>0</v>
          </cell>
          <cell r="AH951">
            <v>0</v>
          </cell>
          <cell r="AI951">
            <v>0</v>
          </cell>
          <cell r="AJ951">
            <v>0</v>
          </cell>
          <cell r="BZ951" t="str">
            <v/>
          </cell>
        </row>
        <row r="952">
          <cell r="C952" t="str">
            <v/>
          </cell>
          <cell r="X952">
            <v>0</v>
          </cell>
          <cell r="Y952">
            <v>0</v>
          </cell>
          <cell r="Z952">
            <v>0</v>
          </cell>
          <cell r="AA952">
            <v>0</v>
          </cell>
          <cell r="AB952">
            <v>0</v>
          </cell>
          <cell r="AF952">
            <v>0</v>
          </cell>
          <cell r="AG952">
            <v>0</v>
          </cell>
          <cell r="AH952">
            <v>0</v>
          </cell>
          <cell r="AI952">
            <v>0</v>
          </cell>
          <cell r="AJ952">
            <v>0</v>
          </cell>
          <cell r="BZ952" t="str">
            <v/>
          </cell>
        </row>
        <row r="953">
          <cell r="C953" t="str">
            <v/>
          </cell>
          <cell r="X953">
            <v>0</v>
          </cell>
          <cell r="Y953">
            <v>0</v>
          </cell>
          <cell r="Z953">
            <v>0</v>
          </cell>
          <cell r="AA953">
            <v>0</v>
          </cell>
          <cell r="AB953">
            <v>0</v>
          </cell>
          <cell r="AF953">
            <v>0</v>
          </cell>
          <cell r="AG953">
            <v>0</v>
          </cell>
          <cell r="AH953">
            <v>0</v>
          </cell>
          <cell r="AI953">
            <v>0</v>
          </cell>
          <cell r="AJ953">
            <v>0</v>
          </cell>
          <cell r="BZ953" t="str">
            <v/>
          </cell>
        </row>
        <row r="954">
          <cell r="C954" t="str">
            <v/>
          </cell>
          <cell r="X954">
            <v>0</v>
          </cell>
          <cell r="Y954">
            <v>0</v>
          </cell>
          <cell r="Z954">
            <v>0</v>
          </cell>
          <cell r="AA954">
            <v>0</v>
          </cell>
          <cell r="AB954">
            <v>0</v>
          </cell>
          <cell r="AF954">
            <v>0</v>
          </cell>
          <cell r="AG954">
            <v>0</v>
          </cell>
          <cell r="AH954">
            <v>0</v>
          </cell>
          <cell r="AI954">
            <v>0</v>
          </cell>
          <cell r="AJ954">
            <v>0</v>
          </cell>
          <cell r="BZ954" t="str">
            <v/>
          </cell>
        </row>
        <row r="955">
          <cell r="C955" t="str">
            <v/>
          </cell>
          <cell r="X955">
            <v>0</v>
          </cell>
          <cell r="Y955">
            <v>0</v>
          </cell>
          <cell r="Z955">
            <v>0</v>
          </cell>
          <cell r="AA955">
            <v>0</v>
          </cell>
          <cell r="AB955">
            <v>0</v>
          </cell>
          <cell r="AF955">
            <v>0</v>
          </cell>
          <cell r="AG955">
            <v>0</v>
          </cell>
          <cell r="AH955">
            <v>0</v>
          </cell>
          <cell r="AI955">
            <v>0</v>
          </cell>
          <cell r="AJ955">
            <v>0</v>
          </cell>
          <cell r="BZ955" t="str">
            <v/>
          </cell>
        </row>
        <row r="956">
          <cell r="C956" t="str">
            <v/>
          </cell>
          <cell r="X956">
            <v>0</v>
          </cell>
          <cell r="Y956">
            <v>0</v>
          </cell>
          <cell r="Z956">
            <v>0</v>
          </cell>
          <cell r="AA956">
            <v>0</v>
          </cell>
          <cell r="AB956">
            <v>0</v>
          </cell>
          <cell r="AF956">
            <v>0</v>
          </cell>
          <cell r="AG956">
            <v>0</v>
          </cell>
          <cell r="AH956">
            <v>0</v>
          </cell>
          <cell r="AI956">
            <v>0</v>
          </cell>
          <cell r="AJ956">
            <v>0</v>
          </cell>
          <cell r="BZ956" t="str">
            <v/>
          </cell>
        </row>
        <row r="957">
          <cell r="C957" t="str">
            <v/>
          </cell>
          <cell r="X957">
            <v>0</v>
          </cell>
          <cell r="Y957">
            <v>0</v>
          </cell>
          <cell r="Z957">
            <v>0</v>
          </cell>
          <cell r="AA957">
            <v>0</v>
          </cell>
          <cell r="AB957">
            <v>0</v>
          </cell>
          <cell r="AF957">
            <v>0</v>
          </cell>
          <cell r="AG957">
            <v>0</v>
          </cell>
          <cell r="AH957">
            <v>0</v>
          </cell>
          <cell r="AI957">
            <v>0</v>
          </cell>
          <cell r="AJ957">
            <v>0</v>
          </cell>
          <cell r="BZ957" t="str">
            <v/>
          </cell>
        </row>
        <row r="958">
          <cell r="C958" t="str">
            <v/>
          </cell>
          <cell r="X958">
            <v>0</v>
          </cell>
          <cell r="Y958">
            <v>0</v>
          </cell>
          <cell r="Z958">
            <v>0</v>
          </cell>
          <cell r="AA958">
            <v>0</v>
          </cell>
          <cell r="AB958">
            <v>0</v>
          </cell>
          <cell r="AF958">
            <v>0</v>
          </cell>
          <cell r="AG958">
            <v>0</v>
          </cell>
          <cell r="AH958">
            <v>0</v>
          </cell>
          <cell r="AI958">
            <v>0</v>
          </cell>
          <cell r="AJ958">
            <v>0</v>
          </cell>
          <cell r="BZ958" t="str">
            <v/>
          </cell>
        </row>
        <row r="959">
          <cell r="C959" t="str">
            <v/>
          </cell>
          <cell r="X959">
            <v>0</v>
          </cell>
          <cell r="Y959">
            <v>0</v>
          </cell>
          <cell r="Z959">
            <v>0</v>
          </cell>
          <cell r="AA959">
            <v>0</v>
          </cell>
          <cell r="AB959">
            <v>0</v>
          </cell>
          <cell r="AF959">
            <v>0</v>
          </cell>
          <cell r="AG959">
            <v>0</v>
          </cell>
          <cell r="AH959">
            <v>0</v>
          </cell>
          <cell r="AI959">
            <v>0</v>
          </cell>
          <cell r="AJ959">
            <v>0</v>
          </cell>
          <cell r="BZ959" t="str">
            <v/>
          </cell>
        </row>
        <row r="960">
          <cell r="C960" t="str">
            <v/>
          </cell>
          <cell r="X960">
            <v>0</v>
          </cell>
          <cell r="Y960">
            <v>0</v>
          </cell>
          <cell r="Z960">
            <v>0</v>
          </cell>
          <cell r="AA960">
            <v>0</v>
          </cell>
          <cell r="AB960">
            <v>0</v>
          </cell>
          <cell r="AF960">
            <v>0</v>
          </cell>
          <cell r="AG960">
            <v>0</v>
          </cell>
          <cell r="AH960">
            <v>0</v>
          </cell>
          <cell r="AI960">
            <v>0</v>
          </cell>
          <cell r="AJ960">
            <v>0</v>
          </cell>
          <cell r="BZ960" t="str">
            <v/>
          </cell>
        </row>
        <row r="961">
          <cell r="C961" t="str">
            <v/>
          </cell>
          <cell r="X961">
            <v>0</v>
          </cell>
          <cell r="Y961">
            <v>0</v>
          </cell>
          <cell r="Z961">
            <v>0</v>
          </cell>
          <cell r="AA961">
            <v>0</v>
          </cell>
          <cell r="AB961">
            <v>0</v>
          </cell>
          <cell r="AF961">
            <v>0</v>
          </cell>
          <cell r="AG961">
            <v>0</v>
          </cell>
          <cell r="AH961">
            <v>0</v>
          </cell>
          <cell r="AI961">
            <v>0</v>
          </cell>
          <cell r="AJ961">
            <v>0</v>
          </cell>
          <cell r="BZ961" t="str">
            <v/>
          </cell>
        </row>
        <row r="962">
          <cell r="C962" t="str">
            <v/>
          </cell>
          <cell r="X962">
            <v>0</v>
          </cell>
          <cell r="Y962">
            <v>0</v>
          </cell>
          <cell r="Z962">
            <v>0</v>
          </cell>
          <cell r="AA962">
            <v>0</v>
          </cell>
          <cell r="AB962">
            <v>0</v>
          </cell>
          <cell r="AF962">
            <v>0</v>
          </cell>
          <cell r="AG962">
            <v>0</v>
          </cell>
          <cell r="AH962">
            <v>0</v>
          </cell>
          <cell r="AI962">
            <v>0</v>
          </cell>
          <cell r="AJ962">
            <v>0</v>
          </cell>
          <cell r="BZ962" t="str">
            <v/>
          </cell>
        </row>
        <row r="963">
          <cell r="C963" t="str">
            <v/>
          </cell>
          <cell r="X963">
            <v>0</v>
          </cell>
          <cell r="Y963">
            <v>0</v>
          </cell>
          <cell r="Z963">
            <v>0</v>
          </cell>
          <cell r="AA963">
            <v>0</v>
          </cell>
          <cell r="AB963">
            <v>0</v>
          </cell>
          <cell r="AF963">
            <v>0</v>
          </cell>
          <cell r="AG963">
            <v>0</v>
          </cell>
          <cell r="AH963">
            <v>0</v>
          </cell>
          <cell r="AI963">
            <v>0</v>
          </cell>
          <cell r="AJ963">
            <v>0</v>
          </cell>
          <cell r="BZ963" t="str">
            <v/>
          </cell>
        </row>
        <row r="964">
          <cell r="C964" t="str">
            <v/>
          </cell>
          <cell r="X964">
            <v>0</v>
          </cell>
          <cell r="Y964">
            <v>0</v>
          </cell>
          <cell r="Z964">
            <v>0</v>
          </cell>
          <cell r="AA964">
            <v>0</v>
          </cell>
          <cell r="AB964">
            <v>0</v>
          </cell>
          <cell r="AF964">
            <v>0</v>
          </cell>
          <cell r="AG964">
            <v>0</v>
          </cell>
          <cell r="AH964">
            <v>0</v>
          </cell>
          <cell r="AI964">
            <v>0</v>
          </cell>
          <cell r="AJ964">
            <v>0</v>
          </cell>
          <cell r="BZ964" t="str">
            <v/>
          </cell>
        </row>
        <row r="965">
          <cell r="C965" t="str">
            <v/>
          </cell>
          <cell r="X965">
            <v>0</v>
          </cell>
          <cell r="Y965">
            <v>0</v>
          </cell>
          <cell r="Z965">
            <v>0</v>
          </cell>
          <cell r="AA965">
            <v>0</v>
          </cell>
          <cell r="AB965">
            <v>0</v>
          </cell>
          <cell r="AF965">
            <v>0</v>
          </cell>
          <cell r="AG965">
            <v>0</v>
          </cell>
          <cell r="AH965">
            <v>0</v>
          </cell>
          <cell r="AI965">
            <v>0</v>
          </cell>
          <cell r="AJ965">
            <v>0</v>
          </cell>
          <cell r="BZ965" t="str">
            <v/>
          </cell>
        </row>
        <row r="966">
          <cell r="C966" t="str">
            <v/>
          </cell>
          <cell r="X966">
            <v>0</v>
          </cell>
          <cell r="Y966">
            <v>0</v>
          </cell>
          <cell r="Z966">
            <v>0</v>
          </cell>
          <cell r="AA966">
            <v>0</v>
          </cell>
          <cell r="AB966">
            <v>0</v>
          </cell>
          <cell r="AF966">
            <v>0</v>
          </cell>
          <cell r="AG966">
            <v>0</v>
          </cell>
          <cell r="AH966">
            <v>0</v>
          </cell>
          <cell r="AI966">
            <v>0</v>
          </cell>
          <cell r="AJ966">
            <v>0</v>
          </cell>
          <cell r="BZ966" t="str">
            <v/>
          </cell>
        </row>
        <row r="967">
          <cell r="C967" t="str">
            <v/>
          </cell>
          <cell r="X967">
            <v>0</v>
          </cell>
          <cell r="Y967">
            <v>0</v>
          </cell>
          <cell r="Z967">
            <v>0</v>
          </cell>
          <cell r="AA967">
            <v>0</v>
          </cell>
          <cell r="AB967">
            <v>0</v>
          </cell>
          <cell r="AF967">
            <v>0</v>
          </cell>
          <cell r="AG967">
            <v>0</v>
          </cell>
          <cell r="AH967">
            <v>0</v>
          </cell>
          <cell r="AI967">
            <v>0</v>
          </cell>
          <cell r="AJ967">
            <v>0</v>
          </cell>
          <cell r="BZ967" t="str">
            <v/>
          </cell>
        </row>
        <row r="968">
          <cell r="C968" t="str">
            <v/>
          </cell>
          <cell r="X968">
            <v>0</v>
          </cell>
          <cell r="Y968">
            <v>0</v>
          </cell>
          <cell r="Z968">
            <v>0</v>
          </cell>
          <cell r="AA968">
            <v>0</v>
          </cell>
          <cell r="AB968">
            <v>0</v>
          </cell>
          <cell r="AF968">
            <v>0</v>
          </cell>
          <cell r="AG968">
            <v>0</v>
          </cell>
          <cell r="AH968">
            <v>0</v>
          </cell>
          <cell r="AI968">
            <v>0</v>
          </cell>
          <cell r="AJ968">
            <v>0</v>
          </cell>
          <cell r="BZ968" t="str">
            <v/>
          </cell>
        </row>
        <row r="969">
          <cell r="C969" t="str">
            <v/>
          </cell>
          <cell r="X969">
            <v>0</v>
          </cell>
          <cell r="Y969">
            <v>0</v>
          </cell>
          <cell r="Z969">
            <v>0</v>
          </cell>
          <cell r="AA969">
            <v>0</v>
          </cell>
          <cell r="AB969">
            <v>0</v>
          </cell>
          <cell r="AF969">
            <v>0</v>
          </cell>
          <cell r="AG969">
            <v>0</v>
          </cell>
          <cell r="AH969">
            <v>0</v>
          </cell>
          <cell r="AI969">
            <v>0</v>
          </cell>
          <cell r="AJ969">
            <v>0</v>
          </cell>
          <cell r="BZ969" t="str">
            <v/>
          </cell>
        </row>
        <row r="970">
          <cell r="C970" t="str">
            <v/>
          </cell>
          <cell r="X970">
            <v>0</v>
          </cell>
          <cell r="Y970">
            <v>0</v>
          </cell>
          <cell r="Z970">
            <v>0</v>
          </cell>
          <cell r="AA970">
            <v>0</v>
          </cell>
          <cell r="AB970">
            <v>0</v>
          </cell>
          <cell r="AF970">
            <v>0</v>
          </cell>
          <cell r="AG970">
            <v>0</v>
          </cell>
          <cell r="AH970">
            <v>0</v>
          </cell>
          <cell r="AI970">
            <v>0</v>
          </cell>
          <cell r="AJ970">
            <v>0</v>
          </cell>
          <cell r="BZ970" t="str">
            <v/>
          </cell>
        </row>
        <row r="971">
          <cell r="C971" t="str">
            <v/>
          </cell>
          <cell r="X971">
            <v>0</v>
          </cell>
          <cell r="Y971">
            <v>0</v>
          </cell>
          <cell r="Z971">
            <v>0</v>
          </cell>
          <cell r="AA971">
            <v>0</v>
          </cell>
          <cell r="AB971">
            <v>0</v>
          </cell>
          <cell r="AF971">
            <v>0</v>
          </cell>
          <cell r="AG971">
            <v>0</v>
          </cell>
          <cell r="AH971">
            <v>0</v>
          </cell>
          <cell r="AI971">
            <v>0</v>
          </cell>
          <cell r="AJ971">
            <v>0</v>
          </cell>
          <cell r="BZ971" t="str">
            <v/>
          </cell>
        </row>
        <row r="972">
          <cell r="C972" t="str">
            <v/>
          </cell>
          <cell r="X972">
            <v>0</v>
          </cell>
          <cell r="Y972">
            <v>0</v>
          </cell>
          <cell r="Z972">
            <v>0</v>
          </cell>
          <cell r="AA972">
            <v>0</v>
          </cell>
          <cell r="AB972">
            <v>0</v>
          </cell>
          <cell r="AF972">
            <v>0</v>
          </cell>
          <cell r="AG972">
            <v>0</v>
          </cell>
          <cell r="AH972">
            <v>0</v>
          </cell>
          <cell r="AI972">
            <v>0</v>
          </cell>
          <cell r="AJ972">
            <v>0</v>
          </cell>
          <cell r="BZ972" t="str">
            <v/>
          </cell>
        </row>
        <row r="973">
          <cell r="C973" t="str">
            <v/>
          </cell>
          <cell r="X973">
            <v>0</v>
          </cell>
          <cell r="Y973">
            <v>0</v>
          </cell>
          <cell r="Z973">
            <v>0</v>
          </cell>
          <cell r="AA973">
            <v>0</v>
          </cell>
          <cell r="AB973">
            <v>0</v>
          </cell>
          <cell r="AF973">
            <v>0</v>
          </cell>
          <cell r="AG973">
            <v>0</v>
          </cell>
          <cell r="AH973">
            <v>0</v>
          </cell>
          <cell r="AI973">
            <v>0</v>
          </cell>
          <cell r="AJ973">
            <v>0</v>
          </cell>
          <cell r="BZ973" t="str">
            <v/>
          </cell>
        </row>
        <row r="974">
          <cell r="C974" t="str">
            <v/>
          </cell>
          <cell r="X974">
            <v>0</v>
          </cell>
          <cell r="Y974">
            <v>0</v>
          </cell>
          <cell r="Z974">
            <v>0</v>
          </cell>
          <cell r="AA974">
            <v>0</v>
          </cell>
          <cell r="AB974">
            <v>0</v>
          </cell>
          <cell r="AF974">
            <v>0</v>
          </cell>
          <cell r="AG974">
            <v>0</v>
          </cell>
          <cell r="AH974">
            <v>0</v>
          </cell>
          <cell r="AI974">
            <v>0</v>
          </cell>
          <cell r="AJ974">
            <v>0</v>
          </cell>
          <cell r="BZ974" t="str">
            <v/>
          </cell>
        </row>
        <row r="975">
          <cell r="C975" t="str">
            <v/>
          </cell>
          <cell r="X975">
            <v>0</v>
          </cell>
          <cell r="Y975">
            <v>0</v>
          </cell>
          <cell r="Z975">
            <v>0</v>
          </cell>
          <cell r="AA975">
            <v>0</v>
          </cell>
          <cell r="AB975">
            <v>0</v>
          </cell>
          <cell r="AF975">
            <v>0</v>
          </cell>
          <cell r="AG975">
            <v>0</v>
          </cell>
          <cell r="AH975">
            <v>0</v>
          </cell>
          <cell r="AI975">
            <v>0</v>
          </cell>
          <cell r="AJ975">
            <v>0</v>
          </cell>
          <cell r="BZ975" t="str">
            <v/>
          </cell>
        </row>
        <row r="976">
          <cell r="C976" t="str">
            <v/>
          </cell>
          <cell r="X976">
            <v>0</v>
          </cell>
          <cell r="Y976">
            <v>0</v>
          </cell>
          <cell r="Z976">
            <v>0</v>
          </cell>
          <cell r="AA976">
            <v>0</v>
          </cell>
          <cell r="AB976">
            <v>0</v>
          </cell>
          <cell r="AF976">
            <v>0</v>
          </cell>
          <cell r="AG976">
            <v>0</v>
          </cell>
          <cell r="AH976">
            <v>0</v>
          </cell>
          <cell r="AI976">
            <v>0</v>
          </cell>
          <cell r="AJ976">
            <v>0</v>
          </cell>
          <cell r="BZ976" t="str">
            <v/>
          </cell>
        </row>
        <row r="977">
          <cell r="C977" t="str">
            <v/>
          </cell>
          <cell r="X977">
            <v>0</v>
          </cell>
          <cell r="Y977">
            <v>0</v>
          </cell>
          <cell r="Z977">
            <v>0</v>
          </cell>
          <cell r="AA977">
            <v>0</v>
          </cell>
          <cell r="AB977">
            <v>0</v>
          </cell>
          <cell r="AF977">
            <v>0</v>
          </cell>
          <cell r="AG977">
            <v>0</v>
          </cell>
          <cell r="AH977">
            <v>0</v>
          </cell>
          <cell r="AI977">
            <v>0</v>
          </cell>
          <cell r="AJ977">
            <v>0</v>
          </cell>
          <cell r="BZ977" t="str">
            <v/>
          </cell>
        </row>
        <row r="978">
          <cell r="C978" t="str">
            <v/>
          </cell>
          <cell r="X978">
            <v>0</v>
          </cell>
          <cell r="Y978">
            <v>0</v>
          </cell>
          <cell r="Z978">
            <v>0</v>
          </cell>
          <cell r="AA978">
            <v>0</v>
          </cell>
          <cell r="AB978">
            <v>0</v>
          </cell>
          <cell r="AF978">
            <v>0</v>
          </cell>
          <cell r="AG978">
            <v>0</v>
          </cell>
          <cell r="AH978">
            <v>0</v>
          </cell>
          <cell r="AI978">
            <v>0</v>
          </cell>
          <cell r="AJ978">
            <v>0</v>
          </cell>
          <cell r="BZ978" t="str">
            <v/>
          </cell>
        </row>
        <row r="979">
          <cell r="C979" t="str">
            <v/>
          </cell>
          <cell r="X979">
            <v>0</v>
          </cell>
          <cell r="Y979">
            <v>0</v>
          </cell>
          <cell r="Z979">
            <v>0</v>
          </cell>
          <cell r="AA979">
            <v>0</v>
          </cell>
          <cell r="AB979">
            <v>0</v>
          </cell>
          <cell r="AF979">
            <v>0</v>
          </cell>
          <cell r="AG979">
            <v>0</v>
          </cell>
          <cell r="AH979">
            <v>0</v>
          </cell>
          <cell r="AI979">
            <v>0</v>
          </cell>
          <cell r="AJ979">
            <v>0</v>
          </cell>
          <cell r="BZ979" t="str">
            <v/>
          </cell>
        </row>
        <row r="980">
          <cell r="C980" t="str">
            <v/>
          </cell>
          <cell r="X980">
            <v>0</v>
          </cell>
          <cell r="Y980">
            <v>0</v>
          </cell>
          <cell r="Z980">
            <v>0</v>
          </cell>
          <cell r="AA980">
            <v>0</v>
          </cell>
          <cell r="AB980">
            <v>0</v>
          </cell>
          <cell r="AF980">
            <v>0</v>
          </cell>
          <cell r="AG980">
            <v>0</v>
          </cell>
          <cell r="AH980">
            <v>0</v>
          </cell>
          <cell r="AI980">
            <v>0</v>
          </cell>
          <cell r="AJ980">
            <v>0</v>
          </cell>
          <cell r="BZ980" t="str">
            <v/>
          </cell>
        </row>
        <row r="981">
          <cell r="C981" t="str">
            <v/>
          </cell>
          <cell r="X981">
            <v>0</v>
          </cell>
          <cell r="Y981">
            <v>0</v>
          </cell>
          <cell r="Z981">
            <v>0</v>
          </cell>
          <cell r="AA981">
            <v>0</v>
          </cell>
          <cell r="AB981">
            <v>0</v>
          </cell>
          <cell r="AF981">
            <v>0</v>
          </cell>
          <cell r="AG981">
            <v>0</v>
          </cell>
          <cell r="AH981">
            <v>0</v>
          </cell>
          <cell r="AI981">
            <v>0</v>
          </cell>
          <cell r="AJ981">
            <v>0</v>
          </cell>
          <cell r="BZ981" t="str">
            <v/>
          </cell>
        </row>
        <row r="982">
          <cell r="C982" t="str">
            <v/>
          </cell>
          <cell r="X982">
            <v>0</v>
          </cell>
          <cell r="Y982">
            <v>0</v>
          </cell>
          <cell r="Z982">
            <v>0</v>
          </cell>
          <cell r="AA982">
            <v>0</v>
          </cell>
          <cell r="AB982">
            <v>0</v>
          </cell>
          <cell r="AF982">
            <v>0</v>
          </cell>
          <cell r="AG982">
            <v>0</v>
          </cell>
          <cell r="AH982">
            <v>0</v>
          </cell>
          <cell r="AI982">
            <v>0</v>
          </cell>
          <cell r="AJ982">
            <v>0</v>
          </cell>
          <cell r="BZ982" t="str">
            <v/>
          </cell>
        </row>
        <row r="983">
          <cell r="C983" t="str">
            <v/>
          </cell>
          <cell r="X983">
            <v>0</v>
          </cell>
          <cell r="Y983">
            <v>0</v>
          </cell>
          <cell r="Z983">
            <v>0</v>
          </cell>
          <cell r="AA983">
            <v>0</v>
          </cell>
          <cell r="AB983">
            <v>0</v>
          </cell>
          <cell r="AF983">
            <v>0</v>
          </cell>
          <cell r="AG983">
            <v>0</v>
          </cell>
          <cell r="AH983">
            <v>0</v>
          </cell>
          <cell r="AI983">
            <v>0</v>
          </cell>
          <cell r="AJ983">
            <v>0</v>
          </cell>
          <cell r="BZ983" t="str">
            <v/>
          </cell>
        </row>
        <row r="984">
          <cell r="C984" t="str">
            <v/>
          </cell>
          <cell r="X984">
            <v>0</v>
          </cell>
          <cell r="Y984">
            <v>0</v>
          </cell>
          <cell r="Z984">
            <v>0</v>
          </cell>
          <cell r="AA984">
            <v>0</v>
          </cell>
          <cell r="AB984">
            <v>0</v>
          </cell>
          <cell r="AF984">
            <v>0</v>
          </cell>
          <cell r="AG984">
            <v>0</v>
          </cell>
          <cell r="AH984">
            <v>0</v>
          </cell>
          <cell r="AI984">
            <v>0</v>
          </cell>
          <cell r="AJ984">
            <v>0</v>
          </cell>
          <cell r="BZ984" t="str">
            <v/>
          </cell>
        </row>
        <row r="985">
          <cell r="C985" t="str">
            <v/>
          </cell>
          <cell r="X985">
            <v>0</v>
          </cell>
          <cell r="Y985">
            <v>0</v>
          </cell>
          <cell r="Z985">
            <v>0</v>
          </cell>
          <cell r="AA985">
            <v>0</v>
          </cell>
          <cell r="AB985">
            <v>0</v>
          </cell>
          <cell r="AF985">
            <v>0</v>
          </cell>
          <cell r="AG985">
            <v>0</v>
          </cell>
          <cell r="AH985">
            <v>0</v>
          </cell>
          <cell r="AI985">
            <v>0</v>
          </cell>
          <cell r="AJ985">
            <v>0</v>
          </cell>
          <cell r="BZ985" t="str">
            <v/>
          </cell>
        </row>
        <row r="986">
          <cell r="C986" t="str">
            <v/>
          </cell>
          <cell r="X986">
            <v>0</v>
          </cell>
          <cell r="Y986">
            <v>0</v>
          </cell>
          <cell r="Z986">
            <v>0</v>
          </cell>
          <cell r="AA986">
            <v>0</v>
          </cell>
          <cell r="AB986">
            <v>0</v>
          </cell>
          <cell r="AF986">
            <v>0</v>
          </cell>
          <cell r="AG986">
            <v>0</v>
          </cell>
          <cell r="AH986">
            <v>0</v>
          </cell>
          <cell r="AI986">
            <v>0</v>
          </cell>
          <cell r="AJ986">
            <v>0</v>
          </cell>
          <cell r="BZ986" t="str">
            <v/>
          </cell>
        </row>
        <row r="987">
          <cell r="C987" t="str">
            <v/>
          </cell>
          <cell r="X987">
            <v>0</v>
          </cell>
          <cell r="Y987">
            <v>0</v>
          </cell>
          <cell r="Z987">
            <v>0</v>
          </cell>
          <cell r="AA987">
            <v>0</v>
          </cell>
          <cell r="AB987">
            <v>0</v>
          </cell>
          <cell r="AF987">
            <v>0</v>
          </cell>
          <cell r="AG987">
            <v>0</v>
          </cell>
          <cell r="AH987">
            <v>0</v>
          </cell>
          <cell r="AI987">
            <v>0</v>
          </cell>
          <cell r="AJ987">
            <v>0</v>
          </cell>
          <cell r="BZ987" t="str">
            <v/>
          </cell>
        </row>
        <row r="988">
          <cell r="C988" t="str">
            <v/>
          </cell>
          <cell r="X988">
            <v>0</v>
          </cell>
          <cell r="Y988">
            <v>0</v>
          </cell>
          <cell r="Z988">
            <v>0</v>
          </cell>
          <cell r="AA988">
            <v>0</v>
          </cell>
          <cell r="AB988">
            <v>0</v>
          </cell>
          <cell r="AF988">
            <v>0</v>
          </cell>
          <cell r="AG988">
            <v>0</v>
          </cell>
          <cell r="AH988">
            <v>0</v>
          </cell>
          <cell r="AI988">
            <v>0</v>
          </cell>
          <cell r="AJ988">
            <v>0</v>
          </cell>
          <cell r="BZ988" t="str">
            <v/>
          </cell>
        </row>
        <row r="989">
          <cell r="C989" t="str">
            <v/>
          </cell>
          <cell r="X989">
            <v>0</v>
          </cell>
          <cell r="Y989">
            <v>0</v>
          </cell>
          <cell r="Z989">
            <v>0</v>
          </cell>
          <cell r="AA989">
            <v>0</v>
          </cell>
          <cell r="AB989">
            <v>0</v>
          </cell>
          <cell r="AF989">
            <v>0</v>
          </cell>
          <cell r="AG989">
            <v>0</v>
          </cell>
          <cell r="AH989">
            <v>0</v>
          </cell>
          <cell r="AI989">
            <v>0</v>
          </cell>
          <cell r="AJ989">
            <v>0</v>
          </cell>
          <cell r="BZ989" t="str">
            <v/>
          </cell>
        </row>
        <row r="990">
          <cell r="C990" t="str">
            <v/>
          </cell>
          <cell r="X990">
            <v>0</v>
          </cell>
          <cell r="Y990">
            <v>0</v>
          </cell>
          <cell r="Z990">
            <v>0</v>
          </cell>
          <cell r="AA990">
            <v>0</v>
          </cell>
          <cell r="AB990">
            <v>0</v>
          </cell>
          <cell r="AF990">
            <v>0</v>
          </cell>
          <cell r="AG990">
            <v>0</v>
          </cell>
          <cell r="AH990">
            <v>0</v>
          </cell>
          <cell r="AI990">
            <v>0</v>
          </cell>
          <cell r="AJ990">
            <v>0</v>
          </cell>
          <cell r="BZ990" t="str">
            <v/>
          </cell>
        </row>
        <row r="991">
          <cell r="C991" t="str">
            <v/>
          </cell>
          <cell r="X991">
            <v>0</v>
          </cell>
          <cell r="Y991">
            <v>0</v>
          </cell>
          <cell r="Z991">
            <v>0</v>
          </cell>
          <cell r="AA991">
            <v>0</v>
          </cell>
          <cell r="AB991">
            <v>0</v>
          </cell>
          <cell r="AF991">
            <v>0</v>
          </cell>
          <cell r="AG991">
            <v>0</v>
          </cell>
          <cell r="AH991">
            <v>0</v>
          </cell>
          <cell r="AI991">
            <v>0</v>
          </cell>
          <cell r="AJ991">
            <v>0</v>
          </cell>
          <cell r="BZ991" t="str">
            <v/>
          </cell>
        </row>
        <row r="992">
          <cell r="C992" t="str">
            <v/>
          </cell>
          <cell r="X992">
            <v>0</v>
          </cell>
          <cell r="Y992">
            <v>0</v>
          </cell>
          <cell r="Z992">
            <v>0</v>
          </cell>
          <cell r="AA992">
            <v>0</v>
          </cell>
          <cell r="AB992">
            <v>0</v>
          </cell>
          <cell r="AF992">
            <v>0</v>
          </cell>
          <cell r="AG992">
            <v>0</v>
          </cell>
          <cell r="AH992">
            <v>0</v>
          </cell>
          <cell r="AI992">
            <v>0</v>
          </cell>
          <cell r="AJ992">
            <v>0</v>
          </cell>
          <cell r="BZ992" t="str">
            <v/>
          </cell>
        </row>
        <row r="993">
          <cell r="C993" t="str">
            <v/>
          </cell>
          <cell r="X993">
            <v>0</v>
          </cell>
          <cell r="Y993">
            <v>0</v>
          </cell>
          <cell r="Z993">
            <v>0</v>
          </cell>
          <cell r="AA993">
            <v>0</v>
          </cell>
          <cell r="AB993">
            <v>0</v>
          </cell>
          <cell r="AF993">
            <v>0</v>
          </cell>
          <cell r="AG993">
            <v>0</v>
          </cell>
          <cell r="AH993">
            <v>0</v>
          </cell>
          <cell r="AI993">
            <v>0</v>
          </cell>
          <cell r="AJ993">
            <v>0</v>
          </cell>
          <cell r="BZ993" t="str">
            <v/>
          </cell>
        </row>
        <row r="994">
          <cell r="C994" t="str">
            <v/>
          </cell>
          <cell r="X994">
            <v>0</v>
          </cell>
          <cell r="Y994">
            <v>0</v>
          </cell>
          <cell r="Z994">
            <v>0</v>
          </cell>
          <cell r="AA994">
            <v>0</v>
          </cell>
          <cell r="AB994">
            <v>0</v>
          </cell>
          <cell r="AF994">
            <v>0</v>
          </cell>
          <cell r="AG994">
            <v>0</v>
          </cell>
          <cell r="AH994">
            <v>0</v>
          </cell>
          <cell r="AI994">
            <v>0</v>
          </cell>
          <cell r="AJ994">
            <v>0</v>
          </cell>
          <cell r="BZ994" t="str">
            <v/>
          </cell>
        </row>
        <row r="995">
          <cell r="C995" t="str">
            <v/>
          </cell>
          <cell r="X995">
            <v>0</v>
          </cell>
          <cell r="Y995">
            <v>0</v>
          </cell>
          <cell r="Z995">
            <v>0</v>
          </cell>
          <cell r="AA995">
            <v>0</v>
          </cell>
          <cell r="AB995">
            <v>0</v>
          </cell>
          <cell r="AF995">
            <v>0</v>
          </cell>
          <cell r="AG995">
            <v>0</v>
          </cell>
          <cell r="AH995">
            <v>0</v>
          </cell>
          <cell r="AI995">
            <v>0</v>
          </cell>
          <cell r="AJ995">
            <v>0</v>
          </cell>
          <cell r="BZ995" t="str">
            <v/>
          </cell>
        </row>
        <row r="996">
          <cell r="C996" t="str">
            <v/>
          </cell>
          <cell r="X996">
            <v>0</v>
          </cell>
          <cell r="Y996">
            <v>0</v>
          </cell>
          <cell r="Z996">
            <v>0</v>
          </cell>
          <cell r="AA996">
            <v>0</v>
          </cell>
          <cell r="AB996">
            <v>0</v>
          </cell>
          <cell r="AF996">
            <v>0</v>
          </cell>
          <cell r="AG996">
            <v>0</v>
          </cell>
          <cell r="AH996">
            <v>0</v>
          </cell>
          <cell r="AI996">
            <v>0</v>
          </cell>
          <cell r="AJ996">
            <v>0</v>
          </cell>
          <cell r="BZ996" t="str">
            <v/>
          </cell>
        </row>
        <row r="997">
          <cell r="C997" t="str">
            <v/>
          </cell>
          <cell r="X997">
            <v>0</v>
          </cell>
          <cell r="Y997">
            <v>0</v>
          </cell>
          <cell r="Z997">
            <v>0</v>
          </cell>
          <cell r="AA997">
            <v>0</v>
          </cell>
          <cell r="AB997">
            <v>0</v>
          </cell>
          <cell r="AF997">
            <v>0</v>
          </cell>
          <cell r="AG997">
            <v>0</v>
          </cell>
          <cell r="AH997">
            <v>0</v>
          </cell>
          <cell r="AI997">
            <v>0</v>
          </cell>
          <cell r="AJ997">
            <v>0</v>
          </cell>
          <cell r="BZ997" t="str">
            <v/>
          </cell>
        </row>
        <row r="998">
          <cell r="C998" t="str">
            <v/>
          </cell>
          <cell r="X998">
            <v>0</v>
          </cell>
          <cell r="Y998">
            <v>0</v>
          </cell>
          <cell r="Z998">
            <v>0</v>
          </cell>
          <cell r="AA998">
            <v>0</v>
          </cell>
          <cell r="AB998">
            <v>0</v>
          </cell>
          <cell r="AF998">
            <v>0</v>
          </cell>
          <cell r="AG998">
            <v>0</v>
          </cell>
          <cell r="AH998">
            <v>0</v>
          </cell>
          <cell r="AI998">
            <v>0</v>
          </cell>
          <cell r="AJ998">
            <v>0</v>
          </cell>
          <cell r="BZ998" t="str">
            <v/>
          </cell>
        </row>
        <row r="999">
          <cell r="C999" t="str">
            <v/>
          </cell>
          <cell r="X999">
            <v>0</v>
          </cell>
          <cell r="Y999">
            <v>0</v>
          </cell>
          <cell r="Z999">
            <v>0</v>
          </cell>
          <cell r="AA999">
            <v>0</v>
          </cell>
          <cell r="AB999">
            <v>0</v>
          </cell>
          <cell r="AF999">
            <v>0</v>
          </cell>
          <cell r="AG999">
            <v>0</v>
          </cell>
          <cell r="AH999">
            <v>0</v>
          </cell>
          <cell r="AI999">
            <v>0</v>
          </cell>
          <cell r="AJ999">
            <v>0</v>
          </cell>
          <cell r="BZ999" t="str">
            <v/>
          </cell>
        </row>
        <row r="1000">
          <cell r="C1000" t="str">
            <v/>
          </cell>
          <cell r="X1000">
            <v>0</v>
          </cell>
          <cell r="Y1000">
            <v>0</v>
          </cell>
          <cell r="Z1000">
            <v>0</v>
          </cell>
          <cell r="AA1000">
            <v>0</v>
          </cell>
          <cell r="AB1000">
            <v>0</v>
          </cell>
          <cell r="AF1000">
            <v>0</v>
          </cell>
          <cell r="AG1000">
            <v>0</v>
          </cell>
          <cell r="AH1000">
            <v>0</v>
          </cell>
          <cell r="AI1000">
            <v>0</v>
          </cell>
          <cell r="AJ1000">
            <v>0</v>
          </cell>
          <cell r="BZ1000" t="str">
            <v/>
          </cell>
        </row>
        <row r="1001">
          <cell r="C1001" t="str">
            <v/>
          </cell>
          <cell r="X1001">
            <v>0</v>
          </cell>
          <cell r="Y1001">
            <v>0</v>
          </cell>
          <cell r="Z1001">
            <v>0</v>
          </cell>
          <cell r="AA1001">
            <v>0</v>
          </cell>
          <cell r="AB1001">
            <v>0</v>
          </cell>
          <cell r="AF1001">
            <v>0</v>
          </cell>
          <cell r="AG1001">
            <v>0</v>
          </cell>
          <cell r="AH1001">
            <v>0</v>
          </cell>
          <cell r="AI1001">
            <v>0</v>
          </cell>
          <cell r="AJ1001">
            <v>0</v>
          </cell>
          <cell r="BZ1001" t="str">
            <v/>
          </cell>
        </row>
        <row r="1002">
          <cell r="C1002" t="str">
            <v/>
          </cell>
          <cell r="X1002">
            <v>0</v>
          </cell>
          <cell r="Y1002">
            <v>0</v>
          </cell>
          <cell r="Z1002">
            <v>0</v>
          </cell>
          <cell r="AA1002">
            <v>0</v>
          </cell>
          <cell r="AB1002">
            <v>0</v>
          </cell>
          <cell r="AF1002">
            <v>0</v>
          </cell>
          <cell r="AG1002">
            <v>0</v>
          </cell>
          <cell r="AH1002">
            <v>0</v>
          </cell>
          <cell r="AI1002">
            <v>0</v>
          </cell>
          <cell r="AJ1002">
            <v>0</v>
          </cell>
          <cell r="BZ1002" t="str">
            <v/>
          </cell>
        </row>
        <row r="1003">
          <cell r="C1003" t="str">
            <v/>
          </cell>
          <cell r="X1003">
            <v>0</v>
          </cell>
          <cell r="Y1003">
            <v>0</v>
          </cell>
          <cell r="Z1003">
            <v>0</v>
          </cell>
          <cell r="AA1003">
            <v>0</v>
          </cell>
          <cell r="AB1003">
            <v>0</v>
          </cell>
          <cell r="AF1003">
            <v>0</v>
          </cell>
          <cell r="AG1003">
            <v>0</v>
          </cell>
          <cell r="AH1003">
            <v>0</v>
          </cell>
          <cell r="AI1003">
            <v>0</v>
          </cell>
          <cell r="AJ1003">
            <v>0</v>
          </cell>
          <cell r="BZ1003" t="str">
            <v/>
          </cell>
        </row>
        <row r="1004">
          <cell r="C1004" t="str">
            <v/>
          </cell>
          <cell r="X1004">
            <v>0</v>
          </cell>
          <cell r="Y1004">
            <v>0</v>
          </cell>
          <cell r="Z1004">
            <v>0</v>
          </cell>
          <cell r="AA1004">
            <v>0</v>
          </cell>
          <cell r="AB1004">
            <v>0</v>
          </cell>
          <cell r="AF1004">
            <v>0</v>
          </cell>
          <cell r="AG1004">
            <v>0</v>
          </cell>
          <cell r="AH1004">
            <v>0</v>
          </cell>
          <cell r="AI1004">
            <v>0</v>
          </cell>
          <cell r="AJ1004">
            <v>0</v>
          </cell>
          <cell r="BZ1004" t="str">
            <v/>
          </cell>
        </row>
        <row r="1005">
          <cell r="C1005" t="str">
            <v/>
          </cell>
          <cell r="X1005">
            <v>0</v>
          </cell>
          <cell r="Y1005">
            <v>0</v>
          </cell>
          <cell r="Z1005">
            <v>0</v>
          </cell>
          <cell r="AA1005">
            <v>0</v>
          </cell>
          <cell r="AB1005">
            <v>0</v>
          </cell>
          <cell r="AF1005">
            <v>0</v>
          </cell>
          <cell r="AG1005">
            <v>0</v>
          </cell>
          <cell r="AH1005">
            <v>0</v>
          </cell>
          <cell r="AI1005">
            <v>0</v>
          </cell>
          <cell r="AJ1005">
            <v>0</v>
          </cell>
          <cell r="BZ1005" t="str">
            <v/>
          </cell>
        </row>
        <row r="1006">
          <cell r="C1006" t="str">
            <v/>
          </cell>
          <cell r="X1006">
            <v>0</v>
          </cell>
          <cell r="Y1006">
            <v>0</v>
          </cell>
          <cell r="Z1006">
            <v>0</v>
          </cell>
          <cell r="AA1006">
            <v>0</v>
          </cell>
          <cell r="AB1006">
            <v>0</v>
          </cell>
          <cell r="AF1006">
            <v>0</v>
          </cell>
          <cell r="AG1006">
            <v>0</v>
          </cell>
          <cell r="AH1006">
            <v>0</v>
          </cell>
          <cell r="AI1006">
            <v>0</v>
          </cell>
          <cell r="AJ1006">
            <v>0</v>
          </cell>
          <cell r="BZ1006" t="str">
            <v/>
          </cell>
        </row>
        <row r="1007">
          <cell r="C1007" t="str">
            <v/>
          </cell>
          <cell r="X1007">
            <v>0</v>
          </cell>
          <cell r="Y1007">
            <v>0</v>
          </cell>
          <cell r="Z1007">
            <v>0</v>
          </cell>
          <cell r="AA1007">
            <v>0</v>
          </cell>
          <cell r="AB1007">
            <v>0</v>
          </cell>
          <cell r="AF1007">
            <v>0</v>
          </cell>
          <cell r="AG1007">
            <v>0</v>
          </cell>
          <cell r="AH1007">
            <v>0</v>
          </cell>
          <cell r="AI1007">
            <v>0</v>
          </cell>
          <cell r="AJ1007">
            <v>0</v>
          </cell>
          <cell r="BZ1007" t="str">
            <v/>
          </cell>
        </row>
        <row r="1008">
          <cell r="C1008" t="str">
            <v/>
          </cell>
          <cell r="X1008">
            <v>0</v>
          </cell>
          <cell r="Y1008">
            <v>0</v>
          </cell>
          <cell r="Z1008">
            <v>0</v>
          </cell>
          <cell r="AA1008">
            <v>0</v>
          </cell>
          <cell r="AB1008">
            <v>0</v>
          </cell>
          <cell r="AF1008">
            <v>0</v>
          </cell>
          <cell r="AG1008">
            <v>0</v>
          </cell>
          <cell r="AH1008">
            <v>0</v>
          </cell>
          <cell r="AI1008">
            <v>0</v>
          </cell>
          <cell r="AJ1008">
            <v>0</v>
          </cell>
          <cell r="BZ1008" t="str">
            <v/>
          </cell>
        </row>
        <row r="1009">
          <cell r="C1009" t="str">
            <v/>
          </cell>
          <cell r="X1009">
            <v>0</v>
          </cell>
          <cell r="Y1009">
            <v>0</v>
          </cell>
          <cell r="Z1009">
            <v>0</v>
          </cell>
          <cell r="AA1009">
            <v>0</v>
          </cell>
          <cell r="AB1009">
            <v>0</v>
          </cell>
          <cell r="AF1009">
            <v>0</v>
          </cell>
          <cell r="AG1009">
            <v>0</v>
          </cell>
          <cell r="AH1009">
            <v>0</v>
          </cell>
          <cell r="AI1009">
            <v>0</v>
          </cell>
          <cell r="AJ1009">
            <v>0</v>
          </cell>
          <cell r="BZ1009" t="str">
            <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21">
          <cell r="E21">
            <v>8708283.8780560829</v>
          </cell>
          <cell r="F21">
            <v>8864708.6562869549</v>
          </cell>
          <cell r="G21">
            <v>8992016.3985718023</v>
          </cell>
          <cell r="H21">
            <v>9057896.0208479017</v>
          </cell>
          <cell r="I21">
            <v>9151956.4091671854</v>
          </cell>
          <cell r="J21">
            <v>9271687.6803706232</v>
          </cell>
          <cell r="K21">
            <v>9362500.76749295</v>
          </cell>
        </row>
        <row r="32">
          <cell r="E32">
            <v>16201.834807567917</v>
          </cell>
          <cell r="F32">
            <v>16201.834807567917</v>
          </cell>
          <cell r="G32">
            <v>16709.47804857021</v>
          </cell>
          <cell r="H32">
            <v>16692.378486768026</v>
          </cell>
          <cell r="I32">
            <v>16694.515931993301</v>
          </cell>
          <cell r="J32">
            <v>16708.409325957571</v>
          </cell>
          <cell r="K32">
            <v>16701.996990281754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4:C33"/>
  <sheetViews>
    <sheetView zoomScale="90" zoomScaleNormal="90" workbookViewId="0">
      <selection activeCell="B38" sqref="B38"/>
    </sheetView>
  </sheetViews>
  <sheetFormatPr defaultColWidth="9.109375" defaultRowHeight="12.75" x14ac:dyDescent="0.2"/>
  <cols>
    <col min="1" max="1" width="9" style="247" bestFit="1" customWidth="1"/>
    <col min="2" max="2" width="36" style="247" customWidth="1"/>
    <col min="3" max="3" width="158.5546875" style="247" customWidth="1"/>
    <col min="4" max="16384" width="9.109375" style="247"/>
  </cols>
  <sheetData>
    <row r="4" spans="1:3" ht="13.4" x14ac:dyDescent="0.25">
      <c r="A4" s="246" t="s">
        <v>199</v>
      </c>
      <c r="B4" s="246" t="s">
        <v>200</v>
      </c>
      <c r="C4" s="246" t="s">
        <v>201</v>
      </c>
    </row>
    <row r="5" spans="1:3" ht="13.4" x14ac:dyDescent="0.25">
      <c r="A5" s="248">
        <v>1</v>
      </c>
      <c r="B5" s="249" t="s">
        <v>203</v>
      </c>
      <c r="C5" s="247" t="s">
        <v>205</v>
      </c>
    </row>
    <row r="6" spans="1:3" ht="13.4" x14ac:dyDescent="0.25">
      <c r="A6" s="248"/>
      <c r="B6" s="249"/>
    </row>
    <row r="7" spans="1:3" ht="13.4" x14ac:dyDescent="0.25">
      <c r="A7" s="248">
        <f>A5+1</f>
        <v>2</v>
      </c>
      <c r="B7" s="255" t="s">
        <v>215</v>
      </c>
      <c r="C7" s="257" t="s">
        <v>216</v>
      </c>
    </row>
    <row r="8" spans="1:3" ht="13.4" x14ac:dyDescent="0.25">
      <c r="A8" s="248"/>
      <c r="B8" s="249"/>
    </row>
    <row r="10" spans="1:3" ht="13.4" x14ac:dyDescent="0.25">
      <c r="A10" s="250">
        <f>A7+1</f>
        <v>3</v>
      </c>
      <c r="B10" s="251" t="s">
        <v>196</v>
      </c>
      <c r="C10" s="252" t="s">
        <v>204</v>
      </c>
    </row>
    <row r="11" spans="1:3" x14ac:dyDescent="0.2">
      <c r="B11" s="247" t="s">
        <v>197</v>
      </c>
    </row>
    <row r="12" spans="1:3" x14ac:dyDescent="0.2">
      <c r="A12" s="253"/>
      <c r="B12" s="253" t="s">
        <v>198</v>
      </c>
      <c r="C12" s="253"/>
    </row>
    <row r="14" spans="1:3" ht="13.4" x14ac:dyDescent="0.25">
      <c r="A14" s="248">
        <f>A10+1</f>
        <v>4</v>
      </c>
      <c r="B14" s="262" t="s">
        <v>219</v>
      </c>
      <c r="C14" s="262" t="s">
        <v>221</v>
      </c>
    </row>
    <row r="16" spans="1:3" ht="13.4" x14ac:dyDescent="0.25">
      <c r="A16" s="248">
        <f>A14+1</f>
        <v>5</v>
      </c>
      <c r="B16" s="261" t="s">
        <v>197</v>
      </c>
      <c r="C16" s="247" t="s">
        <v>220</v>
      </c>
    </row>
    <row r="18" spans="1:3" ht="13.4" x14ac:dyDescent="0.25">
      <c r="A18" s="248">
        <f>A16+1</f>
        <v>6</v>
      </c>
      <c r="B18" s="247" t="s">
        <v>202</v>
      </c>
      <c r="C18" s="247" t="s">
        <v>206</v>
      </c>
    </row>
    <row r="20" spans="1:3" ht="13.4" x14ac:dyDescent="0.25">
      <c r="A20" s="248">
        <f>A18+1</f>
        <v>7</v>
      </c>
      <c r="B20" s="261" t="s">
        <v>218</v>
      </c>
      <c r="C20" s="261" t="s">
        <v>222</v>
      </c>
    </row>
    <row r="22" spans="1:3" ht="13.4" x14ac:dyDescent="0.25">
      <c r="A22" s="248">
        <f>A20+1</f>
        <v>8</v>
      </c>
      <c r="B22" s="247" t="s">
        <v>207</v>
      </c>
      <c r="C22" s="247" t="s">
        <v>208</v>
      </c>
    </row>
    <row r="24" spans="1:3" ht="13.4" x14ac:dyDescent="0.25">
      <c r="A24" s="248">
        <f>A22+1</f>
        <v>9</v>
      </c>
      <c r="B24" s="263" t="s">
        <v>224</v>
      </c>
      <c r="C24" s="261" t="s">
        <v>223</v>
      </c>
    </row>
    <row r="27" spans="1:3" ht="13.4" x14ac:dyDescent="0.25">
      <c r="A27" s="250">
        <f>A24+1</f>
        <v>10</v>
      </c>
      <c r="B27" s="251" t="s">
        <v>209</v>
      </c>
      <c r="C27" s="252" t="s">
        <v>211</v>
      </c>
    </row>
    <row r="28" spans="1:3" x14ac:dyDescent="0.2">
      <c r="A28" s="253"/>
      <c r="B28" s="254" t="s">
        <v>210</v>
      </c>
      <c r="C28" s="253"/>
    </row>
    <row r="31" spans="1:3" ht="13.4" x14ac:dyDescent="0.25">
      <c r="A31" s="250">
        <f>A27+1</f>
        <v>11</v>
      </c>
      <c r="B31" s="251" t="s">
        <v>214</v>
      </c>
      <c r="C31" s="252" t="s">
        <v>208</v>
      </c>
    </row>
    <row r="32" spans="1:3" ht="13.4" x14ac:dyDescent="0.25">
      <c r="A32" s="248"/>
      <c r="B32" s="249" t="s">
        <v>212</v>
      </c>
    </row>
    <row r="33" spans="1:3" ht="13.4" x14ac:dyDescent="0.25">
      <c r="A33" s="258"/>
      <c r="B33" s="254" t="s">
        <v>213</v>
      </c>
      <c r="C33" s="253"/>
    </row>
  </sheetData>
  <pageMargins left="0.7" right="0.7" top="0.75" bottom="0.75" header="0.3" footer="0.3"/>
  <headerFooter>
    <oddFooter>&amp;C_x000D_&amp;1#&amp;"Century Gothic"&amp;7&amp;K7F7F7F BUSINESS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8150-6D39-46D0-BD8E-59A761622745}">
  <sheetPr>
    <tabColor rgb="FF00FFFF"/>
  </sheetPr>
  <dimension ref="B3:N22"/>
  <sheetViews>
    <sheetView tabSelected="1" workbookViewId="0">
      <selection activeCell="H23" sqref="H23"/>
    </sheetView>
  </sheetViews>
  <sheetFormatPr defaultRowHeight="14.65" x14ac:dyDescent="0.3"/>
  <cols>
    <col min="1" max="1" width="5.33203125" customWidth="1"/>
    <col min="2" max="2" width="51.21875" bestFit="1" customWidth="1"/>
  </cols>
  <sheetData>
    <row r="3" spans="2:14" x14ac:dyDescent="0.3">
      <c r="B3" s="487" t="s">
        <v>448</v>
      </c>
      <c r="C3" s="487"/>
      <c r="D3" s="488" t="s">
        <v>449</v>
      </c>
      <c r="E3" s="489"/>
      <c r="F3" s="489"/>
      <c r="G3" s="489"/>
      <c r="H3" s="489"/>
      <c r="I3" s="489"/>
      <c r="J3" s="489"/>
      <c r="K3" s="489"/>
    </row>
    <row r="4" spans="2:14" x14ac:dyDescent="0.3">
      <c r="B4" s="263"/>
      <c r="C4" s="263"/>
      <c r="D4" s="263"/>
      <c r="E4" s="263"/>
      <c r="F4" s="263"/>
      <c r="G4" s="263"/>
      <c r="H4" s="263"/>
      <c r="I4" s="263"/>
      <c r="J4" s="263"/>
      <c r="K4" s="263"/>
    </row>
    <row r="5" spans="2:14" x14ac:dyDescent="0.3">
      <c r="B5" s="490"/>
      <c r="C5" s="490"/>
      <c r="D5" s="490" t="s">
        <v>127</v>
      </c>
      <c r="E5" s="490" t="s">
        <v>163</v>
      </c>
      <c r="F5" s="490" t="s">
        <v>162</v>
      </c>
      <c r="G5" s="490" t="s">
        <v>161</v>
      </c>
      <c r="H5" s="490" t="s">
        <v>160</v>
      </c>
      <c r="I5" s="490" t="s">
        <v>159</v>
      </c>
      <c r="J5" s="490" t="s">
        <v>225</v>
      </c>
      <c r="K5" s="490" t="s">
        <v>450</v>
      </c>
    </row>
    <row r="6" spans="2:14" x14ac:dyDescent="0.3">
      <c r="B6" s="263" t="s">
        <v>451</v>
      </c>
      <c r="C6" s="263"/>
      <c r="D6" s="491">
        <f>'[1]Input| Escalations'!D$15</f>
        <v>2.0225001952140609E-2</v>
      </c>
      <c r="E6" s="491">
        <f>'[1]Input| Escalations'!E$15</f>
        <v>8.6058519793459354E-3</v>
      </c>
      <c r="F6" s="491">
        <f>'[1]Input| Escalations'!F$15</f>
        <v>3.4982935153583528E-2</v>
      </c>
      <c r="G6" s="491">
        <f>'[1]Input| Escalations'!G$15</f>
        <v>7.8318219291014124E-2</v>
      </c>
      <c r="H6" s="491">
        <f>'[1]Input| Escalations'!H$15</f>
        <v>4.0519877675840865E-2</v>
      </c>
      <c r="I6" s="491">
        <f>'[1]Input| Escalations'!I$15</f>
        <v>3.0000000000000027E-2</v>
      </c>
      <c r="J6" s="491">
        <f>'[1]Input| Escalations'!J$15</f>
        <v>3.6999999999999998E-2</v>
      </c>
      <c r="K6" s="492"/>
    </row>
    <row r="9" spans="2:14" x14ac:dyDescent="0.3">
      <c r="B9" s="487" t="s">
        <v>452</v>
      </c>
      <c r="C9" s="487"/>
      <c r="D9" s="488"/>
      <c r="E9" s="489"/>
      <c r="F9" s="489"/>
      <c r="G9" s="489"/>
      <c r="H9" s="489"/>
      <c r="I9" s="489"/>
      <c r="J9" s="489"/>
      <c r="K9" s="489"/>
      <c r="L9" s="489"/>
      <c r="M9" s="489"/>
      <c r="N9" s="489"/>
    </row>
    <row r="10" spans="2:14" x14ac:dyDescent="0.3">
      <c r="B10" s="263"/>
      <c r="C10" s="263"/>
      <c r="D10" s="263"/>
      <c r="E10" s="263"/>
      <c r="F10" s="263"/>
      <c r="G10" s="263"/>
      <c r="H10" s="263"/>
      <c r="I10" s="263"/>
      <c r="J10" s="263"/>
      <c r="K10" s="263"/>
      <c r="L10" s="263"/>
      <c r="M10" s="263"/>
      <c r="N10" s="263"/>
    </row>
    <row r="11" spans="2:14" x14ac:dyDescent="0.3">
      <c r="B11" s="490"/>
      <c r="C11" s="490"/>
      <c r="D11" s="490"/>
      <c r="E11" s="490"/>
      <c r="F11" s="490"/>
      <c r="G11" s="490"/>
      <c r="H11" s="490" t="s">
        <v>160</v>
      </c>
      <c r="I11" s="490" t="s">
        <v>159</v>
      </c>
      <c r="J11" s="490" t="s">
        <v>225</v>
      </c>
      <c r="K11" s="490" t="s">
        <v>232</v>
      </c>
      <c r="L11" s="490" t="s">
        <v>233</v>
      </c>
      <c r="M11" s="490" t="s">
        <v>234</v>
      </c>
      <c r="N11" s="490" t="s">
        <v>235</v>
      </c>
    </row>
    <row r="12" spans="2:14" x14ac:dyDescent="0.3">
      <c r="B12" s="493" t="s">
        <v>453</v>
      </c>
      <c r="C12" s="493"/>
      <c r="D12" s="494"/>
      <c r="E12" s="494"/>
      <c r="F12" s="494"/>
      <c r="G12" s="494"/>
      <c r="H12" s="494"/>
      <c r="I12" s="494"/>
      <c r="J12" s="494"/>
      <c r="K12" s="494"/>
      <c r="L12" s="494"/>
      <c r="M12" s="494"/>
      <c r="N12" s="494"/>
    </row>
    <row r="13" spans="2:14" x14ac:dyDescent="0.3">
      <c r="B13" s="263" t="s">
        <v>454</v>
      </c>
      <c r="C13" s="263"/>
      <c r="D13" s="491"/>
      <c r="E13" s="491"/>
      <c r="F13" s="491"/>
      <c r="G13" s="491"/>
      <c r="H13" s="491">
        <f>'[1]Input| Escalations'!H25</f>
        <v>8.2681564533859629E-3</v>
      </c>
      <c r="I13" s="491">
        <f>'[1]Input| Escalations'!I25</f>
        <v>8.100515567042995E-3</v>
      </c>
      <c r="J13" s="491">
        <f>'[1]Input| Escalations'!J25</f>
        <v>9.3135243940020672E-3</v>
      </c>
      <c r="K13" s="491">
        <f>'[1]Input| Escalations'!K25</f>
        <v>8.3583556288052887E-3</v>
      </c>
      <c r="L13" s="491">
        <f>'[1]Input| Escalations'!L25</f>
        <v>1.0254990531688098E-2</v>
      </c>
      <c r="M13" s="491">
        <f>'[1]Input| Escalations'!M25</f>
        <v>1.2240188084018007E-2</v>
      </c>
      <c r="N13" s="491">
        <f>'[1]Input| Escalations'!N25</f>
        <v>1.0182353043552642E-2</v>
      </c>
    </row>
    <row r="14" spans="2:14" x14ac:dyDescent="0.3">
      <c r="B14" s="263" t="s">
        <v>455</v>
      </c>
      <c r="C14" s="263"/>
      <c r="D14" s="491"/>
      <c r="E14" s="491"/>
      <c r="F14" s="491"/>
      <c r="G14" s="491"/>
      <c r="H14" s="491">
        <f>'[1]Input| Escalations'!H26</f>
        <v>8.2681564533859629E-3</v>
      </c>
      <c r="I14" s="491">
        <f>'[1]Input| Escalations'!I26</f>
        <v>8.100515567042995E-3</v>
      </c>
      <c r="J14" s="491">
        <f>'[1]Input| Escalations'!J26</f>
        <v>9.3135243940020672E-3</v>
      </c>
      <c r="K14" s="491">
        <f>'[1]Input| Escalations'!K26</f>
        <v>8.3583556288052887E-3</v>
      </c>
      <c r="L14" s="491">
        <f>'[1]Input| Escalations'!L26</f>
        <v>1.0254990531688098E-2</v>
      </c>
      <c r="M14" s="491">
        <f>'[1]Input| Escalations'!M26</f>
        <v>1.2240188084018007E-2</v>
      </c>
      <c r="N14" s="491">
        <f>'[1]Input| Escalations'!N26</f>
        <v>1.0182353043552642E-2</v>
      </c>
    </row>
    <row r="15" spans="2:14" x14ac:dyDescent="0.3">
      <c r="B15" s="263" t="s">
        <v>456</v>
      </c>
      <c r="C15" s="263"/>
      <c r="D15" s="491"/>
      <c r="E15" s="491"/>
      <c r="F15" s="491"/>
      <c r="G15" s="491"/>
      <c r="H15" s="491"/>
      <c r="I15" s="491"/>
      <c r="J15" s="491"/>
      <c r="K15" s="491"/>
      <c r="L15" s="491"/>
      <c r="M15" s="491"/>
      <c r="N15" s="491"/>
    </row>
    <row r="18" spans="2:14" ht="15.95" x14ac:dyDescent="0.3">
      <c r="B18" s="495" t="s">
        <v>457</v>
      </c>
      <c r="C18" s="495"/>
      <c r="D18" s="495"/>
      <c r="E18" s="495"/>
      <c r="F18" s="495"/>
      <c r="G18" s="495"/>
      <c r="H18" s="488"/>
      <c r="I18" s="489"/>
      <c r="J18" s="489"/>
      <c r="K18" s="489"/>
      <c r="L18" s="489"/>
      <c r="M18" s="489"/>
      <c r="N18" s="489"/>
    </row>
    <row r="19" spans="2:14" x14ac:dyDescent="0.3">
      <c r="B19" s="263"/>
      <c r="C19" s="263"/>
      <c r="D19" s="263"/>
      <c r="E19" s="263"/>
      <c r="F19" s="263"/>
      <c r="G19" s="263"/>
      <c r="H19" s="263"/>
      <c r="I19" s="263"/>
      <c r="J19" s="263"/>
      <c r="K19" s="263"/>
      <c r="L19" s="263"/>
      <c r="M19" s="263"/>
      <c r="N19" s="263"/>
    </row>
    <row r="20" spans="2:14" x14ac:dyDescent="0.3">
      <c r="B20" s="496"/>
      <c r="C20" s="496"/>
      <c r="D20" s="496"/>
      <c r="E20" s="496"/>
      <c r="F20" s="496"/>
      <c r="G20" s="496"/>
      <c r="H20" s="496" t="s">
        <v>160</v>
      </c>
      <c r="I20" s="496" t="s">
        <v>159</v>
      </c>
      <c r="J20" s="496" t="s">
        <v>225</v>
      </c>
      <c r="K20" s="496" t="s">
        <v>232</v>
      </c>
      <c r="L20" s="496" t="s">
        <v>233</v>
      </c>
      <c r="M20" s="496" t="s">
        <v>234</v>
      </c>
      <c r="N20" s="496" t="s">
        <v>235</v>
      </c>
    </row>
    <row r="21" spans="2:14" x14ac:dyDescent="0.3">
      <c r="B21" s="263" t="s">
        <v>458</v>
      </c>
      <c r="C21" s="497"/>
      <c r="D21" s="497"/>
      <c r="E21" s="497"/>
      <c r="F21" s="497"/>
      <c r="G21" s="497"/>
      <c r="H21" s="498"/>
      <c r="I21" s="498"/>
      <c r="J21" s="498">
        <f>'[1]Calc| Overheads Allocation'!E8</f>
        <v>8.7749907641103214E-2</v>
      </c>
      <c r="K21" s="498">
        <f>'[1]Calc| Overheads Allocation'!F8</f>
        <v>7.6529371495482987E-2</v>
      </c>
      <c r="L21" s="498">
        <f>'[1]Calc| Overheads Allocation'!G8</f>
        <v>6.9606064857935093E-2</v>
      </c>
      <c r="M21" s="498">
        <f>'[1]Calc| Overheads Allocation'!H8</f>
        <v>6.8448460003532982E-2</v>
      </c>
      <c r="N21" s="498">
        <f>'[1]Calc| Overheads Allocation'!I8</f>
        <v>6.7852052699625312E-2</v>
      </c>
    </row>
    <row r="22" spans="2:14" x14ac:dyDescent="0.3">
      <c r="B22" s="263" t="s">
        <v>459</v>
      </c>
      <c r="C22" s="497"/>
      <c r="D22" s="497"/>
      <c r="E22" s="497"/>
      <c r="F22" s="497"/>
      <c r="G22" s="497"/>
      <c r="H22" s="498"/>
      <c r="I22" s="498"/>
      <c r="J22" s="498">
        <f>'[1]Calc| Overheads Allocation'!E9</f>
        <v>0</v>
      </c>
      <c r="K22" s="498">
        <f>'[1]Calc| Overheads Allocation'!F9</f>
        <v>0</v>
      </c>
      <c r="L22" s="498">
        <f>'[1]Calc| Overheads Allocation'!G9</f>
        <v>0</v>
      </c>
      <c r="M22" s="498">
        <f>'[1]Calc| Overheads Allocation'!H9</f>
        <v>0</v>
      </c>
      <c r="N22" s="498">
        <f>'[1]Calc| Overheads Allocation'!I9</f>
        <v>0</v>
      </c>
    </row>
  </sheetData>
  <conditionalFormatting sqref="D13:N13">
    <cfRule type="expression" dxfId="2" priority="1">
      <formula>D11=""</formula>
    </cfRule>
  </conditionalFormatting>
  <conditionalFormatting sqref="D14:N14">
    <cfRule type="expression" dxfId="1" priority="3">
      <formula>D11=""</formula>
    </cfRule>
  </conditionalFormatting>
  <conditionalFormatting sqref="D15:N15">
    <cfRule type="expression" dxfId="0" priority="2">
      <formula>D11=""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B3:G42"/>
  <sheetViews>
    <sheetView zoomScaleNormal="100" workbookViewId="0"/>
  </sheetViews>
  <sheetFormatPr defaultColWidth="9.109375" defaultRowHeight="14.65" x14ac:dyDescent="0.3"/>
  <cols>
    <col min="1" max="1" width="5.5546875" style="31" customWidth="1"/>
    <col min="2" max="2" width="4" style="34" customWidth="1"/>
    <col min="3" max="3" width="3.5546875" style="32" customWidth="1"/>
    <col min="4" max="16384" width="9.109375" style="31"/>
  </cols>
  <sheetData>
    <row r="3" spans="2:7" ht="18.5" x14ac:dyDescent="0.35">
      <c r="G3" s="241" t="s">
        <v>433</v>
      </c>
    </row>
    <row r="6" spans="2:7" ht="21.05" x14ac:dyDescent="0.4">
      <c r="B6" s="36" t="s">
        <v>54</v>
      </c>
    </row>
    <row r="7" spans="2:7" ht="9.75" customHeight="1" x14ac:dyDescent="0.3"/>
    <row r="8" spans="2:7" x14ac:dyDescent="0.3">
      <c r="B8" s="34" t="s">
        <v>41</v>
      </c>
    </row>
    <row r="9" spans="2:7" ht="7.35" customHeight="1" x14ac:dyDescent="0.3"/>
    <row r="10" spans="2:7" x14ac:dyDescent="0.3">
      <c r="B10" s="34" t="s">
        <v>103</v>
      </c>
    </row>
    <row r="11" spans="2:7" ht="8.4499999999999993" customHeight="1" x14ac:dyDescent="0.3"/>
    <row r="12" spans="2:7" x14ac:dyDescent="0.3">
      <c r="B12" s="34" t="s">
        <v>104</v>
      </c>
    </row>
    <row r="13" spans="2:7" ht="8" customHeight="1" x14ac:dyDescent="0.3"/>
    <row r="14" spans="2:7" x14ac:dyDescent="0.3">
      <c r="B14" s="34" t="s">
        <v>105</v>
      </c>
    </row>
    <row r="15" spans="2:7" ht="8" customHeight="1" x14ac:dyDescent="0.3"/>
    <row r="16" spans="2:7" x14ac:dyDescent="0.3">
      <c r="B16" s="242" t="s">
        <v>193</v>
      </c>
      <c r="C16" s="31"/>
    </row>
    <row r="17" spans="2:4" ht="6.05" customHeight="1" x14ac:dyDescent="0.3">
      <c r="B17" s="242"/>
      <c r="C17" s="31"/>
    </row>
    <row r="18" spans="2:4" x14ac:dyDescent="0.3">
      <c r="C18" s="35" t="s">
        <v>43</v>
      </c>
      <c r="D18" s="33" t="s">
        <v>241</v>
      </c>
    </row>
    <row r="19" spans="2:4" x14ac:dyDescent="0.3">
      <c r="C19" s="35" t="s">
        <v>44</v>
      </c>
      <c r="D19" s="33" t="s">
        <v>414</v>
      </c>
    </row>
    <row r="20" spans="2:4" x14ac:dyDescent="0.3">
      <c r="C20" s="35" t="s">
        <v>45</v>
      </c>
      <c r="D20" s="33" t="s">
        <v>415</v>
      </c>
    </row>
    <row r="21" spans="2:4" ht="10.199999999999999" customHeight="1" x14ac:dyDescent="0.3">
      <c r="C21" s="35"/>
      <c r="D21" s="33"/>
    </row>
    <row r="22" spans="2:4" x14ac:dyDescent="0.3">
      <c r="B22" s="242" t="s">
        <v>194</v>
      </c>
    </row>
    <row r="23" spans="2:4" ht="5.3" customHeight="1" x14ac:dyDescent="0.3"/>
    <row r="24" spans="2:4" x14ac:dyDescent="0.3">
      <c r="C24" s="35" t="s">
        <v>43</v>
      </c>
      <c r="D24" s="33" t="s">
        <v>416</v>
      </c>
    </row>
    <row r="25" spans="2:4" x14ac:dyDescent="0.3">
      <c r="C25" s="35" t="s">
        <v>44</v>
      </c>
      <c r="D25" s="33" t="s">
        <v>417</v>
      </c>
    </row>
    <row r="26" spans="2:4" x14ac:dyDescent="0.3">
      <c r="C26" s="35" t="s">
        <v>45</v>
      </c>
      <c r="D26" s="33" t="s">
        <v>51</v>
      </c>
    </row>
    <row r="27" spans="2:4" x14ac:dyDescent="0.3">
      <c r="C27" s="35" t="s">
        <v>46</v>
      </c>
      <c r="D27" s="33" t="s">
        <v>50</v>
      </c>
    </row>
    <row r="28" spans="2:4" x14ac:dyDescent="0.3">
      <c r="C28" s="35" t="s">
        <v>191</v>
      </c>
      <c r="D28" s="33" t="s">
        <v>47</v>
      </c>
    </row>
    <row r="29" spans="2:4" ht="4.1500000000000004" customHeight="1" x14ac:dyDescent="0.3">
      <c r="C29" s="35"/>
    </row>
    <row r="30" spans="2:4" x14ac:dyDescent="0.3">
      <c r="B30" s="242" t="s">
        <v>425</v>
      </c>
      <c r="C30" s="35"/>
    </row>
    <row r="31" spans="2:4" ht="6.05" customHeight="1" x14ac:dyDescent="0.3">
      <c r="C31" s="35"/>
    </row>
    <row r="32" spans="2:4" x14ac:dyDescent="0.3">
      <c r="C32" s="35" t="s">
        <v>43</v>
      </c>
      <c r="D32" s="33" t="s">
        <v>431</v>
      </c>
    </row>
    <row r="33" spans="2:4" ht="15" customHeight="1" x14ac:dyDescent="0.3">
      <c r="C33" s="35" t="s">
        <v>44</v>
      </c>
      <c r="D33" s="33" t="s">
        <v>426</v>
      </c>
    </row>
    <row r="34" spans="2:4" ht="6.55" customHeight="1" x14ac:dyDescent="0.3">
      <c r="C34" s="35"/>
    </row>
    <row r="35" spans="2:4" x14ac:dyDescent="0.3">
      <c r="B35" s="34" t="s">
        <v>423</v>
      </c>
      <c r="C35" s="35"/>
    </row>
    <row r="36" spans="2:4" ht="6.05" customHeight="1" x14ac:dyDescent="0.3">
      <c r="C36" s="35"/>
    </row>
    <row r="37" spans="2:4" x14ac:dyDescent="0.3">
      <c r="C37" s="35" t="s">
        <v>43</v>
      </c>
      <c r="D37" s="33" t="s">
        <v>42</v>
      </c>
    </row>
    <row r="38" spans="2:4" x14ac:dyDescent="0.3">
      <c r="C38" s="35" t="s">
        <v>44</v>
      </c>
      <c r="D38" s="33" t="s">
        <v>186</v>
      </c>
    </row>
    <row r="39" spans="2:4" x14ac:dyDescent="0.3">
      <c r="C39" s="35" t="s">
        <v>45</v>
      </c>
      <c r="D39" s="33" t="s">
        <v>187</v>
      </c>
    </row>
    <row r="40" spans="2:4" x14ac:dyDescent="0.3">
      <c r="C40" s="35" t="s">
        <v>46</v>
      </c>
      <c r="D40" s="33" t="s">
        <v>188</v>
      </c>
    </row>
    <row r="41" spans="2:4" x14ac:dyDescent="0.3">
      <c r="C41" s="35" t="s">
        <v>191</v>
      </c>
      <c r="D41" s="33" t="s">
        <v>189</v>
      </c>
    </row>
    <row r="42" spans="2:4" x14ac:dyDescent="0.3">
      <c r="C42" s="35" t="s">
        <v>192</v>
      </c>
      <c r="D42" s="33" t="s">
        <v>190</v>
      </c>
    </row>
  </sheetData>
  <hyperlinks>
    <hyperlink ref="B35" location="RIN_Outputs!A1" display="7. EDPR RIN Outputs" xr:uid="{00000000-0004-0000-0200-000000000000}"/>
    <hyperlink ref="D37" location="'2.5 Connections'!A1" display="2.5 Connections" xr:uid="{00000000-0004-0000-0200-000001000000}"/>
    <hyperlink ref="D28" location="Capex_Fcast_Total!A1" display="Total Expenditure Forecast" xr:uid="{00000000-0004-0000-0200-000005000000}"/>
    <hyperlink ref="D27" location="Other_codes!A1" display="Non Connections Related Direct Expenditure Forecast" xr:uid="{00000000-0004-0000-0200-000007000000}"/>
    <hyperlink ref="D26" location="Capex_Fcast_Direct!A1" display="Connections Related Direct Expenditure Forecast" xr:uid="{00000000-0004-0000-0200-000008000000}"/>
    <hyperlink ref="B14" location="Connections!A1" display="3. Connections (Historical / Forecast)" xr:uid="{00000000-0004-0000-0200-000009000000}"/>
    <hyperlink ref="B12" location="Allocations!A1" display="2. Regulatory &amp; Financial Allocations" xr:uid="{00000000-0004-0000-0200-00000A000000}"/>
    <hyperlink ref="B8" location="Assumptions!A1" display="1.  Assumptions" xr:uid="{00000000-0004-0000-0200-00000B000000}"/>
    <hyperlink ref="B10" location="Escalation!A1" display="2.  Escalation" xr:uid="{00000000-0004-0000-0200-00000C000000}"/>
    <hyperlink ref="D39" location="Direct_view!A1" display="Direct_view" xr:uid="{00000000-0004-0000-0200-00000F000000}"/>
    <hyperlink ref="D40" location="CapCon_view!A1" display="CapCon_view" xr:uid="{00000000-0004-0000-0200-000010000000}"/>
    <hyperlink ref="D41" location="Historical_CY!A1" display="Historical_CY" xr:uid="{00000000-0004-0000-0200-000011000000}"/>
    <hyperlink ref="D42" location="'2.5.3 Volumes'!A1" display="2.5.3 Volumes" xr:uid="{00000000-0004-0000-0200-000012000000}"/>
    <hyperlink ref="D18" location="Historical_Cost!A1" display="Historical Connections Capex - Disaggregation" xr:uid="{00000000-0004-0000-0200-000015000000}"/>
    <hyperlink ref="D32" location="Contr_Fcast!A1" display="Actual / Forecast Type 1 capital contributions" xr:uid="{00000000-0004-0000-0200-000003000000}"/>
    <hyperlink ref="D38" location="'2.17-2.18 CapCons'!A1" display="2.17-2.17 CapCons" xr:uid="{00000000-0004-0000-0200-000002000000}"/>
    <hyperlink ref="D33" location="Capex_Model_Inputs!A1" display="Base Year Forecast capex and capital contributions - for SCS capex model input" xr:uid="{00000000-0004-0000-0200-00000D000000}"/>
    <hyperlink ref="D25" location="HV_rebate!A1" display="HV rebate payments to land developers" xr:uid="{00000000-0004-0000-0200-000006000000}"/>
    <hyperlink ref="D24" location="Contracts_input!A1" display="Contracts Input" xr:uid="{00000000-0004-0000-0200-000014000000}"/>
    <hyperlink ref="D20" location="Cost_Recovery!A1" display="Historical cost recovery - current EDPR period" xr:uid="{00000000-0004-0000-0200-000017000000}"/>
    <hyperlink ref="D19" location="Historical_Cap_Cons!A1" display="Historical capital contributions - Type 1 and Type 2" xr:uid="{00000000-0004-0000-0200-000016000000}"/>
    <hyperlink ref="B30" location="'Forecast &gt;'!A1" display="7. Forecast outputs" xr:uid="{68BBB7AB-E7E7-4328-BF26-26E044931951}"/>
    <hyperlink ref="B22" location="'Forecast &gt;'!A1" display="6. Capital Expenditure Forecast" xr:uid="{8F4B7D45-971B-470C-A284-C85DB1C832F3}"/>
    <hyperlink ref="B16" location="'Historical_data &gt;'!A1" display="5. Historical capex" xr:uid="{07A93B28-0A7D-4A37-A781-670D3F98148A}"/>
  </hyperlinks>
  <pageMargins left="0.7" right="0.7" top="0.75" bottom="0.75" header="0.3" footer="0.3"/>
  <headerFooter>
    <oddFooter>&amp;C_x000D_&amp;1#&amp;"Century Gothic"&amp;7&amp;K7F7F7F BUSINESS USE ONLY</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V32"/>
  <sheetViews>
    <sheetView zoomScale="85" zoomScaleNormal="85" workbookViewId="0">
      <selection activeCell="B1" sqref="B1"/>
    </sheetView>
  </sheetViews>
  <sheetFormatPr defaultRowHeight="14.65" outlineLevelRow="1" outlineLevelCol="1" x14ac:dyDescent="0.3"/>
  <cols>
    <col min="1" max="2" width="3.88671875" customWidth="1"/>
    <col min="3" max="3" width="33.33203125" customWidth="1"/>
    <col min="4" max="4" width="8.44140625" customWidth="1" outlineLevel="1"/>
    <col min="5" max="8" width="9.109375" customWidth="1" outlineLevel="1"/>
    <col min="9" max="10" width="8.88671875" customWidth="1" outlineLevel="1"/>
    <col min="11" max="12" width="8.88671875" customWidth="1"/>
    <col min="15" max="15" width="9" customWidth="1"/>
  </cols>
  <sheetData>
    <row r="1" spans="2:22" x14ac:dyDescent="0.3">
      <c r="B1" s="40" t="s">
        <v>54</v>
      </c>
    </row>
    <row r="2" spans="2:22" x14ac:dyDescent="0.3">
      <c r="D2" s="95" t="s">
        <v>15</v>
      </c>
      <c r="E2" s="95" t="s">
        <v>15</v>
      </c>
      <c r="F2" s="95" t="s">
        <v>15</v>
      </c>
      <c r="G2" s="95" t="s">
        <v>15</v>
      </c>
      <c r="H2" s="95" t="s">
        <v>15</v>
      </c>
      <c r="I2" s="95" t="s">
        <v>15</v>
      </c>
      <c r="J2" s="95" t="s">
        <v>15</v>
      </c>
      <c r="K2" s="95" t="s">
        <v>15</v>
      </c>
      <c r="L2" s="95" t="s">
        <v>15</v>
      </c>
      <c r="M2" s="95" t="s">
        <v>15</v>
      </c>
      <c r="N2" s="95" t="s">
        <v>15</v>
      </c>
      <c r="O2" s="95" t="s">
        <v>15</v>
      </c>
      <c r="P2" s="95" t="s">
        <v>15</v>
      </c>
      <c r="Q2" s="95" t="s">
        <v>16</v>
      </c>
      <c r="R2" s="95" t="s">
        <v>16</v>
      </c>
      <c r="S2" s="95" t="s">
        <v>16</v>
      </c>
      <c r="T2" s="95" t="s">
        <v>16</v>
      </c>
      <c r="U2" s="95" t="s">
        <v>16</v>
      </c>
      <c r="V2" s="95" t="s">
        <v>16</v>
      </c>
    </row>
    <row r="3" spans="2:22" x14ac:dyDescent="0.3">
      <c r="C3" s="1" t="s">
        <v>101</v>
      </c>
      <c r="D3" s="95">
        <v>2013</v>
      </c>
      <c r="E3" s="95">
        <v>2014</v>
      </c>
      <c r="F3" s="95">
        <v>2015</v>
      </c>
      <c r="G3" s="95">
        <v>2016</v>
      </c>
      <c r="H3" s="95">
        <v>2017</v>
      </c>
      <c r="I3" s="95">
        <v>2018</v>
      </c>
      <c r="J3" s="95">
        <v>2019</v>
      </c>
      <c r="K3" s="95">
        <v>2020</v>
      </c>
      <c r="L3" s="95" t="s">
        <v>244</v>
      </c>
      <c r="M3" s="280" t="str">
        <f>Allocations!H$50</f>
        <v>2021-22</v>
      </c>
      <c r="N3" s="280" t="str">
        <f>Allocations!I$50</f>
        <v>2022-23</v>
      </c>
      <c r="O3" s="280" t="str">
        <f>Allocations!J$50</f>
        <v>2023-24</v>
      </c>
      <c r="P3" s="280" t="str">
        <f>Allocations!K$50</f>
        <v>2024-25</v>
      </c>
      <c r="Q3" s="280" t="str">
        <f>Allocations!L$50</f>
        <v>2025-26</v>
      </c>
      <c r="R3" s="280" t="str">
        <f>Allocations!M$50</f>
        <v>2026-27</v>
      </c>
      <c r="S3" s="280" t="str">
        <f>Allocations!N$50</f>
        <v>2027–28</v>
      </c>
      <c r="T3" s="280" t="str">
        <f>Allocations!O$50</f>
        <v>2028–29</v>
      </c>
      <c r="U3" s="280" t="str">
        <f>Allocations!P$50</f>
        <v>2029–30</v>
      </c>
      <c r="V3" s="280" t="str">
        <f>Allocations!Q$50</f>
        <v>2030–31</v>
      </c>
    </row>
    <row r="4" spans="2:22" x14ac:dyDescent="0.3">
      <c r="C4" s="81" t="s">
        <v>439</v>
      </c>
      <c r="D4" s="95" t="s">
        <v>436</v>
      </c>
      <c r="E4" s="95" t="s">
        <v>436</v>
      </c>
      <c r="F4" s="95" t="s">
        <v>436</v>
      </c>
      <c r="G4" s="95" t="s">
        <v>437</v>
      </c>
      <c r="H4" s="95" t="s">
        <v>437</v>
      </c>
      <c r="I4" s="95" t="s">
        <v>437</v>
      </c>
      <c r="J4" s="95" t="s">
        <v>437</v>
      </c>
      <c r="K4" s="95" t="s">
        <v>437</v>
      </c>
      <c r="L4" s="95" t="s">
        <v>437</v>
      </c>
      <c r="M4" s="95" t="s">
        <v>438</v>
      </c>
      <c r="N4" s="95" t="s">
        <v>438</v>
      </c>
      <c r="O4" s="95" t="s">
        <v>438</v>
      </c>
      <c r="P4" s="95" t="s">
        <v>438</v>
      </c>
      <c r="Q4" s="95" t="s">
        <v>438</v>
      </c>
      <c r="R4" s="81"/>
      <c r="S4" s="81"/>
      <c r="T4" s="81"/>
      <c r="U4" s="81"/>
      <c r="V4" s="81"/>
    </row>
    <row r="5" spans="2:22" hidden="1" outlineLevel="1" x14ac:dyDescent="0.3">
      <c r="C5" s="81" t="s">
        <v>99</v>
      </c>
      <c r="D5" s="89">
        <v>2.0040080160320661E-2</v>
      </c>
      <c r="E5" s="89">
        <v>2.16110019646365E-2</v>
      </c>
      <c r="F5" s="89">
        <v>2.3076923076923217E-2</v>
      </c>
      <c r="G5" s="90"/>
      <c r="H5" s="90"/>
      <c r="I5" s="90"/>
      <c r="J5" s="90"/>
      <c r="K5" s="90"/>
      <c r="L5" s="90"/>
      <c r="M5" s="90"/>
      <c r="N5" s="90"/>
      <c r="O5" s="90"/>
      <c r="P5" s="90"/>
      <c r="Q5" s="90"/>
      <c r="R5" s="90"/>
      <c r="S5" s="90"/>
      <c r="T5" s="90"/>
      <c r="U5" s="90"/>
      <c r="V5" s="90"/>
    </row>
    <row r="6" spans="2:22" collapsed="1" x14ac:dyDescent="0.3">
      <c r="C6" s="81" t="s">
        <v>440</v>
      </c>
      <c r="D6" s="90"/>
      <c r="E6" s="91"/>
      <c r="F6" s="91"/>
      <c r="G6" s="89">
        <v>1.5108593012275628E-2</v>
      </c>
      <c r="H6" s="89">
        <v>1.0232558139534831E-2</v>
      </c>
      <c r="I6" s="92">
        <v>1.9337016574585641E-2</v>
      </c>
      <c r="J6" s="92">
        <v>2.0776874435411097E-2</v>
      </c>
      <c r="K6" s="92">
        <v>1.5929203539823078E-2</v>
      </c>
      <c r="L6" s="92">
        <v>1.2195121951219523E-2</v>
      </c>
      <c r="M6" s="92">
        <f>'Inputs from Capex model'!E6</f>
        <v>8.6058519793459354E-3</v>
      </c>
      <c r="N6" s="92">
        <f>'Inputs from Capex model'!F6</f>
        <v>3.4982935153583528E-2</v>
      </c>
      <c r="O6" s="92">
        <f>'Inputs from Capex model'!G6</f>
        <v>7.8318219291014124E-2</v>
      </c>
      <c r="P6" s="92">
        <f>'Inputs from Capex model'!H6</f>
        <v>4.0519877675840865E-2</v>
      </c>
      <c r="Q6" s="92">
        <f>'Inputs from Capex model'!I6</f>
        <v>3.0000000000000027E-2</v>
      </c>
      <c r="R6" s="92">
        <v>2.5000000000000001E-2</v>
      </c>
      <c r="S6" s="92">
        <v>2.5000000000000001E-2</v>
      </c>
      <c r="T6" s="92">
        <v>2.5000000000000001E-2</v>
      </c>
      <c r="U6" s="92">
        <v>2.5000000000000001E-2</v>
      </c>
      <c r="V6" s="92">
        <v>2.5000000000000001E-2</v>
      </c>
    </row>
    <row r="7" spans="2:22" x14ac:dyDescent="0.3">
      <c r="C7" s="81" t="s">
        <v>90</v>
      </c>
      <c r="D7" s="81"/>
      <c r="E7" s="93">
        <v>1</v>
      </c>
      <c r="F7" s="93">
        <f t="shared" ref="F7" si="0">E7*(1+F5)</f>
        <v>1.0230769230769232</v>
      </c>
      <c r="G7" s="93">
        <f t="shared" ref="G7:Q7" si="1">F7*(1+G6)</f>
        <v>1.0385341759279436</v>
      </c>
      <c r="H7" s="93">
        <f t="shared" si="1"/>
        <v>1.0491610372630202</v>
      </c>
      <c r="I7" s="93">
        <f t="shared" si="1"/>
        <v>1.0694486816299846</v>
      </c>
      <c r="J7" s="93">
        <f t="shared" si="1"/>
        <v>1.0916684826033267</v>
      </c>
      <c r="K7" s="93">
        <f t="shared" si="1"/>
        <v>1.109057892060725</v>
      </c>
      <c r="L7" s="93">
        <f t="shared" si="1"/>
        <v>1.122582988305368</v>
      </c>
      <c r="M7" s="93">
        <f t="shared" si="1"/>
        <v>1.1322437713372557</v>
      </c>
      <c r="N7" s="93">
        <f t="shared" si="1"/>
        <v>1.1718529817679959</v>
      </c>
      <c r="O7" s="93">
        <f t="shared" si="1"/>
        <v>1.2636304205709306</v>
      </c>
      <c r="P7" s="93">
        <f t="shared" si="1"/>
        <v>1.314832570639936</v>
      </c>
      <c r="Q7" s="93">
        <f t="shared" si="1"/>
        <v>1.354277547759134</v>
      </c>
      <c r="R7" s="81"/>
      <c r="S7" s="81"/>
      <c r="T7" s="81"/>
      <c r="U7" s="81"/>
      <c r="V7" s="81"/>
    </row>
    <row r="8" spans="2:22" x14ac:dyDescent="0.3">
      <c r="C8" s="81" t="s">
        <v>91</v>
      </c>
      <c r="D8" s="117">
        <f>E8*(1+E5)^0.5*(1+D5)^0.5</f>
        <v>1.0929372581315751</v>
      </c>
      <c r="E8" s="117">
        <f>F8*(1+F5)^0.5*(1+E5)^0.5</f>
        <v>1.0706409055182704</v>
      </c>
      <c r="F8" s="117">
        <f>G8*(1+G6)^0.5*(1+F5)^0.5</f>
        <v>1.0472416524432422</v>
      </c>
      <c r="G8" s="117">
        <f>H8*(1+H6)^0.5*(1+G6)^0.5</f>
        <v>1.0276293766945241</v>
      </c>
      <c r="H8" s="117">
        <f>I8*(1+I6)^0.5*(1+H6)^0.5</f>
        <v>1.0147745768693976</v>
      </c>
      <c r="I8" s="117">
        <v>1</v>
      </c>
      <c r="J8" s="117">
        <f>I8/(1+J6)^0.5/(1+I6)^0.5</f>
        <v>0.98033766983762027</v>
      </c>
      <c r="K8" s="117">
        <f t="shared" ref="K8" si="2">J8/(1+K6)^0.5/(1+J6)^0.5</f>
        <v>0.9626724811387547</v>
      </c>
      <c r="L8" s="117">
        <f>K8/(1+L6)/(1+K6)^0.5</f>
        <v>0.94358840382929021</v>
      </c>
      <c r="M8" s="117">
        <f>L8/(1+M6)^0.5/(1+L6)</f>
        <v>0.9282343017724517</v>
      </c>
      <c r="N8" s="94">
        <f t="shared" ref="N8:Q8" si="3">M8/(1+N6)</f>
        <v>0.89685952322944229</v>
      </c>
      <c r="O8" s="94">
        <f t="shared" si="3"/>
        <v>0.83172064348418451</v>
      </c>
      <c r="P8" s="94">
        <f t="shared" si="3"/>
        <v>0.79933181607444048</v>
      </c>
      <c r="Q8" s="94">
        <f t="shared" si="3"/>
        <v>0.77605030686838883</v>
      </c>
      <c r="R8" s="81"/>
      <c r="S8" s="81"/>
      <c r="T8" s="81"/>
      <c r="U8" s="81"/>
      <c r="V8" s="81"/>
    </row>
    <row r="9" spans="2:22" x14ac:dyDescent="0.3">
      <c r="C9" s="81" t="s">
        <v>178</v>
      </c>
      <c r="D9" s="117">
        <f>E9*(1+E5)^0.5*(1+D5)^0.5</f>
        <v>1.158277543149316</v>
      </c>
      <c r="E9" s="117">
        <f>F9*(1+F5)^0.5*(1+E5)^0.5</f>
        <v>1.1346482228621853</v>
      </c>
      <c r="F9" s="117">
        <f>G9*(1+G6)^0.5*(1+F5)^0.5</f>
        <v>1.1098500661870196</v>
      </c>
      <c r="G9" s="117">
        <f t="shared" ref="G9:H9" si="4">H9*(1+H6)^0.5*(1+G6)^0.5</f>
        <v>1.089065287920217</v>
      </c>
      <c r="H9" s="117">
        <f t="shared" si="4"/>
        <v>1.075441975284158</v>
      </c>
      <c r="I9" s="117">
        <f>J9*(1+J6)^0.5*(1+I6)^0.5</f>
        <v>1.0597841134352426</v>
      </c>
      <c r="J9" s="117">
        <f>K9*(1+K6)^0.5*(1+J6)^0.5</f>
        <v>1.0389462882960341</v>
      </c>
      <c r="K9" s="117">
        <f>L9*(1+L6)*(1+K6)^0.5</f>
        <v>1.0202250019521406</v>
      </c>
      <c r="L9" s="117">
        <v>1</v>
      </c>
      <c r="M9" s="117">
        <f>L9/(1+M6)</f>
        <v>0.99146757679180886</v>
      </c>
      <c r="N9" s="94">
        <f t="shared" ref="N9:Q9" si="5">M9/(1+N6)</f>
        <v>0.95795548227535043</v>
      </c>
      <c r="O9" s="94">
        <f t="shared" si="5"/>
        <v>0.88837920489296629</v>
      </c>
      <c r="P9" s="94">
        <f t="shared" si="5"/>
        <v>0.85378398236590747</v>
      </c>
      <c r="Q9" s="94">
        <f t="shared" si="5"/>
        <v>0.82891648773389071</v>
      </c>
      <c r="R9" s="81"/>
      <c r="S9" s="81"/>
      <c r="T9" s="81"/>
      <c r="U9" s="81"/>
      <c r="V9" s="81"/>
    </row>
    <row r="10" spans="2:22" x14ac:dyDescent="0.3">
      <c r="C10" s="81" t="s">
        <v>246</v>
      </c>
      <c r="D10" s="278"/>
      <c r="E10" s="278"/>
      <c r="F10" s="278"/>
      <c r="G10" s="278"/>
      <c r="H10" s="278"/>
      <c r="I10" s="94">
        <f>J10*(1+J6)^0.5*(1+I6)^0.5</f>
        <v>1.1007019178881863</v>
      </c>
      <c r="J10" s="94">
        <f>K10*(1+K6)^0.5*(1+J6)^0.5</f>
        <v>1.0790595533683043</v>
      </c>
      <c r="K10" s="94">
        <f t="shared" ref="K10" si="6">L10*(1+L6)*(1+K6)^0.5</f>
        <v>1.0596154462876064</v>
      </c>
      <c r="L10" s="94">
        <f>M10*(1+M6)^0.5*(1+L6)</f>
        <v>1.0386095657919523</v>
      </c>
      <c r="M10" s="117">
        <f>N10*(1+N6)^0.5*(1+M6)^0.5</f>
        <v>1.0217092762105393</v>
      </c>
      <c r="N10" s="94">
        <v>1</v>
      </c>
      <c r="O10" s="94">
        <f>N10/(1+O6)</f>
        <v>0.92737003058103962</v>
      </c>
      <c r="P10" s="94">
        <f t="shared" ref="P10:V10" si="7">O10/(1+P6)</f>
        <v>0.89125642909625269</v>
      </c>
      <c r="Q10" s="94">
        <f t="shared" si="7"/>
        <v>0.86529750397694438</v>
      </c>
      <c r="R10" s="94">
        <f t="shared" si="7"/>
        <v>0.84419268680677506</v>
      </c>
      <c r="S10" s="94">
        <f t="shared" si="7"/>
        <v>0.82360262127490258</v>
      </c>
      <c r="T10" s="94">
        <f t="shared" si="7"/>
        <v>0.80351475246331971</v>
      </c>
      <c r="U10" s="94">
        <f t="shared" si="7"/>
        <v>0.78391683167153148</v>
      </c>
      <c r="V10" s="94">
        <f t="shared" si="7"/>
        <v>0.7647969089478357</v>
      </c>
    </row>
    <row r="11" spans="2:22" x14ac:dyDescent="0.3">
      <c r="C11" s="81" t="s">
        <v>268</v>
      </c>
      <c r="D11" s="278"/>
      <c r="E11" s="278"/>
      <c r="F11" s="278"/>
      <c r="G11" s="278"/>
      <c r="H11" s="278"/>
      <c r="I11" s="93">
        <f t="shared" ref="I11:I12" si="8">J11*(1+J$6)</f>
        <v>1.1815718157181574</v>
      </c>
      <c r="J11" s="93">
        <f t="shared" ref="J11:J12" si="9">K11*(1+K$6)</f>
        <v>1.1575221238938054</v>
      </c>
      <c r="K11" s="93">
        <f t="shared" ref="K11:K12" si="10">L11*(1+L$6)</f>
        <v>1.1393728222996515</v>
      </c>
      <c r="L11" s="93">
        <f t="shared" ref="L11:L12" si="11">M11*(1+M$6)</f>
        <v>1.1256454388984509</v>
      </c>
      <c r="M11" s="93">
        <f t="shared" ref="M11:O12" si="12">N11*(1+N$6)</f>
        <v>1.1160409556313993</v>
      </c>
      <c r="N11" s="93">
        <f t="shared" si="12"/>
        <v>1.0783182192910141</v>
      </c>
      <c r="O11" s="94">
        <v>1</v>
      </c>
      <c r="P11" s="94">
        <f>O11/(1+P6)</f>
        <v>0.96105804555473928</v>
      </c>
      <c r="Q11" s="94">
        <f t="shared" ref="Q11:V11" si="13">P11/(1+Q6)</f>
        <v>0.93306606364537792</v>
      </c>
      <c r="R11" s="94">
        <f t="shared" si="13"/>
        <v>0.91030835477597849</v>
      </c>
      <c r="S11" s="94">
        <f t="shared" si="13"/>
        <v>0.8881057119765644</v>
      </c>
      <c r="T11" s="94">
        <f t="shared" si="13"/>
        <v>0.86644459705030685</v>
      </c>
      <c r="U11" s="94">
        <f t="shared" si="13"/>
        <v>0.84531180200029943</v>
      </c>
      <c r="V11" s="94">
        <f t="shared" si="13"/>
        <v>0.82469444097590194</v>
      </c>
    </row>
    <row r="12" spans="2:22" ht="15.95" x14ac:dyDescent="0.3">
      <c r="C12" s="81" t="s">
        <v>264</v>
      </c>
      <c r="D12" s="86"/>
      <c r="I12" s="93">
        <f t="shared" si="8"/>
        <v>1.2663324299909666</v>
      </c>
      <c r="J12" s="93">
        <f t="shared" si="9"/>
        <v>1.2405575221238938</v>
      </c>
      <c r="K12" s="93">
        <f t="shared" si="10"/>
        <v>1.2211062717770034</v>
      </c>
      <c r="L12" s="93">
        <f t="shared" si="11"/>
        <v>1.2063941480206539</v>
      </c>
      <c r="M12" s="93">
        <f t="shared" si="12"/>
        <v>1.1961006825938565</v>
      </c>
      <c r="N12" s="93">
        <f t="shared" si="12"/>
        <v>1.1556718878812859</v>
      </c>
      <c r="O12" s="93">
        <f t="shared" si="12"/>
        <v>1.071735474006116</v>
      </c>
      <c r="P12" s="93">
        <f>Q12*(1+Q$6)</f>
        <v>1.03</v>
      </c>
      <c r="Q12" s="93">
        <v>1</v>
      </c>
      <c r="R12" s="93"/>
      <c r="S12" s="93"/>
      <c r="T12" s="93"/>
      <c r="U12" s="81"/>
      <c r="V12" s="81"/>
    </row>
    <row r="13" spans="2:22" x14ac:dyDescent="0.3">
      <c r="C13" s="88" t="s">
        <v>100</v>
      </c>
    </row>
    <row r="15" spans="2:22" ht="15.95" x14ac:dyDescent="0.3">
      <c r="C15" s="86"/>
      <c r="D15" s="86"/>
      <c r="I15" s="105"/>
      <c r="J15" s="5"/>
      <c r="K15" s="80" t="s">
        <v>182</v>
      </c>
      <c r="L15" s="105">
        <f>1/L8</f>
        <v>1.0597841134352426</v>
      </c>
      <c r="M15" s="5" t="b">
        <f>L15=CPI_adj_Jun21</f>
        <v>1</v>
      </c>
      <c r="N15" s="5"/>
      <c r="O15" s="5"/>
      <c r="P15" s="5"/>
      <c r="Q15" s="5"/>
      <c r="R15" s="5"/>
      <c r="S15" s="5"/>
      <c r="T15" s="5"/>
    </row>
    <row r="16" spans="2:22" x14ac:dyDescent="0.3">
      <c r="C16" s="30" t="s">
        <v>102</v>
      </c>
      <c r="D16" s="1"/>
      <c r="I16" s="105"/>
      <c r="K16" s="5"/>
    </row>
    <row r="17" spans="3:22" x14ac:dyDescent="0.3">
      <c r="C17" s="5"/>
    </row>
    <row r="18" spans="3:22" x14ac:dyDescent="0.3">
      <c r="C18" s="45" t="s">
        <v>62</v>
      </c>
      <c r="D18" s="46">
        <v>2013</v>
      </c>
      <c r="E18" s="46">
        <v>2014</v>
      </c>
      <c r="F18" s="46">
        <v>2015</v>
      </c>
      <c r="G18" s="46">
        <v>2016</v>
      </c>
      <c r="H18" s="46">
        <v>2017</v>
      </c>
      <c r="I18" s="46">
        <v>2018</v>
      </c>
      <c r="J18" s="46">
        <v>2019</v>
      </c>
      <c r="K18" s="46">
        <v>2020</v>
      </c>
      <c r="L18" s="121">
        <v>44377</v>
      </c>
      <c r="M18" s="121" t="str">
        <f>Allocations!H$50</f>
        <v>2021-22</v>
      </c>
      <c r="N18" s="121" t="str">
        <f>Allocations!I$50</f>
        <v>2022-23</v>
      </c>
      <c r="O18" s="121" t="str">
        <f>Allocations!J$50</f>
        <v>2023-24</v>
      </c>
      <c r="P18" s="121" t="str">
        <f>Allocations!K$50</f>
        <v>2024-25</v>
      </c>
      <c r="Q18" s="121" t="str">
        <f>Allocations!L$50</f>
        <v>2025-26</v>
      </c>
      <c r="R18" s="121" t="str">
        <f>Allocations!M$50</f>
        <v>2026-27</v>
      </c>
      <c r="S18" s="121" t="str">
        <f>Allocations!N$50</f>
        <v>2027–28</v>
      </c>
      <c r="T18" s="121" t="str">
        <f>Allocations!O$50</f>
        <v>2028–29</v>
      </c>
      <c r="U18" s="121" t="str">
        <f>Allocations!P$50</f>
        <v>2029–30</v>
      </c>
      <c r="V18" s="121" t="str">
        <f>Allocations!Q$50</f>
        <v>2030–31</v>
      </c>
    </row>
    <row r="19" spans="3:22" x14ac:dyDescent="0.3">
      <c r="C19" s="23" t="s">
        <v>63</v>
      </c>
      <c r="D19" s="96"/>
      <c r="E19" s="81"/>
      <c r="F19" s="92"/>
      <c r="G19" s="92"/>
      <c r="H19" s="92"/>
      <c r="I19" s="92"/>
      <c r="J19" s="92"/>
      <c r="K19" s="92"/>
      <c r="L19" s="92"/>
      <c r="M19" s="92"/>
      <c r="N19" s="92"/>
      <c r="O19" s="92"/>
      <c r="P19" s="499"/>
      <c r="Q19" s="499"/>
      <c r="R19" s="499"/>
      <c r="S19" s="499"/>
      <c r="T19" s="499"/>
      <c r="U19" s="499"/>
      <c r="V19" s="499"/>
    </row>
    <row r="20" spans="3:22" x14ac:dyDescent="0.3">
      <c r="C20" s="23" t="s">
        <v>64</v>
      </c>
      <c r="D20" s="81"/>
      <c r="E20" s="81"/>
      <c r="F20" s="197"/>
      <c r="G20" s="197"/>
      <c r="H20" s="197"/>
      <c r="I20" s="197"/>
      <c r="J20" s="197"/>
      <c r="K20" s="197"/>
      <c r="L20" s="197"/>
      <c r="M20" s="197"/>
      <c r="N20" s="197"/>
      <c r="O20" s="197">
        <v>1</v>
      </c>
      <c r="P20" s="197">
        <f t="shared" ref="P20:Q20" si="14">(1+P19)*O20</f>
        <v>1</v>
      </c>
      <c r="Q20" s="197">
        <f t="shared" si="14"/>
        <v>1</v>
      </c>
      <c r="R20" s="197">
        <f t="shared" ref="R20" si="15">(1+R19)*Q20</f>
        <v>1</v>
      </c>
      <c r="S20" s="197">
        <f t="shared" ref="S20" si="16">(1+S19)*R20</f>
        <v>1</v>
      </c>
      <c r="T20" s="197">
        <f t="shared" ref="T20" si="17">(1+T19)*S20</f>
        <v>1</v>
      </c>
      <c r="U20" s="197">
        <f t="shared" ref="U20" si="18">(1+U19)*T20</f>
        <v>1</v>
      </c>
      <c r="V20" s="197">
        <f t="shared" ref="V20" si="19">(1+V19)*U20</f>
        <v>1</v>
      </c>
    </row>
    <row r="21" spans="3:22" x14ac:dyDescent="0.3">
      <c r="C21" s="23" t="s">
        <v>65</v>
      </c>
      <c r="D21" s="81"/>
      <c r="E21" s="81"/>
      <c r="F21" s="92"/>
      <c r="G21" s="92"/>
      <c r="H21" s="92"/>
      <c r="I21" s="92"/>
      <c r="J21" s="92"/>
      <c r="K21" s="92"/>
      <c r="L21" s="92"/>
      <c r="M21" s="92"/>
      <c r="N21" s="92"/>
      <c r="O21" s="92"/>
      <c r="P21" s="499"/>
      <c r="Q21" s="499"/>
      <c r="R21" s="499"/>
      <c r="S21" s="499"/>
      <c r="T21" s="499"/>
      <c r="U21" s="499"/>
      <c r="V21" s="499"/>
    </row>
    <row r="22" spans="3:22" x14ac:dyDescent="0.3">
      <c r="C22" s="23" t="s">
        <v>66</v>
      </c>
      <c r="D22" s="81"/>
      <c r="E22" s="81"/>
      <c r="F22" s="197"/>
      <c r="G22" s="197"/>
      <c r="H22" s="197"/>
      <c r="I22" s="197"/>
      <c r="J22" s="197"/>
      <c r="K22" s="197"/>
      <c r="L22" s="197"/>
      <c r="M22" s="197"/>
      <c r="N22" s="197"/>
      <c r="O22" s="44">
        <v>1</v>
      </c>
      <c r="P22" s="44">
        <f t="shared" ref="P22:Q22" si="20">(1+P21)*O22</f>
        <v>1</v>
      </c>
      <c r="Q22" s="44">
        <f t="shared" si="20"/>
        <v>1</v>
      </c>
      <c r="R22" s="44">
        <f t="shared" ref="R22" si="21">(1+R21)*Q22</f>
        <v>1</v>
      </c>
      <c r="S22" s="44">
        <f t="shared" ref="S22" si="22">(1+S21)*R22</f>
        <v>1</v>
      </c>
      <c r="T22" s="44">
        <f t="shared" ref="T22" si="23">(1+T21)*S22</f>
        <v>1</v>
      </c>
      <c r="U22" s="44">
        <f t="shared" ref="U22" si="24">(1+U21)*T22</f>
        <v>1</v>
      </c>
      <c r="V22" s="44">
        <f t="shared" ref="V22" si="25">(1+V21)*U22</f>
        <v>1</v>
      </c>
    </row>
    <row r="23" spans="3:22" x14ac:dyDescent="0.3">
      <c r="C23" s="368"/>
    </row>
    <row r="25" spans="3:22" x14ac:dyDescent="0.3">
      <c r="C25" s="1" t="s">
        <v>274</v>
      </c>
    </row>
    <row r="26" spans="3:22" x14ac:dyDescent="0.3">
      <c r="C26" s="1"/>
    </row>
    <row r="27" spans="3:22" x14ac:dyDescent="0.3">
      <c r="C27" s="81" t="s">
        <v>275</v>
      </c>
      <c r="J27" s="288"/>
      <c r="K27" s="288"/>
      <c r="L27" s="288"/>
      <c r="M27" s="121" t="str">
        <f>Allocations!H$50</f>
        <v>2021-22</v>
      </c>
      <c r="N27" s="121" t="str">
        <f>Allocations!I$50</f>
        <v>2022-23</v>
      </c>
      <c r="O27" s="121" t="str">
        <f>Allocations!J$50</f>
        <v>2023-24</v>
      </c>
      <c r="P27" s="121" t="str">
        <f>Allocations!K$50</f>
        <v>2024-25</v>
      </c>
      <c r="Q27" s="121" t="str">
        <f>Allocations!L$50</f>
        <v>2025-26</v>
      </c>
      <c r="R27" s="121" t="str">
        <f>Allocations!M$50</f>
        <v>2026-27</v>
      </c>
      <c r="S27" s="121" t="str">
        <f>Allocations!N$50</f>
        <v>2027–28</v>
      </c>
      <c r="T27" s="121" t="str">
        <f>Allocations!O$50</f>
        <v>2028–29</v>
      </c>
      <c r="U27" s="121" t="str">
        <f>Allocations!P$50</f>
        <v>2029–30</v>
      </c>
      <c r="V27" s="121" t="str">
        <f>Allocations!Q$50</f>
        <v>2030–31</v>
      </c>
    </row>
    <row r="28" spans="3:22" x14ac:dyDescent="0.3">
      <c r="C28" s="474"/>
      <c r="M28" s="474"/>
      <c r="N28" s="474"/>
      <c r="O28" s="475"/>
      <c r="P28" s="465"/>
      <c r="Q28" s="474"/>
      <c r="R28" s="474"/>
      <c r="S28" s="474"/>
      <c r="T28" s="474"/>
      <c r="U28" s="474"/>
      <c r="V28" s="474"/>
    </row>
    <row r="29" spans="3:22" x14ac:dyDescent="0.3">
      <c r="C29" s="474"/>
      <c r="M29" s="474"/>
      <c r="N29" s="474"/>
      <c r="O29" s="476"/>
      <c r="P29" s="474"/>
      <c r="Q29" s="474"/>
      <c r="R29" s="474"/>
      <c r="S29" s="474"/>
      <c r="T29" s="474"/>
      <c r="U29" s="474"/>
      <c r="V29" s="474"/>
    </row>
    <row r="30" spans="3:22" x14ac:dyDescent="0.3">
      <c r="C30" s="474"/>
      <c r="M30" s="474"/>
      <c r="N30" s="474"/>
      <c r="O30" s="477"/>
      <c r="P30" s="474"/>
      <c r="Q30" s="474"/>
      <c r="R30" s="474"/>
      <c r="S30" s="474"/>
      <c r="T30" s="474"/>
      <c r="U30" s="474"/>
      <c r="V30" s="474"/>
    </row>
    <row r="31" spans="3:22" x14ac:dyDescent="0.3">
      <c r="C31" s="474"/>
      <c r="M31" s="474"/>
      <c r="N31" s="474"/>
      <c r="O31" s="477"/>
      <c r="P31" s="474"/>
      <c r="Q31" s="474"/>
      <c r="R31" s="474"/>
      <c r="S31" s="474"/>
      <c r="T31" s="474"/>
      <c r="U31" s="474"/>
      <c r="V31" s="474"/>
    </row>
    <row r="32" spans="3:22" x14ac:dyDescent="0.3">
      <c r="C32" s="474"/>
      <c r="M32" s="474"/>
      <c r="N32" s="474"/>
      <c r="O32" s="477"/>
      <c r="P32" s="474"/>
      <c r="Q32" s="474"/>
      <c r="R32" s="474"/>
      <c r="S32" s="474"/>
      <c r="T32" s="474"/>
      <c r="U32" s="474"/>
      <c r="V32" s="474"/>
    </row>
  </sheetData>
  <phoneticPr fontId="30" type="noConversion"/>
  <hyperlinks>
    <hyperlink ref="B1" location="Contents!A1" display="Table of Contents" xr:uid="{F8F99758-4A73-4C37-B30D-EA6471F51A93}"/>
  </hyperlinks>
  <pageMargins left="0.7" right="0.7" top="0.75" bottom="0.75" header="0.3" footer="0.3"/>
  <pageSetup paperSize="9" orientation="portrait" r:id="rId1"/>
  <headerFooter>
    <oddFooter>&amp;C_x000D_&amp;1#&amp;"Century Gothic"&amp;7&amp;K7F7F7F BUSINESS USE ONLY</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I25"/>
  <sheetViews>
    <sheetView zoomScale="85" zoomScaleNormal="85" workbookViewId="0"/>
  </sheetViews>
  <sheetFormatPr defaultRowHeight="14.65" x14ac:dyDescent="0.3"/>
  <cols>
    <col min="1" max="1" width="5.44140625" customWidth="1"/>
    <col min="2" max="2" width="7.6640625" customWidth="1"/>
    <col min="3" max="3" width="43.88671875" customWidth="1"/>
    <col min="4" max="5" width="18.88671875" customWidth="1"/>
    <col min="6" max="6" width="13.33203125" customWidth="1"/>
    <col min="7" max="8" width="10.33203125" customWidth="1"/>
    <col min="9" max="9" width="7.77734375" customWidth="1"/>
    <col min="12" max="12" width="9.109375" customWidth="1"/>
  </cols>
  <sheetData>
    <row r="2" spans="2:9" ht="18.5" x14ac:dyDescent="0.35">
      <c r="B2" s="39" t="s">
        <v>33</v>
      </c>
    </row>
    <row r="3" spans="2:9" x14ac:dyDescent="0.3">
      <c r="B3" s="40" t="s">
        <v>54</v>
      </c>
    </row>
    <row r="4" spans="2:9" x14ac:dyDescent="0.3">
      <c r="B4" s="40"/>
    </row>
    <row r="5" spans="2:9" x14ac:dyDescent="0.3">
      <c r="B5" s="1" t="s">
        <v>55</v>
      </c>
    </row>
    <row r="6" spans="2:9" ht="6.7" customHeight="1" x14ac:dyDescent="0.3">
      <c r="B6" s="1"/>
    </row>
    <row r="7" spans="2:9" x14ac:dyDescent="0.3">
      <c r="B7" s="29" t="s">
        <v>30</v>
      </c>
      <c r="C7" s="28" t="s">
        <v>34</v>
      </c>
      <c r="D7" s="503" t="s">
        <v>35</v>
      </c>
      <c r="E7" s="504"/>
      <c r="F7" s="505"/>
      <c r="G7" s="503" t="s">
        <v>36</v>
      </c>
      <c r="H7" s="504"/>
      <c r="I7" s="505"/>
    </row>
    <row r="8" spans="2:9" ht="133.19999999999999" customHeight="1" x14ac:dyDescent="0.3">
      <c r="B8" s="106">
        <v>1012</v>
      </c>
      <c r="C8" s="107" t="s">
        <v>83</v>
      </c>
      <c r="D8" s="506" t="s">
        <v>365</v>
      </c>
      <c r="E8" s="512"/>
      <c r="F8" s="513"/>
      <c r="G8" s="506" t="s">
        <v>37</v>
      </c>
      <c r="H8" s="507"/>
      <c r="I8" s="508"/>
    </row>
    <row r="9" spans="2:9" ht="64.349999999999994" customHeight="1" x14ac:dyDescent="0.3">
      <c r="B9" s="106">
        <v>1013</v>
      </c>
      <c r="C9" s="107" t="s">
        <v>84</v>
      </c>
      <c r="D9" s="506" t="s">
        <v>446</v>
      </c>
      <c r="E9" s="507"/>
      <c r="F9" s="508"/>
      <c r="G9" s="506" t="s">
        <v>37</v>
      </c>
      <c r="H9" s="507"/>
      <c r="I9" s="508"/>
    </row>
    <row r="10" spans="2:9" ht="31.9" customHeight="1" x14ac:dyDescent="0.3">
      <c r="B10" s="106">
        <v>1014</v>
      </c>
      <c r="C10" s="107" t="s">
        <v>85</v>
      </c>
      <c r="D10" s="506" t="s">
        <v>367</v>
      </c>
      <c r="E10" s="507"/>
      <c r="F10" s="508"/>
      <c r="G10" s="509" t="s">
        <v>38</v>
      </c>
      <c r="H10" s="510"/>
      <c r="I10" s="511"/>
    </row>
    <row r="11" spans="2:9" ht="29.95" customHeight="1" x14ac:dyDescent="0.3">
      <c r="B11" s="106">
        <v>1016</v>
      </c>
      <c r="C11" s="107" t="s">
        <v>88</v>
      </c>
      <c r="D11" s="506" t="s">
        <v>366</v>
      </c>
      <c r="E11" s="507"/>
      <c r="F11" s="508"/>
      <c r="G11" s="506" t="s">
        <v>39</v>
      </c>
      <c r="H11" s="507"/>
      <c r="I11" s="508"/>
    </row>
    <row r="12" spans="2:9" ht="29.95" customHeight="1" x14ac:dyDescent="0.3">
      <c r="B12" s="106">
        <v>1018</v>
      </c>
      <c r="C12" s="107" t="s">
        <v>86</v>
      </c>
      <c r="D12" s="506" t="s">
        <v>367</v>
      </c>
      <c r="E12" s="507"/>
      <c r="F12" s="508"/>
      <c r="G12" s="506" t="s">
        <v>37</v>
      </c>
      <c r="H12" s="507"/>
      <c r="I12" s="508"/>
    </row>
    <row r="13" spans="2:9" ht="29.95" customHeight="1" x14ac:dyDescent="0.3">
      <c r="B13" s="106">
        <v>1019</v>
      </c>
      <c r="C13" s="107" t="s">
        <v>78</v>
      </c>
      <c r="D13" s="506" t="s">
        <v>293</v>
      </c>
      <c r="E13" s="507"/>
      <c r="F13" s="508"/>
      <c r="G13" s="506" t="s">
        <v>37</v>
      </c>
      <c r="H13" s="507"/>
      <c r="I13" s="508"/>
    </row>
    <row r="14" spans="2:9" ht="96.25" customHeight="1" x14ac:dyDescent="0.3">
      <c r="B14" s="106">
        <v>1015</v>
      </c>
      <c r="C14" s="107" t="s">
        <v>335</v>
      </c>
      <c r="D14" s="506" t="s">
        <v>408</v>
      </c>
      <c r="E14" s="507"/>
      <c r="F14" s="508"/>
      <c r="G14" s="506" t="s">
        <v>117</v>
      </c>
      <c r="H14" s="507"/>
      <c r="I14" s="508"/>
    </row>
    <row r="15" spans="2:9" ht="47.8" customHeight="1" x14ac:dyDescent="0.3">
      <c r="B15" s="106">
        <v>1048</v>
      </c>
      <c r="C15" s="107" t="s">
        <v>236</v>
      </c>
      <c r="D15" s="506" t="s">
        <v>357</v>
      </c>
      <c r="E15" s="507"/>
      <c r="F15" s="508"/>
      <c r="G15" s="506" t="s">
        <v>117</v>
      </c>
      <c r="H15" s="507"/>
      <c r="I15" s="508"/>
    </row>
    <row r="16" spans="2:9" ht="6.7" customHeight="1" x14ac:dyDescent="0.3"/>
    <row r="18" spans="2:3" x14ac:dyDescent="0.3">
      <c r="B18" s="1" t="s">
        <v>53</v>
      </c>
    </row>
    <row r="19" spans="2:3" x14ac:dyDescent="0.3">
      <c r="B19">
        <v>1000</v>
      </c>
      <c r="C19" t="s">
        <v>52</v>
      </c>
    </row>
    <row r="20" spans="2:3" x14ac:dyDescent="0.3">
      <c r="B20" s="5"/>
    </row>
    <row r="25" spans="2:3" x14ac:dyDescent="0.3">
      <c r="B25" s="1"/>
    </row>
  </sheetData>
  <mergeCells count="18">
    <mergeCell ref="D15:F15"/>
    <mergeCell ref="G15:I15"/>
    <mergeCell ref="D14:F14"/>
    <mergeCell ref="G12:I12"/>
    <mergeCell ref="G14:I14"/>
    <mergeCell ref="D12:F12"/>
    <mergeCell ref="D13:F13"/>
    <mergeCell ref="G13:I13"/>
    <mergeCell ref="D7:F7"/>
    <mergeCell ref="D8:F8"/>
    <mergeCell ref="D9:F9"/>
    <mergeCell ref="D10:F10"/>
    <mergeCell ref="D11:F11"/>
    <mergeCell ref="G7:I7"/>
    <mergeCell ref="G8:I8"/>
    <mergeCell ref="G9:I9"/>
    <mergeCell ref="G10:I10"/>
    <mergeCell ref="G11:I11"/>
  </mergeCells>
  <hyperlinks>
    <hyperlink ref="B3" location="Contents!A1" display="Table of Contents" xr:uid="{00000000-0004-0000-0400-000000000000}"/>
  </hyperlinks>
  <pageMargins left="0.7" right="0.7" top="0.75" bottom="0.75" header="0.3" footer="0.3"/>
  <pageSetup paperSize="9" orientation="portrait" verticalDpi="0" r:id="rId1"/>
  <headerFooter>
    <oddFooter>&amp;C_x000D_&amp;1#&amp;"Century Gothic"&amp;7&amp;K7F7F7F BUSINESS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X63"/>
  <sheetViews>
    <sheetView topLeftCell="A31" zoomScale="85" zoomScaleNormal="85" workbookViewId="0">
      <selection activeCell="G46" sqref="G46"/>
    </sheetView>
  </sheetViews>
  <sheetFormatPr defaultColWidth="9.109375" defaultRowHeight="14.65" x14ac:dyDescent="0.3"/>
  <cols>
    <col min="1" max="1" width="5.21875" customWidth="1"/>
    <col min="2" max="2" width="7.88671875" customWidth="1"/>
    <col min="3" max="3" width="49.5546875" customWidth="1"/>
    <col min="4" max="4" width="10.88671875" customWidth="1"/>
    <col min="5" max="5" width="10" customWidth="1"/>
    <col min="6" max="6" width="10.44140625" customWidth="1"/>
    <col min="7" max="8" width="10" customWidth="1"/>
    <col min="9" max="9" width="10.33203125" customWidth="1"/>
    <col min="10" max="10" width="10.109375" customWidth="1"/>
  </cols>
  <sheetData>
    <row r="2" spans="2:17" ht="18.5" x14ac:dyDescent="0.35">
      <c r="B2" s="39" t="s">
        <v>60</v>
      </c>
    </row>
    <row r="3" spans="2:17" x14ac:dyDescent="0.3">
      <c r="B3" s="40" t="s">
        <v>54</v>
      </c>
    </row>
    <row r="4" spans="2:17" x14ac:dyDescent="0.3">
      <c r="B4" s="40"/>
    </row>
    <row r="5" spans="2:17" x14ac:dyDescent="0.3">
      <c r="B5" s="20" t="s">
        <v>58</v>
      </c>
    </row>
    <row r="7" spans="2:17" x14ac:dyDescent="0.3">
      <c r="B7" s="29" t="s">
        <v>30</v>
      </c>
      <c r="C7" s="28" t="s">
        <v>195</v>
      </c>
      <c r="D7" s="29" t="s">
        <v>1</v>
      </c>
    </row>
    <row r="8" spans="2:17" x14ac:dyDescent="0.3">
      <c r="B8" s="95">
        <v>1012</v>
      </c>
      <c r="C8" s="81" t="s">
        <v>83</v>
      </c>
      <c r="D8" s="301">
        <v>1</v>
      </c>
    </row>
    <row r="9" spans="2:17" x14ac:dyDescent="0.3">
      <c r="B9" s="95">
        <v>1013</v>
      </c>
      <c r="C9" s="81" t="s">
        <v>84</v>
      </c>
      <c r="D9" s="301">
        <v>1</v>
      </c>
    </row>
    <row r="10" spans="2:17" x14ac:dyDescent="0.3">
      <c r="B10" s="95">
        <v>1014</v>
      </c>
      <c r="C10" s="81" t="s">
        <v>85</v>
      </c>
      <c r="D10" s="301">
        <v>1</v>
      </c>
    </row>
    <row r="11" spans="2:17" x14ac:dyDescent="0.3">
      <c r="B11" s="95">
        <v>1016</v>
      </c>
      <c r="C11" s="81" t="s">
        <v>88</v>
      </c>
      <c r="D11" s="301">
        <v>1</v>
      </c>
    </row>
    <row r="12" spans="2:17" x14ac:dyDescent="0.3">
      <c r="B12" s="95">
        <v>1018</v>
      </c>
      <c r="C12" s="81" t="s">
        <v>86</v>
      </c>
      <c r="D12" s="301">
        <v>1</v>
      </c>
    </row>
    <row r="13" spans="2:17" x14ac:dyDescent="0.3">
      <c r="B13" s="95">
        <v>1019</v>
      </c>
      <c r="C13" s="81" t="s">
        <v>78</v>
      </c>
      <c r="D13" s="301">
        <v>1</v>
      </c>
    </row>
    <row r="14" spans="2:17" x14ac:dyDescent="0.3">
      <c r="B14" s="95">
        <v>1020</v>
      </c>
      <c r="C14" s="81" t="s">
        <v>112</v>
      </c>
      <c r="D14" s="360">
        <v>0</v>
      </c>
      <c r="E14" s="519" t="s">
        <v>336</v>
      </c>
      <c r="F14" s="520"/>
      <c r="G14" s="520"/>
      <c r="H14" s="520"/>
      <c r="I14" s="520"/>
      <c r="J14" s="520"/>
      <c r="K14" s="520"/>
      <c r="L14" s="520"/>
      <c r="M14" s="520"/>
      <c r="N14" s="520"/>
      <c r="O14" s="520"/>
      <c r="P14" s="520"/>
      <c r="Q14" s="520"/>
    </row>
    <row r="15" spans="2:17" x14ac:dyDescent="0.3">
      <c r="B15" s="95">
        <v>1002</v>
      </c>
      <c r="C15" s="81" t="s">
        <v>0</v>
      </c>
      <c r="D15" s="301">
        <v>0</v>
      </c>
      <c r="E15" s="519" t="s">
        <v>337</v>
      </c>
      <c r="F15" s="520"/>
      <c r="G15" s="520"/>
      <c r="H15" s="520"/>
      <c r="I15" s="520"/>
      <c r="J15" s="520"/>
      <c r="K15" s="520"/>
      <c r="L15" s="520"/>
      <c r="M15" s="520"/>
      <c r="N15" s="520"/>
      <c r="O15" s="520"/>
      <c r="P15" s="520"/>
      <c r="Q15" s="520"/>
    </row>
    <row r="16" spans="2:17" x14ac:dyDescent="0.3">
      <c r="B16" s="95">
        <v>1015</v>
      </c>
      <c r="C16" s="81" t="s">
        <v>335</v>
      </c>
      <c r="D16" s="301">
        <v>1</v>
      </c>
      <c r="E16" s="521" t="s">
        <v>340</v>
      </c>
      <c r="F16" s="522"/>
      <c r="G16" s="522"/>
      <c r="H16" s="522"/>
      <c r="I16" s="522"/>
      <c r="J16" s="522"/>
      <c r="K16" s="522"/>
      <c r="L16" s="522"/>
      <c r="M16" s="522"/>
      <c r="N16" s="522"/>
      <c r="O16" s="522"/>
      <c r="P16" s="522"/>
      <c r="Q16" s="522"/>
    </row>
    <row r="17" spans="1:17" x14ac:dyDescent="0.3">
      <c r="B17" s="95">
        <v>1047</v>
      </c>
      <c r="C17" s="81" t="s">
        <v>260</v>
      </c>
      <c r="D17" s="301">
        <v>0</v>
      </c>
      <c r="E17" s="521" t="s">
        <v>341</v>
      </c>
      <c r="F17" s="522"/>
      <c r="G17" s="522"/>
      <c r="H17" s="522"/>
      <c r="I17" s="522"/>
      <c r="J17" s="522"/>
      <c r="K17" s="522"/>
      <c r="L17" s="522"/>
      <c r="M17" s="522"/>
      <c r="N17" s="522"/>
      <c r="O17" s="522"/>
      <c r="P17" s="522"/>
      <c r="Q17" s="522"/>
    </row>
    <row r="18" spans="1:17" x14ac:dyDescent="0.3">
      <c r="B18" s="95">
        <v>1048</v>
      </c>
      <c r="C18" s="81" t="s">
        <v>236</v>
      </c>
      <c r="D18" s="301">
        <v>1</v>
      </c>
      <c r="E18" s="521" t="s">
        <v>342</v>
      </c>
      <c r="F18" s="522"/>
      <c r="G18" s="522"/>
      <c r="H18" s="522"/>
      <c r="I18" s="522"/>
      <c r="J18" s="522"/>
      <c r="K18" s="522"/>
      <c r="L18" s="522"/>
      <c r="M18" s="522"/>
      <c r="N18" s="522"/>
      <c r="O18" s="522"/>
      <c r="P18" s="522"/>
      <c r="Q18" s="522"/>
    </row>
    <row r="19" spans="1:17" x14ac:dyDescent="0.3">
      <c r="B19" s="374" t="s">
        <v>343</v>
      </c>
    </row>
    <row r="21" spans="1:17" x14ac:dyDescent="0.3">
      <c r="B21" s="20" t="s">
        <v>265</v>
      </c>
    </row>
    <row r="23" spans="1:17" x14ac:dyDescent="0.3">
      <c r="D23" s="514" t="s">
        <v>288</v>
      </c>
      <c r="E23" s="514"/>
      <c r="F23" s="514"/>
      <c r="G23" s="514"/>
    </row>
    <row r="24" spans="1:17" ht="44" x14ac:dyDescent="0.3">
      <c r="B24" s="195" t="s">
        <v>18</v>
      </c>
      <c r="C24" s="196"/>
      <c r="D24" s="42" t="s">
        <v>19</v>
      </c>
      <c r="E24" s="42" t="s">
        <v>20</v>
      </c>
      <c r="F24" s="42" t="s">
        <v>21</v>
      </c>
      <c r="G24" s="42" t="s">
        <v>22</v>
      </c>
      <c r="H24" s="43" t="s">
        <v>2</v>
      </c>
    </row>
    <row r="25" spans="1:17" x14ac:dyDescent="0.3">
      <c r="B25" s="515">
        <v>1012</v>
      </c>
      <c r="C25" s="107" t="s">
        <v>83</v>
      </c>
      <c r="D25" s="82">
        <v>2.704208690288197E-2</v>
      </c>
      <c r="E25" s="82">
        <v>4.6766294692029073E-2</v>
      </c>
      <c r="F25" s="82">
        <v>0.92119174455346264</v>
      </c>
      <c r="G25" s="290">
        <v>4.9998738516263564E-3</v>
      </c>
      <c r="H25" s="82">
        <f t="shared" ref="H25:H39" si="0">SUM(D25:G25)</f>
        <v>1</v>
      </c>
      <c r="I25" s="14" t="s">
        <v>89</v>
      </c>
      <c r="L25" s="12"/>
      <c r="M25" s="12"/>
      <c r="N25" s="12"/>
      <c r="O25" s="12"/>
    </row>
    <row r="26" spans="1:17" x14ac:dyDescent="0.3">
      <c r="B26" s="518"/>
      <c r="C26" s="107" t="s">
        <v>92</v>
      </c>
      <c r="D26" s="82">
        <v>0.05</v>
      </c>
      <c r="E26" s="82">
        <v>0</v>
      </c>
      <c r="F26" s="82">
        <v>0.95</v>
      </c>
      <c r="G26" s="290">
        <v>0</v>
      </c>
      <c r="H26" s="82">
        <f t="shared" si="0"/>
        <v>1</v>
      </c>
      <c r="I26" s="14" t="s">
        <v>113</v>
      </c>
      <c r="L26" s="12"/>
      <c r="M26" s="12"/>
      <c r="N26" s="12"/>
      <c r="O26" s="12"/>
    </row>
    <row r="27" spans="1:17" x14ac:dyDescent="0.3">
      <c r="B27" s="518"/>
      <c r="C27" s="107" t="s">
        <v>121</v>
      </c>
      <c r="D27" s="82">
        <v>0</v>
      </c>
      <c r="E27" s="82">
        <v>0</v>
      </c>
      <c r="F27" s="82">
        <v>1</v>
      </c>
      <c r="G27" s="290">
        <v>0</v>
      </c>
      <c r="H27" s="82">
        <f t="shared" si="0"/>
        <v>1</v>
      </c>
      <c r="I27" s="14"/>
      <c r="L27" s="12"/>
      <c r="M27" s="12"/>
      <c r="N27" s="12"/>
      <c r="O27" s="12"/>
    </row>
    <row r="28" spans="1:17" x14ac:dyDescent="0.3">
      <c r="B28" s="518"/>
      <c r="C28" s="107" t="s">
        <v>93</v>
      </c>
      <c r="D28" s="82">
        <v>9.7809695514815262E-2</v>
      </c>
      <c r="E28" s="82">
        <v>3.9887324274357677E-2</v>
      </c>
      <c r="F28" s="82">
        <v>0.85652079304297002</v>
      </c>
      <c r="G28" s="290">
        <v>5.7821871678570003E-3</v>
      </c>
      <c r="H28" s="82">
        <f t="shared" si="0"/>
        <v>1</v>
      </c>
      <c r="I28" s="14"/>
      <c r="L28" s="12"/>
      <c r="M28" s="12"/>
      <c r="N28" s="12"/>
      <c r="O28" s="12"/>
    </row>
    <row r="29" spans="1:17" x14ac:dyDescent="0.3">
      <c r="A29" s="80" t="s">
        <v>272</v>
      </c>
      <c r="B29" s="518"/>
      <c r="C29" s="107" t="s">
        <v>271</v>
      </c>
      <c r="D29" s="82">
        <v>5.741045137456896E-2</v>
      </c>
      <c r="E29" s="82">
        <v>0.40931197331214531</v>
      </c>
      <c r="F29" s="82">
        <v>0.52600648727750809</v>
      </c>
      <c r="G29" s="82">
        <v>7.2710880357777091E-3</v>
      </c>
      <c r="H29" s="22">
        <f t="shared" si="0"/>
        <v>1.0000000000000002</v>
      </c>
      <c r="I29" s="14" t="s">
        <v>276</v>
      </c>
      <c r="L29" s="12"/>
      <c r="M29" s="12"/>
      <c r="N29" s="12"/>
      <c r="O29" s="12"/>
    </row>
    <row r="30" spans="1:17" x14ac:dyDescent="0.3">
      <c r="B30" s="516"/>
      <c r="C30" s="107" t="s">
        <v>183</v>
      </c>
      <c r="D30" s="82">
        <v>1</v>
      </c>
      <c r="E30" s="82">
        <v>0</v>
      </c>
      <c r="F30" s="82">
        <v>0</v>
      </c>
      <c r="G30" s="290">
        <v>0</v>
      </c>
      <c r="H30" s="22">
        <f t="shared" si="0"/>
        <v>1</v>
      </c>
      <c r="I30" s="14"/>
      <c r="L30" s="12"/>
      <c r="M30" s="12"/>
      <c r="N30" s="12"/>
      <c r="O30" s="12"/>
    </row>
    <row r="31" spans="1:17" x14ac:dyDescent="0.3">
      <c r="B31" s="95">
        <v>1013</v>
      </c>
      <c r="C31" s="23" t="s">
        <v>84</v>
      </c>
      <c r="D31" s="82">
        <v>0.16967166657979615</v>
      </c>
      <c r="E31" s="82">
        <v>6.2642714328495025E-2</v>
      </c>
      <c r="F31" s="82">
        <v>0.76236538417702226</v>
      </c>
      <c r="G31" s="290">
        <v>5.3202349146866633E-3</v>
      </c>
      <c r="H31" s="22">
        <f t="shared" si="0"/>
        <v>1</v>
      </c>
      <c r="I31" s="14"/>
      <c r="L31" s="12"/>
      <c r="M31" s="12"/>
      <c r="N31" s="12"/>
      <c r="O31" s="12"/>
    </row>
    <row r="32" spans="1:17" x14ac:dyDescent="0.3">
      <c r="B32" s="515">
        <v>1014</v>
      </c>
      <c r="C32" s="23" t="s">
        <v>85</v>
      </c>
      <c r="D32" s="82">
        <v>7.4952655348431471E-2</v>
      </c>
      <c r="E32" s="82">
        <v>0.17849421171650015</v>
      </c>
      <c r="F32" s="82">
        <v>0.73335128992896081</v>
      </c>
      <c r="G32" s="290">
        <v>1.3201843006107536E-2</v>
      </c>
      <c r="H32" s="22">
        <f t="shared" si="0"/>
        <v>0.99999999999999989</v>
      </c>
      <c r="I32" s="14"/>
      <c r="L32" s="12"/>
      <c r="M32" s="12"/>
      <c r="N32" s="12"/>
      <c r="O32" s="12"/>
    </row>
    <row r="33" spans="1:24" x14ac:dyDescent="0.3">
      <c r="B33" s="516"/>
      <c r="C33" s="228" t="s">
        <v>179</v>
      </c>
      <c r="D33" s="291">
        <v>0.05</v>
      </c>
      <c r="E33" s="291">
        <v>0</v>
      </c>
      <c r="F33" s="291">
        <v>0.95</v>
      </c>
      <c r="G33" s="292">
        <v>0</v>
      </c>
      <c r="H33" s="82">
        <f t="shared" ref="H33" si="1">SUM(D33:G33)</f>
        <v>1</v>
      </c>
      <c r="I33" s="14" t="s">
        <v>113</v>
      </c>
      <c r="L33" s="12"/>
      <c r="M33" s="12"/>
      <c r="N33" s="12"/>
      <c r="O33" s="12"/>
    </row>
    <row r="34" spans="1:24" x14ac:dyDescent="0.3">
      <c r="B34" s="95">
        <v>1018</v>
      </c>
      <c r="C34" s="81" t="s">
        <v>86</v>
      </c>
      <c r="D34" s="82">
        <v>0.13449303621719566</v>
      </c>
      <c r="E34" s="82">
        <v>0.10934282424458522</v>
      </c>
      <c r="F34" s="82">
        <v>0.75128916871136653</v>
      </c>
      <c r="G34" s="290">
        <v>4.8749708268526135E-3</v>
      </c>
      <c r="H34" s="22">
        <f t="shared" si="0"/>
        <v>1</v>
      </c>
      <c r="L34" s="12"/>
      <c r="M34" s="12"/>
      <c r="N34" s="12"/>
      <c r="O34" s="12"/>
    </row>
    <row r="35" spans="1:24" x14ac:dyDescent="0.3">
      <c r="B35" s="95">
        <v>1019</v>
      </c>
      <c r="C35" s="81" t="s">
        <v>78</v>
      </c>
      <c r="D35" s="82">
        <v>3.4053353745780335E-2</v>
      </c>
      <c r="E35" s="82">
        <v>7.6485393135663327E-2</v>
      </c>
      <c r="F35" s="82">
        <v>0.88466105604969381</v>
      </c>
      <c r="G35" s="290">
        <v>4.8001970688627341E-3</v>
      </c>
      <c r="H35" s="82">
        <f t="shared" si="0"/>
        <v>1.0000000000000002</v>
      </c>
      <c r="I35" s="14"/>
      <c r="L35" s="12"/>
      <c r="M35" s="12"/>
      <c r="N35" s="12"/>
      <c r="O35" s="12"/>
    </row>
    <row r="36" spans="1:24" x14ac:dyDescent="0.3">
      <c r="B36" s="81"/>
      <c r="C36" s="81" t="s">
        <v>217</v>
      </c>
      <c r="D36" s="291">
        <v>0.05</v>
      </c>
      <c r="E36" s="291">
        <v>0</v>
      </c>
      <c r="F36" s="291">
        <v>0.95</v>
      </c>
      <c r="G36" s="292">
        <v>0</v>
      </c>
      <c r="H36" s="82">
        <f t="shared" ref="H36" si="2">SUM(D36:G36)</f>
        <v>1</v>
      </c>
      <c r="I36" s="14" t="s">
        <v>113</v>
      </c>
      <c r="L36" s="12"/>
      <c r="M36" s="12"/>
      <c r="N36" s="12"/>
      <c r="O36" s="12"/>
    </row>
    <row r="37" spans="1:24" x14ac:dyDescent="0.3">
      <c r="B37" s="515">
        <v>1015</v>
      </c>
      <c r="C37" s="23" t="s">
        <v>335</v>
      </c>
      <c r="D37" s="82">
        <v>2.8976751227010468E-2</v>
      </c>
      <c r="E37" s="82">
        <v>3.1342716528484103E-2</v>
      </c>
      <c r="F37" s="82">
        <v>0.8798354147504952</v>
      </c>
      <c r="G37" s="82">
        <v>5.9845117494010253E-2</v>
      </c>
      <c r="H37" s="82">
        <f t="shared" si="0"/>
        <v>1</v>
      </c>
      <c r="I37" s="14"/>
      <c r="L37" s="12"/>
      <c r="M37" s="12"/>
      <c r="N37" s="12"/>
      <c r="O37" s="12"/>
    </row>
    <row r="38" spans="1:24" x14ac:dyDescent="0.3">
      <c r="B38" s="516"/>
      <c r="C38" s="23" t="s">
        <v>245</v>
      </c>
      <c r="D38" s="291">
        <v>0.05</v>
      </c>
      <c r="E38" s="291">
        <v>0</v>
      </c>
      <c r="F38" s="291">
        <v>0.95</v>
      </c>
      <c r="G38" s="292">
        <v>0</v>
      </c>
      <c r="H38" s="82">
        <f t="shared" si="0"/>
        <v>1</v>
      </c>
      <c r="I38" s="14" t="s">
        <v>113</v>
      </c>
      <c r="L38" s="12"/>
      <c r="M38" s="12"/>
      <c r="N38" s="12"/>
      <c r="O38" s="12"/>
    </row>
    <row r="39" spans="1:24" x14ac:dyDescent="0.3">
      <c r="A39" s="80" t="s">
        <v>272</v>
      </c>
      <c r="B39" s="95">
        <v>1048</v>
      </c>
      <c r="C39" s="81" t="s">
        <v>236</v>
      </c>
      <c r="D39" s="82">
        <v>0.20750643714557068</v>
      </c>
      <c r="E39" s="82">
        <v>3.8299919639073129E-3</v>
      </c>
      <c r="F39" s="82">
        <v>0.66221093928128172</v>
      </c>
      <c r="G39" s="82">
        <v>0.12645263160924042</v>
      </c>
      <c r="H39" s="82">
        <f t="shared" si="0"/>
        <v>1.0000000000000002</v>
      </c>
      <c r="I39" s="14" t="s">
        <v>252</v>
      </c>
    </row>
    <row r="40" spans="1:24" x14ac:dyDescent="0.3">
      <c r="B40" s="95">
        <v>1016</v>
      </c>
      <c r="C40" s="81" t="s">
        <v>88</v>
      </c>
      <c r="D40" s="193">
        <v>0.1875283143669981</v>
      </c>
      <c r="E40" s="193">
        <v>7.7390697366495037E-2</v>
      </c>
      <c r="F40" s="193">
        <v>0.72902011386363008</v>
      </c>
      <c r="G40" s="193">
        <v>6.0608744028766773E-3</v>
      </c>
      <c r="H40" s="194">
        <f>SUM(D40:G40)</f>
        <v>1</v>
      </c>
    </row>
    <row r="42" spans="1:24" x14ac:dyDescent="0.3">
      <c r="C42" s="8"/>
    </row>
    <row r="44" spans="1:24" x14ac:dyDescent="0.3">
      <c r="D44" s="7" t="s">
        <v>15</v>
      </c>
      <c r="E44" s="7" t="s">
        <v>15</v>
      </c>
      <c r="F44" s="7" t="s">
        <v>15</v>
      </c>
      <c r="G44" s="7" t="s">
        <v>15</v>
      </c>
      <c r="H44" s="7" t="s">
        <v>16</v>
      </c>
      <c r="I44" s="7" t="s">
        <v>16</v>
      </c>
      <c r="J44" s="517" t="s">
        <v>289</v>
      </c>
      <c r="K44" s="517"/>
      <c r="L44" s="517"/>
      <c r="M44" s="517"/>
      <c r="N44" s="517"/>
    </row>
    <row r="45" spans="1:24" ht="15.3" thickBot="1" x14ac:dyDescent="0.35">
      <c r="B45" s="1" t="s">
        <v>110</v>
      </c>
      <c r="D45" s="119" t="s">
        <v>127</v>
      </c>
      <c r="E45" s="119" t="s">
        <v>163</v>
      </c>
      <c r="F45" s="119" t="s">
        <v>162</v>
      </c>
      <c r="G45" s="119" t="s">
        <v>161</v>
      </c>
      <c r="H45" s="119" t="s">
        <v>160</v>
      </c>
      <c r="I45" s="119" t="s">
        <v>159</v>
      </c>
      <c r="J45" s="119" t="s">
        <v>225</v>
      </c>
      <c r="K45" s="119" t="s">
        <v>226</v>
      </c>
      <c r="L45" s="119" t="s">
        <v>247</v>
      </c>
      <c r="M45" s="119" t="s">
        <v>248</v>
      </c>
      <c r="N45" s="119" t="s">
        <v>249</v>
      </c>
      <c r="O45" s="119"/>
      <c r="P45" s="119"/>
      <c r="Q45" s="119"/>
      <c r="R45" s="119"/>
      <c r="S45" s="119"/>
      <c r="T45" s="119"/>
    </row>
    <row r="46" spans="1:24" ht="15.3" thickBot="1" x14ac:dyDescent="0.35">
      <c r="B46" t="s">
        <v>111</v>
      </c>
      <c r="D46" s="256">
        <f>Capex_Fcast_Total!C70/Capex_Fcast_Total!C57</f>
        <v>0.11015105966309197</v>
      </c>
      <c r="E46" s="256">
        <f>Capex_Fcast_Total!D70/Capex_Fcast_Total!D57</f>
        <v>0.11214972534928357</v>
      </c>
      <c r="F46" s="256">
        <f>Capex_Fcast_Total!E70/Capex_Fcast_Total!E57</f>
        <v>0.13631825105446069</v>
      </c>
      <c r="G46" s="256">
        <f>Capex_Fcast_Total!F70/Capex_Fcast_Total!F57</f>
        <v>0.14118272372737342</v>
      </c>
      <c r="H46" s="500">
        <v>0.1076</v>
      </c>
      <c r="I46" s="500">
        <v>0.1157</v>
      </c>
      <c r="J46" s="357">
        <f>'Inputs from Capex model'!J21</f>
        <v>8.7749907641103214E-2</v>
      </c>
      <c r="K46" s="358">
        <f>'Inputs from Capex model'!K21</f>
        <v>7.6529371495482987E-2</v>
      </c>
      <c r="L46" s="358">
        <f>'Inputs from Capex model'!L21</f>
        <v>6.9606064857935093E-2</v>
      </c>
      <c r="M46" s="358">
        <f>'Inputs from Capex model'!M21</f>
        <v>6.8448460003532982E-2</v>
      </c>
      <c r="N46" s="359">
        <f>'Inputs from Capex model'!N21</f>
        <v>6.7852052699625312E-2</v>
      </c>
      <c r="O46" s="191"/>
      <c r="P46" s="124"/>
      <c r="Q46" s="124"/>
      <c r="R46" s="124"/>
      <c r="S46" s="124"/>
      <c r="T46" s="124"/>
      <c r="U46" s="244"/>
      <c r="V46" s="244"/>
      <c r="W46" s="244"/>
      <c r="X46" s="244"/>
    </row>
    <row r="47" spans="1:24" x14ac:dyDescent="0.3">
      <c r="J47" s="229"/>
    </row>
    <row r="48" spans="1:24" x14ac:dyDescent="0.3">
      <c r="D48" s="72"/>
      <c r="E48" s="72"/>
      <c r="F48" s="72"/>
      <c r="G48" s="72"/>
      <c r="H48" s="72"/>
      <c r="I48" s="72"/>
      <c r="J48" s="124"/>
      <c r="K48" s="124"/>
      <c r="L48" s="124"/>
      <c r="M48" s="124"/>
      <c r="N48" s="124"/>
      <c r="O48" s="124"/>
    </row>
    <row r="49" spans="2:17" x14ac:dyDescent="0.3">
      <c r="B49" t="s">
        <v>83</v>
      </c>
      <c r="H49" s="102"/>
      <c r="I49" s="224"/>
      <c r="J49" s="224"/>
      <c r="K49" s="224"/>
      <c r="L49" s="224"/>
      <c r="M49" s="224"/>
      <c r="N49" s="224"/>
      <c r="O49" s="224"/>
    </row>
    <row r="50" spans="2:17" x14ac:dyDescent="0.3">
      <c r="C50" t="s">
        <v>114</v>
      </c>
      <c r="D50" s="3" t="s">
        <v>7</v>
      </c>
      <c r="E50" s="3" t="s">
        <v>8</v>
      </c>
      <c r="F50" s="3" t="s">
        <v>9</v>
      </c>
      <c r="G50" s="119" t="s">
        <v>127</v>
      </c>
      <c r="H50" s="119" t="s">
        <v>163</v>
      </c>
      <c r="I50" s="119" t="s">
        <v>162</v>
      </c>
      <c r="J50" s="119" t="s">
        <v>161</v>
      </c>
      <c r="K50" s="119" t="s">
        <v>160</v>
      </c>
      <c r="L50" s="119" t="s">
        <v>159</v>
      </c>
      <c r="M50" s="119" t="s">
        <v>225</v>
      </c>
      <c r="N50" s="119" t="s">
        <v>226</v>
      </c>
      <c r="O50" s="119" t="s">
        <v>247</v>
      </c>
      <c r="P50" s="119" t="s">
        <v>248</v>
      </c>
      <c r="Q50" s="119" t="s">
        <v>249</v>
      </c>
    </row>
    <row r="51" spans="2:17" x14ac:dyDescent="0.3">
      <c r="C51" s="81" t="s">
        <v>115</v>
      </c>
      <c r="D51" s="301">
        <f t="shared" ref="D51:G51" si="3">1-D52-D53</f>
        <v>0.98</v>
      </c>
      <c r="E51" s="301">
        <f t="shared" si="3"/>
        <v>0.98</v>
      </c>
      <c r="F51" s="301">
        <f t="shared" si="3"/>
        <v>0.99</v>
      </c>
      <c r="G51" s="301">
        <f t="shared" si="3"/>
        <v>0.99</v>
      </c>
      <c r="H51" s="301">
        <f>1-H52-H53</f>
        <v>1</v>
      </c>
      <c r="I51" s="301">
        <v>0.95</v>
      </c>
      <c r="J51" s="301">
        <v>0.95</v>
      </c>
      <c r="K51" s="301">
        <v>0.95</v>
      </c>
      <c r="L51" s="301">
        <v>0.95</v>
      </c>
      <c r="M51" s="301">
        <v>0.95</v>
      </c>
      <c r="N51" s="301">
        <v>0.95</v>
      </c>
      <c r="O51" s="301">
        <v>0.95</v>
      </c>
      <c r="P51" s="301">
        <v>0.95</v>
      </c>
      <c r="Q51" s="301">
        <v>0.95</v>
      </c>
    </row>
    <row r="52" spans="2:17" x14ac:dyDescent="0.3">
      <c r="C52" s="81" t="s">
        <v>116</v>
      </c>
      <c r="D52" s="301">
        <v>0.02</v>
      </c>
      <c r="E52" s="301">
        <v>0.02</v>
      </c>
      <c r="F52" s="301">
        <f>ROUND(Connections!N33/Connections!N35,2)</f>
        <v>0.01</v>
      </c>
      <c r="G52" s="301">
        <f>ROUND(Connections!O33/Connections!O35,2)</f>
        <v>0.01</v>
      </c>
      <c r="H52" s="301">
        <f>ROUND(Connections!P33/Connections!P35,2)</f>
        <v>0</v>
      </c>
      <c r="I52" s="301">
        <f>ROUND(Connections!Q33/Connections!Q35,2)</f>
        <v>0.01</v>
      </c>
      <c r="J52" s="301">
        <v>0.01</v>
      </c>
      <c r="K52" s="301">
        <v>0.01</v>
      </c>
      <c r="L52" s="301">
        <v>0.01</v>
      </c>
      <c r="M52" s="301">
        <v>0.01</v>
      </c>
      <c r="N52" s="301">
        <v>0.01</v>
      </c>
      <c r="O52" s="301">
        <v>0.01</v>
      </c>
      <c r="P52" s="301">
        <v>0.01</v>
      </c>
      <c r="Q52" s="301">
        <v>0.01</v>
      </c>
    </row>
    <row r="53" spans="2:17" x14ac:dyDescent="0.3">
      <c r="C53" s="81" t="s">
        <v>277</v>
      </c>
      <c r="D53" s="81"/>
      <c r="E53" s="81"/>
      <c r="F53" s="81"/>
      <c r="G53" s="81"/>
      <c r="H53" s="81"/>
      <c r="I53" s="301">
        <v>0.04</v>
      </c>
      <c r="J53" s="301">
        <f>$I53</f>
        <v>0.04</v>
      </c>
      <c r="K53" s="301">
        <f t="shared" ref="K53:Q53" si="4">$I53</f>
        <v>0.04</v>
      </c>
      <c r="L53" s="301">
        <f t="shared" si="4"/>
        <v>0.04</v>
      </c>
      <c r="M53" s="301">
        <f t="shared" si="4"/>
        <v>0.04</v>
      </c>
      <c r="N53" s="301">
        <f t="shared" si="4"/>
        <v>0.04</v>
      </c>
      <c r="O53" s="301">
        <f t="shared" si="4"/>
        <v>0.04</v>
      </c>
      <c r="P53" s="301">
        <f t="shared" si="4"/>
        <v>0.04</v>
      </c>
      <c r="Q53" s="301">
        <f t="shared" si="4"/>
        <v>0.04</v>
      </c>
    </row>
    <row r="54" spans="2:17" x14ac:dyDescent="0.3">
      <c r="C54" s="81" t="s">
        <v>2</v>
      </c>
      <c r="D54" s="301">
        <f t="shared" ref="D54:H54" si="5">SUM(D51:D53)</f>
        <v>1</v>
      </c>
      <c r="E54" s="301">
        <f t="shared" si="5"/>
        <v>1</v>
      </c>
      <c r="F54" s="301">
        <f t="shared" si="5"/>
        <v>1</v>
      </c>
      <c r="G54" s="301">
        <f t="shared" si="5"/>
        <v>1</v>
      </c>
      <c r="H54" s="301">
        <f t="shared" si="5"/>
        <v>1</v>
      </c>
      <c r="I54" s="301">
        <f>SUM(I51:I53)</f>
        <v>1</v>
      </c>
      <c r="J54" s="301">
        <f t="shared" ref="J54:Q54" si="6">SUM(J51:J53)</f>
        <v>1</v>
      </c>
      <c r="K54" s="301">
        <f t="shared" si="6"/>
        <v>1</v>
      </c>
      <c r="L54" s="301">
        <f t="shared" si="6"/>
        <v>1</v>
      </c>
      <c r="M54" s="301">
        <f t="shared" si="6"/>
        <v>1</v>
      </c>
      <c r="N54" s="301">
        <f t="shared" si="6"/>
        <v>1</v>
      </c>
      <c r="O54" s="301">
        <f t="shared" si="6"/>
        <v>1</v>
      </c>
      <c r="P54" s="301">
        <f t="shared" si="6"/>
        <v>1</v>
      </c>
      <c r="Q54" s="301">
        <f t="shared" si="6"/>
        <v>1</v>
      </c>
    </row>
    <row r="55" spans="2:17" x14ac:dyDescent="0.3">
      <c r="I55" s="21"/>
    </row>
    <row r="56" spans="2:17" x14ac:dyDescent="0.3">
      <c r="C56" t="s">
        <v>172</v>
      </c>
      <c r="D56" s="7" t="s">
        <v>181</v>
      </c>
      <c r="E56" s="7"/>
    </row>
    <row r="57" spans="2:17" x14ac:dyDescent="0.3">
      <c r="C57" s="81" t="s">
        <v>171</v>
      </c>
      <c r="D57" s="473"/>
      <c r="E57" s="14" t="s">
        <v>118</v>
      </c>
    </row>
    <row r="58" spans="2:17" x14ac:dyDescent="0.3">
      <c r="C58" s="81" t="s">
        <v>185</v>
      </c>
      <c r="D58" s="473"/>
      <c r="E58" s="14" t="s">
        <v>118</v>
      </c>
    </row>
    <row r="59" spans="2:17" x14ac:dyDescent="0.3">
      <c r="C59" s="81" t="s">
        <v>2</v>
      </c>
      <c r="D59" s="308">
        <f>SUM(D57:D58)</f>
        <v>0</v>
      </c>
      <c r="E59" s="2"/>
    </row>
    <row r="61" spans="2:17" x14ac:dyDescent="0.3">
      <c r="C61" t="s">
        <v>295</v>
      </c>
    </row>
    <row r="62" spans="2:17" ht="29.35" x14ac:dyDescent="0.3">
      <c r="C62" s="315" t="s">
        <v>273</v>
      </c>
      <c r="D62" s="301">
        <v>0.2</v>
      </c>
      <c r="E62" s="14"/>
    </row>
    <row r="63" spans="2:17" x14ac:dyDescent="0.3">
      <c r="C63" s="81" t="s">
        <v>294</v>
      </c>
      <c r="D63" s="301">
        <f>1-D62</f>
        <v>0.8</v>
      </c>
    </row>
  </sheetData>
  <mergeCells count="10">
    <mergeCell ref="E14:Q14"/>
    <mergeCell ref="E15:Q15"/>
    <mergeCell ref="E16:Q16"/>
    <mergeCell ref="E17:Q17"/>
    <mergeCell ref="E18:Q18"/>
    <mergeCell ref="D23:G23"/>
    <mergeCell ref="B32:B33"/>
    <mergeCell ref="J44:N44"/>
    <mergeCell ref="B25:B30"/>
    <mergeCell ref="B37:B38"/>
  </mergeCells>
  <hyperlinks>
    <hyperlink ref="B3" location="Contents!A1" display="Table of Contents" xr:uid="{00000000-0004-0000-0500-000000000000}"/>
  </hyperlinks>
  <pageMargins left="0.7" right="0.7" top="0.75" bottom="0.75" header="0.3" footer="0.3"/>
  <pageSetup paperSize="9" orientation="landscape" r:id="rId1"/>
  <headerFooter>
    <oddFooter>&amp;C_x000D_&amp;1#&amp;"Century Gothic"&amp;7&amp;K7F7F7F BUSINESS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2:AK65"/>
  <sheetViews>
    <sheetView zoomScale="85" zoomScaleNormal="85" workbookViewId="0">
      <pane xSplit="3" ySplit="8" topLeftCell="N9" activePane="bottomRight" state="frozen"/>
      <selection activeCell="AC23" sqref="AC23"/>
      <selection pane="topRight" activeCell="AC23" sqref="AC23"/>
      <selection pane="bottomLeft" activeCell="AC23" sqref="AC23"/>
      <selection pane="bottomRight" activeCell="Q54" sqref="Q54"/>
    </sheetView>
  </sheetViews>
  <sheetFormatPr defaultColWidth="9.109375" defaultRowHeight="14.65" outlineLevelRow="1" outlineLevelCol="1" x14ac:dyDescent="0.3"/>
  <cols>
    <col min="1" max="1" width="6.88671875" customWidth="1"/>
    <col min="2" max="2" width="45.33203125" customWidth="1"/>
    <col min="3" max="3" width="8" hidden="1" customWidth="1"/>
    <col min="4" max="7" width="10.6640625" customWidth="1" outlineLevel="1"/>
    <col min="8" max="8" width="10" customWidth="1" outlineLevel="1"/>
    <col min="9" max="9" width="10" customWidth="1" outlineLevel="1" collapsed="1"/>
    <col min="10" max="12" width="10" customWidth="1" outlineLevel="1"/>
    <col min="13" max="15" width="10" customWidth="1"/>
    <col min="16" max="17" width="9.109375" customWidth="1"/>
    <col min="19" max="19" width="9.21875" customWidth="1"/>
  </cols>
  <sheetData>
    <row r="2" spans="1:37" ht="18.5" x14ac:dyDescent="0.35">
      <c r="B2" s="39" t="s">
        <v>59</v>
      </c>
    </row>
    <row r="3" spans="1:37" x14ac:dyDescent="0.3">
      <c r="B3" s="40" t="s">
        <v>54</v>
      </c>
      <c r="L3" s="84"/>
      <c r="P3" s="14"/>
    </row>
    <row r="4" spans="1:37" x14ac:dyDescent="0.3">
      <c r="B4" s="40"/>
      <c r="I4" s="84"/>
      <c r="P4" s="279"/>
      <c r="Q4" s="1"/>
      <c r="R4" s="11"/>
    </row>
    <row r="5" spans="1:37" ht="15.95" x14ac:dyDescent="0.3">
      <c r="B5" s="1" t="s">
        <v>57</v>
      </c>
      <c r="D5" s="1"/>
      <c r="E5" s="1"/>
      <c r="F5" s="1"/>
    </row>
    <row r="6" spans="1:37" x14ac:dyDescent="0.3">
      <c r="C6" s="1"/>
      <c r="O6" s="7" t="s">
        <v>125</v>
      </c>
      <c r="P6" s="7" t="s">
        <v>125</v>
      </c>
      <c r="Q6" s="7" t="s">
        <v>125</v>
      </c>
      <c r="R6" s="7" t="s">
        <v>125</v>
      </c>
      <c r="S6" s="7" t="s">
        <v>125</v>
      </c>
      <c r="T6" s="7" t="s">
        <v>125</v>
      </c>
      <c r="U6" s="7" t="s">
        <v>125</v>
      </c>
      <c r="V6" s="7" t="s">
        <v>125</v>
      </c>
      <c r="W6" s="7" t="s">
        <v>125</v>
      </c>
      <c r="X6" s="7" t="s">
        <v>125</v>
      </c>
      <c r="Y6" s="7" t="s">
        <v>125</v>
      </c>
    </row>
    <row r="7" spans="1:37" x14ac:dyDescent="0.3">
      <c r="D7" s="3" t="s">
        <v>15</v>
      </c>
      <c r="E7" s="3" t="s">
        <v>15</v>
      </c>
      <c r="F7" s="3" t="s">
        <v>15</v>
      </c>
      <c r="G7" s="3" t="s">
        <v>15</v>
      </c>
      <c r="H7" s="3" t="s">
        <v>15</v>
      </c>
      <c r="I7" s="3" t="s">
        <v>15</v>
      </c>
      <c r="J7" s="3" t="s">
        <v>15</v>
      </c>
      <c r="K7" s="3" t="s">
        <v>15</v>
      </c>
      <c r="L7" s="3" t="s">
        <v>15</v>
      </c>
      <c r="M7" s="3" t="s">
        <v>15</v>
      </c>
      <c r="N7" s="3" t="s">
        <v>15</v>
      </c>
      <c r="O7" s="3" t="s">
        <v>15</v>
      </c>
      <c r="P7" s="3" t="s">
        <v>15</v>
      </c>
      <c r="Q7" s="3" t="s">
        <v>15</v>
      </c>
      <c r="R7" s="3" t="s">
        <v>15</v>
      </c>
      <c r="S7" s="272" t="s">
        <v>16</v>
      </c>
      <c r="T7" s="272" t="s">
        <v>16</v>
      </c>
      <c r="U7" s="272" t="s">
        <v>16</v>
      </c>
      <c r="V7" s="272" t="s">
        <v>16</v>
      </c>
      <c r="W7" s="272" t="s">
        <v>16</v>
      </c>
      <c r="X7" s="272" t="s">
        <v>16</v>
      </c>
      <c r="Y7" s="272" t="s">
        <v>16</v>
      </c>
    </row>
    <row r="8" spans="1:37" x14ac:dyDescent="0.3">
      <c r="B8" t="s">
        <v>3</v>
      </c>
      <c r="D8" s="3" t="s">
        <v>10</v>
      </c>
      <c r="E8" s="3" t="s">
        <v>11</v>
      </c>
      <c r="F8" s="3" t="s">
        <v>12</v>
      </c>
      <c r="G8" s="3" t="s">
        <v>13</v>
      </c>
      <c r="H8" s="3" t="s">
        <v>14</v>
      </c>
      <c r="I8" s="3" t="s">
        <v>4</v>
      </c>
      <c r="J8" s="3" t="s">
        <v>5</v>
      </c>
      <c r="K8" s="3" t="s">
        <v>6</v>
      </c>
      <c r="L8" s="3" t="s">
        <v>7</v>
      </c>
      <c r="M8" s="3" t="s">
        <v>8</v>
      </c>
      <c r="N8" s="3" t="s">
        <v>9</v>
      </c>
      <c r="O8" s="119" t="s">
        <v>127</v>
      </c>
      <c r="P8" s="119" t="s">
        <v>163</v>
      </c>
      <c r="Q8" s="119" t="s">
        <v>162</v>
      </c>
      <c r="R8" s="119" t="s">
        <v>161</v>
      </c>
      <c r="S8" s="119" t="s">
        <v>160</v>
      </c>
      <c r="T8" s="119" t="s">
        <v>159</v>
      </c>
      <c r="U8" s="3" t="s">
        <v>225</v>
      </c>
      <c r="V8" s="3" t="s">
        <v>232</v>
      </c>
      <c r="W8" s="3" t="s">
        <v>233</v>
      </c>
      <c r="X8" s="3" t="s">
        <v>234</v>
      </c>
      <c r="Y8" s="3" t="s">
        <v>235</v>
      </c>
    </row>
    <row r="9" spans="1:37" x14ac:dyDescent="0.3">
      <c r="A9" s="7">
        <v>1012</v>
      </c>
      <c r="B9" t="s">
        <v>83</v>
      </c>
      <c r="C9" t="s">
        <v>74</v>
      </c>
      <c r="D9" s="10">
        <v>8754.5</v>
      </c>
      <c r="E9" s="10">
        <v>11216</v>
      </c>
      <c r="F9" s="10">
        <v>12310.5</v>
      </c>
      <c r="G9" s="10">
        <v>10367</v>
      </c>
      <c r="H9" s="10">
        <v>7340.5</v>
      </c>
      <c r="I9" s="10">
        <f t="shared" ref="I9" si="0">AVERAGE(H35:I35)</f>
        <v>6656.5</v>
      </c>
      <c r="J9" s="10">
        <f t="shared" ref="J9" si="1">AVERAGE(I35:J35)</f>
        <v>9409.5</v>
      </c>
      <c r="K9" s="10">
        <f t="shared" ref="K9" si="2">AVERAGE(J35:K35)</f>
        <v>11395</v>
      </c>
      <c r="L9" s="10">
        <f t="shared" ref="L9:M9" si="3">AVERAGE(K35:L35)</f>
        <v>12338.5</v>
      </c>
      <c r="M9" s="10">
        <f t="shared" si="3"/>
        <v>14822</v>
      </c>
      <c r="N9" s="10">
        <f t="shared" ref="N9" si="4">AVERAGE(M35:N35)</f>
        <v>13792</v>
      </c>
      <c r="O9" s="10">
        <f t="shared" ref="O9" si="5">AVERAGE(N35:O35)</f>
        <v>11105.5</v>
      </c>
      <c r="P9" s="10">
        <f t="shared" ref="P9" si="6">AVERAGE(O35:P35)</f>
        <v>10178.5</v>
      </c>
      <c r="Q9" s="10">
        <f t="shared" ref="Q9" si="7">AVERAGE(P35:Q35)</f>
        <v>10724.5</v>
      </c>
      <c r="R9" s="10">
        <f t="shared" ref="R9" si="8">AVERAGE(Q35:R35)</f>
        <v>12683</v>
      </c>
      <c r="S9" s="10">
        <f t="shared" ref="S9" si="9">AVERAGE(R35:S35)</f>
        <v>13357.0625</v>
      </c>
      <c r="T9" s="10">
        <f t="shared" ref="T9" si="10">AVERAGE(S35:T35)</f>
        <v>13145.125</v>
      </c>
      <c r="U9" s="10">
        <f t="shared" ref="U9" si="11">AVERAGE(T35:U35)</f>
        <v>13351.059511048812</v>
      </c>
      <c r="V9" s="10">
        <f t="shared" ref="V9" si="12">AVERAGE(U35:V35)</f>
        <v>13550.057280672823</v>
      </c>
      <c r="W9" s="10">
        <f t="shared" ref="W9" si="13">AVERAGE(V35:W35)</f>
        <v>13543.98763192612</v>
      </c>
      <c r="X9" s="10">
        <f t="shared" ref="X9" si="14">AVERAGE(W35:X35)</f>
        <v>13550.490827011872</v>
      </c>
      <c r="Y9" s="10">
        <f t="shared" ref="Y9" si="15">AVERAGE(X35:Y35)</f>
        <v>13553.525651385222</v>
      </c>
      <c r="Z9" s="10"/>
      <c r="AA9" s="10"/>
      <c r="AB9" s="10"/>
      <c r="AC9" s="10"/>
      <c r="AD9" s="10"/>
      <c r="AF9" s="10"/>
      <c r="AG9" s="10"/>
      <c r="AH9" s="10"/>
      <c r="AI9" s="10"/>
      <c r="AJ9" s="10"/>
      <c r="AK9" s="10"/>
    </row>
    <row r="10" spans="1:37" outlineLevel="1" x14ac:dyDescent="0.3">
      <c r="A10" s="7">
        <v>1012</v>
      </c>
      <c r="B10" s="115" t="s">
        <v>92</v>
      </c>
      <c r="C10" t="s">
        <v>74</v>
      </c>
      <c r="D10" s="10"/>
      <c r="E10" s="10"/>
      <c r="F10" s="10"/>
      <c r="G10" s="10"/>
      <c r="H10" s="10"/>
      <c r="I10" s="10"/>
      <c r="J10" s="10"/>
      <c r="K10" s="10">
        <f>K31</f>
        <v>608</v>
      </c>
      <c r="L10" s="10">
        <f>L31</f>
        <v>10570</v>
      </c>
      <c r="M10" s="10">
        <f>M31</f>
        <v>14030</v>
      </c>
      <c r="N10" s="10">
        <f t="shared" ref="N10:R10" si="16">N31</f>
        <v>10815</v>
      </c>
      <c r="O10" s="10">
        <f t="shared" si="16"/>
        <v>10008</v>
      </c>
      <c r="P10" s="10">
        <f t="shared" si="16"/>
        <v>8594</v>
      </c>
      <c r="Q10" s="10">
        <f t="shared" si="16"/>
        <v>10602</v>
      </c>
      <c r="R10" s="10">
        <f t="shared" si="16"/>
        <v>13044</v>
      </c>
      <c r="S10" s="10">
        <f>S9*Allocations!K51</f>
        <v>12689.209374999999</v>
      </c>
      <c r="T10" s="10">
        <f>T9*Allocations!L51</f>
        <v>12487.86875</v>
      </c>
      <c r="U10" s="10">
        <f>U9*Allocations!M51</f>
        <v>12683.506535496372</v>
      </c>
      <c r="V10" s="10">
        <f>V9*Allocations!N51</f>
        <v>12872.554416639181</v>
      </c>
      <c r="W10" s="10">
        <f>W9*Allocations!O51</f>
        <v>12866.788250329813</v>
      </c>
      <c r="X10" s="10">
        <f>X9*Allocations!P51</f>
        <v>12872.966285661278</v>
      </c>
      <c r="Y10" s="10">
        <f>Y9*Allocations!Q51</f>
        <v>12875.84936881596</v>
      </c>
      <c r="Z10" s="118" t="s">
        <v>122</v>
      </c>
      <c r="AA10" s="10"/>
      <c r="AB10" s="10"/>
      <c r="AC10" s="10"/>
      <c r="AD10" s="10"/>
      <c r="AF10" s="10"/>
      <c r="AG10" s="10"/>
      <c r="AH10" s="10"/>
      <c r="AI10" s="10"/>
      <c r="AJ10" s="10"/>
      <c r="AK10" s="10"/>
    </row>
    <row r="11" spans="1:37" outlineLevel="1" x14ac:dyDescent="0.3">
      <c r="A11" s="7">
        <v>1012</v>
      </c>
      <c r="B11" s="115" t="s">
        <v>94</v>
      </c>
      <c r="C11" t="s">
        <v>74</v>
      </c>
      <c r="D11" s="10"/>
      <c r="E11" s="10"/>
      <c r="F11" s="10"/>
      <c r="G11" s="10"/>
      <c r="H11" s="10"/>
      <c r="I11" s="10">
        <f t="shared" ref="I11:J11" si="17">I30</f>
        <v>6781</v>
      </c>
      <c r="J11" s="10">
        <f t="shared" si="17"/>
        <v>11679</v>
      </c>
      <c r="K11" s="10">
        <f>K30</f>
        <v>10503</v>
      </c>
      <c r="L11" s="10">
        <v>7668</v>
      </c>
      <c r="M11" s="10">
        <v>6347</v>
      </c>
      <c r="N11" s="10">
        <f>N32</f>
        <v>7370</v>
      </c>
      <c r="O11" s="10">
        <f t="shared" ref="O11:Q11" si="18">O32</f>
        <v>7442</v>
      </c>
      <c r="P11" s="10">
        <f t="shared" si="18"/>
        <v>6985</v>
      </c>
      <c r="Q11" s="10">
        <f t="shared" si="18"/>
        <v>8330</v>
      </c>
      <c r="R11" s="10">
        <f t="shared" ref="R11" si="19">R32</f>
        <v>9635</v>
      </c>
      <c r="S11" s="10"/>
      <c r="T11" s="10"/>
      <c r="Y11" s="10"/>
      <c r="Z11" s="118" t="s">
        <v>123</v>
      </c>
      <c r="AA11" s="10"/>
      <c r="AB11" s="10"/>
      <c r="AC11" s="10"/>
      <c r="AD11" s="10"/>
      <c r="AF11" s="10"/>
      <c r="AG11" s="10"/>
      <c r="AH11" s="10"/>
      <c r="AI11" s="10"/>
      <c r="AJ11" s="10"/>
      <c r="AK11" s="10"/>
    </row>
    <row r="12" spans="1:37" outlineLevel="1" x14ac:dyDescent="0.3">
      <c r="A12" s="7">
        <v>1012</v>
      </c>
      <c r="B12" s="115" t="s">
        <v>95</v>
      </c>
      <c r="C12" t="s">
        <v>74</v>
      </c>
      <c r="D12" s="10"/>
      <c r="E12" s="10"/>
      <c r="F12" s="10"/>
      <c r="G12" s="10"/>
      <c r="H12" s="10"/>
      <c r="I12" s="10"/>
      <c r="J12" s="10"/>
      <c r="K12" s="10"/>
      <c r="L12" s="10">
        <v>303</v>
      </c>
      <c r="M12" s="10">
        <v>36</v>
      </c>
      <c r="N12" s="10">
        <f t="shared" ref="N12:Q12" si="20">N33</f>
        <v>96</v>
      </c>
      <c r="O12" s="10">
        <f t="shared" si="20"/>
        <v>103</v>
      </c>
      <c r="P12" s="10">
        <f t="shared" si="20"/>
        <v>8</v>
      </c>
      <c r="Q12" s="10">
        <f t="shared" si="20"/>
        <v>88</v>
      </c>
      <c r="R12" s="10">
        <f t="shared" ref="R12" si="21">R33</f>
        <v>46</v>
      </c>
      <c r="S12" s="10"/>
      <c r="T12" s="10"/>
      <c r="Y12" s="10"/>
      <c r="Z12" s="118" t="s">
        <v>184</v>
      </c>
      <c r="AA12" s="10"/>
      <c r="AB12" s="10"/>
      <c r="AC12" s="10"/>
      <c r="AD12" s="10"/>
      <c r="AF12" s="10"/>
      <c r="AG12" s="10"/>
      <c r="AH12" s="10"/>
      <c r="AI12" s="10"/>
      <c r="AJ12" s="10"/>
      <c r="AK12" s="10"/>
    </row>
    <row r="13" spans="1:37" x14ac:dyDescent="0.3">
      <c r="A13" s="7">
        <v>1013</v>
      </c>
      <c r="B13" t="s">
        <v>84</v>
      </c>
      <c r="C13" t="s">
        <v>75</v>
      </c>
      <c r="D13" s="10">
        <v>2019.5</v>
      </c>
      <c r="E13" s="10">
        <v>2080</v>
      </c>
      <c r="F13" s="10">
        <v>1868.5</v>
      </c>
      <c r="G13" s="10">
        <v>2026</v>
      </c>
      <c r="H13" s="10">
        <v>2021</v>
      </c>
      <c r="I13" s="10">
        <f>AVERAGE(H40:I40)</f>
        <v>1443</v>
      </c>
      <c r="J13" s="10">
        <f>AVERAGE(I40:J40)</f>
        <v>1454.5</v>
      </c>
      <c r="K13" s="10">
        <f t="shared" ref="K13:P13" si="22">AVERAGE(J40:K40)</f>
        <v>1873.5</v>
      </c>
      <c r="L13" s="10">
        <f t="shared" si="22"/>
        <v>1776</v>
      </c>
      <c r="M13" s="10">
        <f t="shared" si="22"/>
        <v>1692</v>
      </c>
      <c r="N13" s="10">
        <f t="shared" si="22"/>
        <v>1573.5</v>
      </c>
      <c r="O13" s="10">
        <f t="shared" si="22"/>
        <v>1504</v>
      </c>
      <c r="P13" s="10">
        <f t="shared" si="22"/>
        <v>1596</v>
      </c>
      <c r="Q13" s="10">
        <f>AVERAGE(P38:Q38)</f>
        <v>1436.5</v>
      </c>
      <c r="R13" s="10">
        <f t="shared" ref="R13:T13" si="23">AVERAGE(Q38:R38)</f>
        <v>1313.5</v>
      </c>
      <c r="S13" s="10">
        <f t="shared" si="23"/>
        <v>1335.5</v>
      </c>
      <c r="T13" s="10">
        <f t="shared" si="23"/>
        <v>1455</v>
      </c>
      <c r="U13" s="10">
        <f t="shared" ref="U13" si="24">AVERAGE(T38:U38)</f>
        <v>1477.7943601583113</v>
      </c>
      <c r="V13" s="10">
        <f t="shared" ref="V13" si="25">AVERAGE(U38:V38)</f>
        <v>1499.8209102902374</v>
      </c>
      <c r="W13" s="10">
        <f t="shared" ref="W13" si="26">AVERAGE(V38:W38)</f>
        <v>1499.1490765171504</v>
      </c>
      <c r="X13" s="10">
        <f t="shared" ref="X13" si="27">AVERAGE(W38:X38)</f>
        <v>1499.8688984168866</v>
      </c>
      <c r="Y13" s="10">
        <f t="shared" ref="Y13" si="28">AVERAGE(X38:Y38)</f>
        <v>1500.20481530343</v>
      </c>
      <c r="Z13" s="10"/>
      <c r="AA13" s="10"/>
      <c r="AB13" s="10"/>
      <c r="AC13" s="10"/>
      <c r="AD13" s="10"/>
      <c r="AF13" s="10"/>
      <c r="AG13" s="10"/>
      <c r="AH13" s="10"/>
      <c r="AI13" s="10"/>
      <c r="AJ13" s="10"/>
      <c r="AK13" s="10"/>
    </row>
    <row r="14" spans="1:37" x14ac:dyDescent="0.3">
      <c r="A14" s="7">
        <v>1014</v>
      </c>
      <c r="B14" t="s">
        <v>85</v>
      </c>
      <c r="C14" t="s">
        <v>75</v>
      </c>
      <c r="D14" s="10">
        <v>391</v>
      </c>
      <c r="E14" s="10">
        <v>428</v>
      </c>
      <c r="F14" s="10">
        <v>408.5</v>
      </c>
      <c r="G14" s="10">
        <v>408</v>
      </c>
      <c r="H14" s="10">
        <v>367</v>
      </c>
      <c r="I14" s="10">
        <f>AVERAGE(H43:I43)</f>
        <v>277</v>
      </c>
      <c r="J14" s="10">
        <f>AVERAGE(I43:J43)</f>
        <v>298.5</v>
      </c>
      <c r="K14" s="10">
        <f>AVERAGE(J41:K41)</f>
        <v>393.5</v>
      </c>
      <c r="L14" s="10">
        <f t="shared" ref="L14:P14" si="29">AVERAGE(K41:L41)</f>
        <v>413</v>
      </c>
      <c r="M14" s="10">
        <f t="shared" si="29"/>
        <v>398</v>
      </c>
      <c r="N14" s="10">
        <f t="shared" si="29"/>
        <v>361.5</v>
      </c>
      <c r="O14" s="10">
        <f t="shared" si="29"/>
        <v>350.5</v>
      </c>
      <c r="P14" s="10">
        <f t="shared" si="29"/>
        <v>436</v>
      </c>
      <c r="Q14" s="10">
        <f>AVERAGE(P41:Q41)</f>
        <v>499</v>
      </c>
      <c r="R14" s="10">
        <f t="shared" ref="R14:T14" si="30">AVERAGE(Q41:R41)</f>
        <v>565.5</v>
      </c>
      <c r="S14" s="10">
        <f t="shared" si="30"/>
        <v>513.5</v>
      </c>
      <c r="T14" s="10">
        <f t="shared" si="30"/>
        <v>428</v>
      </c>
      <c r="U14" s="10">
        <f t="shared" ref="U14" si="31">AVERAGE(T41:U41)</f>
        <v>428</v>
      </c>
      <c r="V14" s="10">
        <f t="shared" ref="V14" si="32">AVERAGE(U41:V41)</f>
        <v>428</v>
      </c>
      <c r="W14" s="10">
        <f t="shared" ref="W14" si="33">AVERAGE(V41:W41)</f>
        <v>428</v>
      </c>
      <c r="X14" s="10">
        <f t="shared" ref="X14" si="34">AVERAGE(W41:X41)</f>
        <v>428</v>
      </c>
      <c r="Y14" s="10">
        <f t="shared" ref="Y14" si="35">AVERAGE(X41:Y41)</f>
        <v>428</v>
      </c>
      <c r="Z14" s="10"/>
      <c r="AA14" s="17"/>
      <c r="AB14" s="10"/>
      <c r="AC14" s="10"/>
      <c r="AD14" s="10"/>
      <c r="AF14" s="10"/>
      <c r="AG14" s="10"/>
      <c r="AH14" s="10"/>
      <c r="AI14" s="10"/>
      <c r="AJ14" s="10"/>
      <c r="AK14" s="10"/>
    </row>
    <row r="15" spans="1:37" x14ac:dyDescent="0.3">
      <c r="A15" s="7">
        <v>1014</v>
      </c>
      <c r="B15" s="115" t="s">
        <v>179</v>
      </c>
      <c r="C15" t="s">
        <v>75</v>
      </c>
      <c r="D15" s="10"/>
      <c r="E15" s="10"/>
      <c r="F15" s="10"/>
      <c r="G15" s="10"/>
      <c r="H15" s="10"/>
      <c r="I15" s="10"/>
      <c r="J15" s="10"/>
      <c r="K15" s="10">
        <f t="shared" ref="K15:N15" si="36">K42</f>
        <v>40</v>
      </c>
      <c r="L15" s="10">
        <f t="shared" si="36"/>
        <v>41</v>
      </c>
      <c r="M15" s="10">
        <f t="shared" si="36"/>
        <v>82</v>
      </c>
      <c r="N15" s="10">
        <f t="shared" si="36"/>
        <v>36</v>
      </c>
      <c r="O15" s="10">
        <f>O42</f>
        <v>41</v>
      </c>
      <c r="P15" s="10">
        <f>P42</f>
        <v>25</v>
      </c>
      <c r="Q15" s="10">
        <f t="shared" ref="Q15:T15" si="37">Q42</f>
        <v>43</v>
      </c>
      <c r="R15" s="10">
        <f t="shared" si="37"/>
        <v>28</v>
      </c>
      <c r="S15" s="10">
        <f t="shared" si="37"/>
        <v>34.25</v>
      </c>
      <c r="T15" s="10">
        <f t="shared" si="37"/>
        <v>34.25</v>
      </c>
      <c r="U15" s="10">
        <f t="shared" ref="U15:Y15" si="38">U42</f>
        <v>34.25</v>
      </c>
      <c r="V15" s="10">
        <f t="shared" si="38"/>
        <v>34.25</v>
      </c>
      <c r="W15" s="10">
        <f t="shared" si="38"/>
        <v>34.25</v>
      </c>
      <c r="X15" s="10">
        <f t="shared" si="38"/>
        <v>34.25</v>
      </c>
      <c r="Y15" s="10">
        <f t="shared" si="38"/>
        <v>34.25</v>
      </c>
      <c r="Z15" s="10"/>
      <c r="AA15" s="17"/>
      <c r="AB15" s="10"/>
      <c r="AC15" s="10"/>
      <c r="AD15" s="10"/>
      <c r="AF15" s="10"/>
      <c r="AG15" s="10"/>
      <c r="AH15" s="10"/>
      <c r="AI15" s="10"/>
      <c r="AJ15" s="10"/>
      <c r="AK15" s="10"/>
    </row>
    <row r="16" spans="1:37" x14ac:dyDescent="0.3">
      <c r="A16" s="7">
        <v>1018</v>
      </c>
      <c r="B16" t="s">
        <v>86</v>
      </c>
      <c r="C16" t="s">
        <v>75</v>
      </c>
      <c r="D16" s="10">
        <v>733.5</v>
      </c>
      <c r="E16" s="10">
        <v>783</v>
      </c>
      <c r="F16" s="10">
        <v>766.5</v>
      </c>
      <c r="G16" s="10">
        <v>700</v>
      </c>
      <c r="H16" s="10">
        <v>583.5</v>
      </c>
      <c r="I16" s="10">
        <f>I45</f>
        <v>478</v>
      </c>
      <c r="J16" s="10">
        <f>J45</f>
        <v>127</v>
      </c>
      <c r="K16" s="10">
        <f>AVERAGE(J45:K45)</f>
        <v>316.5</v>
      </c>
      <c r="L16" s="10">
        <f t="shared" ref="L16:P16" si="39">AVERAGE(K45:L45)</f>
        <v>428.5</v>
      </c>
      <c r="M16" s="10">
        <f t="shared" si="39"/>
        <v>378.5</v>
      </c>
      <c r="N16" s="10">
        <f t="shared" si="39"/>
        <v>347.5</v>
      </c>
      <c r="O16" s="10">
        <f t="shared" si="39"/>
        <v>429.5</v>
      </c>
      <c r="P16" s="10">
        <f t="shared" si="39"/>
        <v>643.5</v>
      </c>
      <c r="Q16" s="10">
        <f>AVERAGE(P45:Q45)</f>
        <v>689</v>
      </c>
      <c r="R16" s="10">
        <f t="shared" ref="R16:T16" si="40">AVERAGE(Q45:R45)</f>
        <v>632</v>
      </c>
      <c r="S16" s="10">
        <f t="shared" si="40"/>
        <v>620.5</v>
      </c>
      <c r="T16" s="10">
        <f t="shared" si="40"/>
        <v>638</v>
      </c>
      <c r="U16" s="10">
        <f t="shared" ref="U16" si="41">AVERAGE(T45:U45)</f>
        <v>647.99505277044852</v>
      </c>
      <c r="V16" s="10">
        <f t="shared" ref="V16" si="42">AVERAGE(U45:V45)</f>
        <v>657.65343007915567</v>
      </c>
      <c r="W16" s="10">
        <f t="shared" ref="W16" si="43">AVERAGE(V45:W45)</f>
        <v>657.35883905013191</v>
      </c>
      <c r="X16" s="10">
        <f t="shared" ref="X16" si="44">AVERAGE(W45:X45)</f>
        <v>657.67447229551453</v>
      </c>
      <c r="Y16" s="10">
        <f t="shared" ref="Y16" si="45">AVERAGE(X45:Y45)</f>
        <v>657.82176781002636</v>
      </c>
      <c r="Z16" s="10"/>
      <c r="AA16" s="17"/>
      <c r="AB16" s="10"/>
      <c r="AC16" s="10"/>
      <c r="AD16" s="10"/>
      <c r="AF16" s="10"/>
      <c r="AG16" s="10"/>
      <c r="AH16" s="10"/>
      <c r="AI16" s="10"/>
      <c r="AJ16" s="10"/>
      <c r="AK16" s="10"/>
    </row>
    <row r="17" spans="1:37" x14ac:dyDescent="0.3">
      <c r="A17" s="7">
        <v>1019</v>
      </c>
      <c r="B17" t="s">
        <v>78</v>
      </c>
      <c r="C17" t="s">
        <v>74</v>
      </c>
      <c r="D17" s="10"/>
      <c r="E17" s="10"/>
      <c r="F17" s="10"/>
      <c r="G17" s="10"/>
      <c r="H17" s="10"/>
      <c r="I17" s="10">
        <f>I49</f>
        <v>386</v>
      </c>
      <c r="J17" s="10">
        <f>J49</f>
        <v>756</v>
      </c>
      <c r="K17" s="10">
        <f>AVERAGE(J49:K49)</f>
        <v>586.5</v>
      </c>
      <c r="L17" s="10">
        <f t="shared" ref="L17:P17" si="46">AVERAGE(K49:L49)</f>
        <v>484.5</v>
      </c>
      <c r="M17" s="10">
        <f t="shared" si="46"/>
        <v>439</v>
      </c>
      <c r="N17" s="10">
        <f t="shared" si="46"/>
        <v>376</v>
      </c>
      <c r="O17" s="10">
        <f t="shared" si="46"/>
        <v>345</v>
      </c>
      <c r="P17" s="10">
        <f t="shared" si="46"/>
        <v>230</v>
      </c>
      <c r="Q17" s="10">
        <f>AVERAGE(P49:Q49)</f>
        <v>186</v>
      </c>
      <c r="R17" s="10">
        <f t="shared" ref="R17:T17" si="47">AVERAGE(Q49:R49)</f>
        <v>124</v>
      </c>
      <c r="S17" s="10">
        <f t="shared" si="47"/>
        <v>124.5</v>
      </c>
      <c r="T17" s="10">
        <f t="shared" si="47"/>
        <v>177</v>
      </c>
      <c r="U17" s="10">
        <f t="shared" ref="U17" si="48">AVERAGE(T49:U49)</f>
        <v>179.77292216358839</v>
      </c>
      <c r="V17" s="10">
        <f t="shared" ref="V17" si="49">AVERAGE(U49:V49)</f>
        <v>182.45244063324537</v>
      </c>
      <c r="W17" s="10">
        <f t="shared" ref="W17" si="50">AVERAGE(V49:W49)</f>
        <v>182.37071240105541</v>
      </c>
      <c r="X17" s="10">
        <f t="shared" ref="X17" si="51">AVERAGE(W49:X49)</f>
        <v>182.4582783641161</v>
      </c>
      <c r="Y17" s="10">
        <f t="shared" ref="Y17" si="52">AVERAGE(X49:Y49)</f>
        <v>182.49914248021105</v>
      </c>
      <c r="Z17" s="10"/>
      <c r="AA17" s="17"/>
      <c r="AB17" s="10"/>
      <c r="AC17" s="10"/>
      <c r="AD17" s="10"/>
      <c r="AF17" s="10"/>
      <c r="AG17" s="10"/>
      <c r="AH17" s="10"/>
      <c r="AI17" s="10"/>
      <c r="AJ17" s="10"/>
      <c r="AK17" s="10"/>
    </row>
    <row r="18" spans="1:37" x14ac:dyDescent="0.3">
      <c r="A18" s="7">
        <v>1019</v>
      </c>
      <c r="B18" s="115" t="s">
        <v>217</v>
      </c>
      <c r="C18" t="s">
        <v>74</v>
      </c>
      <c r="D18" s="10"/>
      <c r="E18" s="10"/>
      <c r="F18" s="10"/>
      <c r="G18" s="10"/>
      <c r="H18" s="10"/>
      <c r="I18" s="10"/>
      <c r="J18" s="10">
        <f>J50</f>
        <v>4</v>
      </c>
      <c r="K18" s="10">
        <f t="shared" ref="K18:M18" si="53">K50</f>
        <v>231</v>
      </c>
      <c r="L18" s="10">
        <f t="shared" si="53"/>
        <v>83</v>
      </c>
      <c r="M18" s="10">
        <f t="shared" si="53"/>
        <v>363</v>
      </c>
      <c r="N18" s="10">
        <f>N50</f>
        <v>351</v>
      </c>
      <c r="O18" s="10">
        <f>O50</f>
        <v>379</v>
      </c>
      <c r="P18" s="10">
        <f>P50</f>
        <v>254</v>
      </c>
      <c r="Q18" s="10">
        <f t="shared" ref="Q18:T18" si="54">Q50</f>
        <v>523</v>
      </c>
      <c r="R18" s="10">
        <f t="shared" si="54"/>
        <v>334</v>
      </c>
      <c r="S18" s="10">
        <f t="shared" si="54"/>
        <v>373</v>
      </c>
      <c r="T18" s="10">
        <f t="shared" si="54"/>
        <v>373</v>
      </c>
      <c r="U18" s="10">
        <f t="shared" ref="U18:Y18" si="55">U50</f>
        <v>373</v>
      </c>
      <c r="V18" s="10">
        <f t="shared" si="55"/>
        <v>373</v>
      </c>
      <c r="W18" s="10">
        <f t="shared" si="55"/>
        <v>373</v>
      </c>
      <c r="X18" s="10">
        <f t="shared" si="55"/>
        <v>373</v>
      </c>
      <c r="Y18" s="10">
        <f t="shared" si="55"/>
        <v>373</v>
      </c>
      <c r="Z18" s="10"/>
      <c r="AA18" s="17"/>
      <c r="AB18" s="10"/>
      <c r="AC18" s="10"/>
      <c r="AD18" s="10"/>
      <c r="AF18" s="10"/>
      <c r="AG18" s="10"/>
      <c r="AH18" s="10"/>
      <c r="AI18" s="10"/>
      <c r="AJ18" s="10"/>
      <c r="AK18" s="10"/>
    </row>
    <row r="19" spans="1:37" x14ac:dyDescent="0.3">
      <c r="A19" s="7">
        <v>1015</v>
      </c>
      <c r="B19" t="s">
        <v>335</v>
      </c>
      <c r="C19" t="s">
        <v>75</v>
      </c>
      <c r="D19">
        <v>4</v>
      </c>
      <c r="E19">
        <v>4</v>
      </c>
      <c r="F19">
        <v>0</v>
      </c>
      <c r="G19">
        <v>1</v>
      </c>
      <c r="H19">
        <v>2</v>
      </c>
      <c r="I19" s="10">
        <f>I53</f>
        <v>2</v>
      </c>
      <c r="J19" s="10">
        <f>J53</f>
        <v>1</v>
      </c>
      <c r="K19" s="10">
        <f t="shared" ref="K19:P19" si="56">K53</f>
        <v>0</v>
      </c>
      <c r="L19" s="10">
        <f t="shared" si="56"/>
        <v>0</v>
      </c>
      <c r="M19" s="10">
        <f t="shared" si="56"/>
        <v>0</v>
      </c>
      <c r="N19" s="10">
        <f t="shared" si="56"/>
        <v>1</v>
      </c>
      <c r="O19" s="10">
        <f t="shared" si="56"/>
        <v>1</v>
      </c>
      <c r="P19" s="10">
        <f t="shared" si="56"/>
        <v>0</v>
      </c>
      <c r="Q19" s="10">
        <f t="shared" ref="Q19:Y19" si="57">Q53</f>
        <v>2</v>
      </c>
      <c r="R19" s="10">
        <f t="shared" si="57"/>
        <v>0</v>
      </c>
      <c r="S19" s="10">
        <f t="shared" si="57"/>
        <v>7.5</v>
      </c>
      <c r="T19" s="10">
        <f t="shared" si="57"/>
        <v>7.5</v>
      </c>
      <c r="U19" s="10">
        <f t="shared" si="57"/>
        <v>7.5</v>
      </c>
      <c r="V19" s="10">
        <f t="shared" si="57"/>
        <v>7.5</v>
      </c>
      <c r="W19" s="10">
        <f t="shared" si="57"/>
        <v>0</v>
      </c>
      <c r="X19" s="10">
        <f t="shared" si="57"/>
        <v>0</v>
      </c>
      <c r="Y19" s="10">
        <f t="shared" si="57"/>
        <v>0</v>
      </c>
      <c r="Z19" s="306"/>
      <c r="AA19" s="10"/>
      <c r="AB19" s="10"/>
      <c r="AC19" s="10"/>
      <c r="AD19" s="10"/>
      <c r="AE19" s="2"/>
      <c r="AF19" s="10"/>
      <c r="AG19" s="223"/>
      <c r="AH19" s="10"/>
      <c r="AI19" s="10"/>
      <c r="AJ19" s="10"/>
      <c r="AK19" s="10"/>
    </row>
    <row r="20" spans="1:37" x14ac:dyDescent="0.3">
      <c r="A20" s="7">
        <v>1015</v>
      </c>
      <c r="B20" s="115" t="s">
        <v>245</v>
      </c>
      <c r="C20" t="s">
        <v>75</v>
      </c>
      <c r="I20" s="10"/>
      <c r="J20" s="10"/>
      <c r="K20" s="10"/>
      <c r="L20" s="10"/>
      <c r="M20" s="10"/>
      <c r="N20" s="10">
        <v>1</v>
      </c>
      <c r="O20" s="10">
        <v>1</v>
      </c>
      <c r="P20" s="10">
        <v>1</v>
      </c>
      <c r="Q20" s="10">
        <v>1</v>
      </c>
      <c r="R20" s="10">
        <v>0</v>
      </c>
      <c r="S20" s="10">
        <v>1</v>
      </c>
      <c r="T20" s="10">
        <v>1</v>
      </c>
      <c r="U20" s="10">
        <v>1</v>
      </c>
      <c r="V20" s="10">
        <v>1</v>
      </c>
      <c r="W20" s="10">
        <v>1</v>
      </c>
      <c r="X20" s="10">
        <v>1</v>
      </c>
      <c r="Y20" s="10">
        <v>1</v>
      </c>
      <c r="Z20" s="10"/>
      <c r="AA20" s="10"/>
      <c r="AB20" s="10"/>
      <c r="AC20" s="10"/>
      <c r="AD20" s="10"/>
      <c r="AF20" s="10"/>
      <c r="AG20" s="223"/>
      <c r="AH20" s="10"/>
      <c r="AI20" s="10"/>
      <c r="AJ20" s="10"/>
      <c r="AK20" s="10"/>
    </row>
    <row r="21" spans="1:37" x14ac:dyDescent="0.3">
      <c r="A21" s="7">
        <v>1048</v>
      </c>
      <c r="B21" t="s">
        <v>236</v>
      </c>
      <c r="C21" t="s">
        <v>75</v>
      </c>
      <c r="D21" s="16"/>
      <c r="E21" s="16"/>
      <c r="F21" s="16"/>
      <c r="G21" s="16"/>
      <c r="H21" s="16"/>
      <c r="I21" s="68"/>
      <c r="J21" s="68"/>
      <c r="K21" s="68"/>
      <c r="L21" s="68"/>
      <c r="M21" s="68"/>
      <c r="N21" s="68">
        <v>0</v>
      </c>
      <c r="O21" s="68">
        <v>0</v>
      </c>
      <c r="P21" s="68">
        <f t="shared" ref="P21:T21" si="58">P54</f>
        <v>0</v>
      </c>
      <c r="Q21" s="68">
        <f t="shared" si="58"/>
        <v>1</v>
      </c>
      <c r="R21" s="68">
        <f t="shared" si="58"/>
        <v>1</v>
      </c>
      <c r="S21" s="68">
        <f t="shared" si="58"/>
        <v>1</v>
      </c>
      <c r="T21" s="68">
        <f t="shared" si="58"/>
        <v>2</v>
      </c>
      <c r="U21" s="68">
        <f t="shared" ref="U21:Y21" si="59">U54</f>
        <v>2</v>
      </c>
      <c r="V21" s="68">
        <f t="shared" si="59"/>
        <v>4</v>
      </c>
      <c r="W21" s="68">
        <f t="shared" si="59"/>
        <v>2</v>
      </c>
      <c r="X21" s="68">
        <f t="shared" si="59"/>
        <v>1</v>
      </c>
      <c r="Y21" s="68">
        <f t="shared" si="59"/>
        <v>1</v>
      </c>
      <c r="Z21" s="10" t="s">
        <v>237</v>
      </c>
      <c r="AA21" s="10"/>
      <c r="AB21" s="10"/>
      <c r="AC21" s="10"/>
      <c r="AD21" s="10"/>
      <c r="AF21" s="10"/>
      <c r="AG21" s="223"/>
      <c r="AH21" s="10"/>
      <c r="AI21" s="10"/>
      <c r="AJ21" s="10"/>
      <c r="AK21" s="10"/>
    </row>
    <row r="22" spans="1:37" x14ac:dyDescent="0.3">
      <c r="B22" s="1" t="s">
        <v>2</v>
      </c>
      <c r="D22" s="17">
        <f t="shared" ref="D22:M22" si="60">SUM(D9,D13:D21)</f>
        <v>11902.5</v>
      </c>
      <c r="E22" s="17">
        <f t="shared" si="60"/>
        <v>14511</v>
      </c>
      <c r="F22" s="17">
        <f t="shared" si="60"/>
        <v>15354</v>
      </c>
      <c r="G22" s="17">
        <f t="shared" si="60"/>
        <v>13502</v>
      </c>
      <c r="H22" s="17">
        <f t="shared" si="60"/>
        <v>10314</v>
      </c>
      <c r="I22" s="17">
        <f t="shared" si="60"/>
        <v>9242.5</v>
      </c>
      <c r="J22" s="17">
        <f t="shared" si="60"/>
        <v>12050.5</v>
      </c>
      <c r="K22" s="17">
        <f t="shared" si="60"/>
        <v>14836</v>
      </c>
      <c r="L22" s="17">
        <f t="shared" si="60"/>
        <v>15564.5</v>
      </c>
      <c r="M22" s="17">
        <f t="shared" si="60"/>
        <v>18174.5</v>
      </c>
      <c r="N22" s="17">
        <f>SUM(N9,N13:N21)</f>
        <v>16839.5</v>
      </c>
      <c r="O22" s="17">
        <f t="shared" ref="O22:Y22" si="61">SUM(O9,O13:O21)</f>
        <v>14156.5</v>
      </c>
      <c r="P22" s="17">
        <f t="shared" si="61"/>
        <v>13364</v>
      </c>
      <c r="Q22" s="17">
        <f t="shared" si="61"/>
        <v>14105</v>
      </c>
      <c r="R22" s="17">
        <f t="shared" si="61"/>
        <v>15681</v>
      </c>
      <c r="S22" s="17">
        <f t="shared" si="61"/>
        <v>16367.8125</v>
      </c>
      <c r="T22" s="17">
        <f t="shared" si="61"/>
        <v>16260.875</v>
      </c>
      <c r="U22" s="17">
        <f t="shared" si="61"/>
        <v>16502.371846141163</v>
      </c>
      <c r="V22" s="17">
        <f t="shared" si="61"/>
        <v>16737.734061675459</v>
      </c>
      <c r="W22" s="17">
        <f t="shared" si="61"/>
        <v>16721.116259894457</v>
      </c>
      <c r="X22" s="17">
        <f t="shared" si="61"/>
        <v>16727.742476088391</v>
      </c>
      <c r="Y22" s="17">
        <f t="shared" si="61"/>
        <v>16731.301376978889</v>
      </c>
    </row>
    <row r="23" spans="1:37" x14ac:dyDescent="0.3">
      <c r="B23" t="s">
        <v>230</v>
      </c>
      <c r="I23" s="267">
        <v>0</v>
      </c>
      <c r="J23" s="267">
        <v>0</v>
      </c>
      <c r="K23" s="267">
        <v>0</v>
      </c>
      <c r="L23" s="267">
        <v>0</v>
      </c>
      <c r="M23" s="267">
        <v>0</v>
      </c>
      <c r="N23" s="310">
        <v>0</v>
      </c>
      <c r="O23" s="310">
        <v>0</v>
      </c>
      <c r="P23" s="310">
        <v>0</v>
      </c>
      <c r="Q23" s="311">
        <v>0</v>
      </c>
      <c r="R23" s="311">
        <v>0</v>
      </c>
      <c r="S23" s="10"/>
    </row>
    <row r="24" spans="1:37" x14ac:dyDescent="0.3">
      <c r="B24" s="8" t="s">
        <v>231</v>
      </c>
      <c r="J24" s="10"/>
      <c r="K24" s="10"/>
      <c r="L24" s="10"/>
      <c r="M24" s="10"/>
      <c r="N24" s="10"/>
      <c r="O24" s="10"/>
      <c r="P24" s="223"/>
      <c r="Q24" s="10"/>
      <c r="R24" s="10"/>
      <c r="S24" s="10"/>
    </row>
    <row r="25" spans="1:37" x14ac:dyDescent="0.3">
      <c r="I25" s="10"/>
      <c r="J25" s="10"/>
      <c r="K25" s="10"/>
      <c r="L25" s="10"/>
      <c r="M25" s="10"/>
      <c r="N25" s="10"/>
      <c r="O25" s="10"/>
      <c r="P25" s="10"/>
      <c r="Q25" s="10"/>
      <c r="T25" s="17"/>
      <c r="U25" s="1"/>
      <c r="Y25" s="17"/>
      <c r="Z25" s="1"/>
    </row>
    <row r="26" spans="1:37" x14ac:dyDescent="0.3">
      <c r="B26" s="10" t="s">
        <v>56</v>
      </c>
      <c r="O26" s="11"/>
      <c r="P26" s="11"/>
      <c r="Q26" s="11"/>
      <c r="R26" s="11"/>
      <c r="S26" s="10"/>
      <c r="Y26" s="298"/>
      <c r="Z26" s="8"/>
    </row>
    <row r="27" spans="1:37" x14ac:dyDescent="0.3">
      <c r="I27" s="18"/>
      <c r="K27" s="19"/>
      <c r="M27" s="18"/>
      <c r="N27" s="18"/>
      <c r="O27" t="s">
        <v>124</v>
      </c>
    </row>
    <row r="28" spans="1:37" x14ac:dyDescent="0.3">
      <c r="B28" t="s">
        <v>79</v>
      </c>
      <c r="H28" s="7" t="s">
        <v>15</v>
      </c>
      <c r="I28" s="7" t="s">
        <v>15</v>
      </c>
      <c r="J28" s="7" t="s">
        <v>15</v>
      </c>
      <c r="K28" s="7" t="s">
        <v>15</v>
      </c>
      <c r="L28" s="7" t="s">
        <v>15</v>
      </c>
      <c r="M28" s="7" t="s">
        <v>15</v>
      </c>
      <c r="N28" s="7" t="s">
        <v>15</v>
      </c>
      <c r="O28" s="7" t="s">
        <v>15</v>
      </c>
      <c r="P28" s="7" t="s">
        <v>15</v>
      </c>
      <c r="Q28" s="7" t="s">
        <v>15</v>
      </c>
      <c r="R28" s="79" t="s">
        <v>16</v>
      </c>
      <c r="S28" s="79" t="s">
        <v>16</v>
      </c>
      <c r="T28" s="79" t="s">
        <v>16</v>
      </c>
      <c r="U28" s="79" t="s">
        <v>16</v>
      </c>
      <c r="V28" s="79" t="s">
        <v>16</v>
      </c>
      <c r="W28" s="79" t="s">
        <v>16</v>
      </c>
      <c r="X28" s="79" t="s">
        <v>16</v>
      </c>
      <c r="Y28" s="79" t="s">
        <v>16</v>
      </c>
    </row>
    <row r="29" spans="1:37" x14ac:dyDescent="0.3">
      <c r="H29" s="69">
        <v>2014</v>
      </c>
      <c r="I29" s="69">
        <v>2015</v>
      </c>
      <c r="J29" s="69">
        <v>2016</v>
      </c>
      <c r="K29" s="69">
        <v>2017</v>
      </c>
      <c r="L29" s="69">
        <v>2018</v>
      </c>
      <c r="M29" s="69">
        <v>2019</v>
      </c>
      <c r="N29" s="69">
        <v>2020</v>
      </c>
      <c r="O29" s="120" t="s">
        <v>127</v>
      </c>
      <c r="P29" s="120" t="s">
        <v>163</v>
      </c>
      <c r="Q29" s="120" t="s">
        <v>162</v>
      </c>
      <c r="R29" s="120" t="s">
        <v>161</v>
      </c>
      <c r="S29" s="120" t="s">
        <v>160</v>
      </c>
      <c r="T29" s="120" t="s">
        <v>159</v>
      </c>
      <c r="U29" s="7" t="s">
        <v>225</v>
      </c>
      <c r="V29" s="7" t="s">
        <v>232</v>
      </c>
      <c r="W29" s="7" t="s">
        <v>233</v>
      </c>
      <c r="X29" s="7" t="s">
        <v>234</v>
      </c>
      <c r="Y29" s="7" t="s">
        <v>235</v>
      </c>
    </row>
    <row r="30" spans="1:37" x14ac:dyDescent="0.3">
      <c r="B30" t="s">
        <v>227</v>
      </c>
      <c r="E30">
        <v>12395</v>
      </c>
      <c r="F30">
        <v>12226</v>
      </c>
      <c r="G30">
        <v>8508</v>
      </c>
      <c r="H30">
        <v>6173</v>
      </c>
      <c r="I30">
        <v>6781</v>
      </c>
      <c r="J30">
        <v>11679</v>
      </c>
      <c r="K30" s="18">
        <v>10503</v>
      </c>
      <c r="L30" s="18">
        <v>2996</v>
      </c>
      <c r="M30" s="18">
        <v>2048</v>
      </c>
      <c r="N30" s="18"/>
      <c r="O30" s="18"/>
      <c r="P30" s="18"/>
      <c r="Q30" s="18"/>
      <c r="R30" s="10"/>
      <c r="S30" s="10">
        <v>13145.125</v>
      </c>
      <c r="T30" s="10">
        <f t="shared" ref="T30:Y30" si="62">S30*(1+T57)</f>
        <v>13145.125</v>
      </c>
      <c r="U30" s="10">
        <f t="shared" si="62"/>
        <v>13556.994022097624</v>
      </c>
      <c r="V30" s="10">
        <f t="shared" si="62"/>
        <v>13543.120539248021</v>
      </c>
      <c r="W30" s="10">
        <f t="shared" si="62"/>
        <v>13544.854724604222</v>
      </c>
      <c r="X30" s="10">
        <f t="shared" si="62"/>
        <v>13556.126929419523</v>
      </c>
      <c r="Y30" s="10">
        <f t="shared" si="62"/>
        <v>13550.924373350923</v>
      </c>
    </row>
    <row r="31" spans="1:37" x14ac:dyDescent="0.3">
      <c r="B31" t="s">
        <v>228</v>
      </c>
      <c r="C31" t="s">
        <v>120</v>
      </c>
      <c r="I31">
        <f>194+165</f>
        <v>359</v>
      </c>
      <c r="J31">
        <v>0</v>
      </c>
      <c r="K31" s="18">
        <v>608</v>
      </c>
      <c r="L31">
        <v>10570</v>
      </c>
      <c r="M31">
        <v>14030</v>
      </c>
      <c r="N31" s="10">
        <v>10815</v>
      </c>
      <c r="O31" s="10">
        <v>10008</v>
      </c>
      <c r="P31" s="10">
        <v>8594</v>
      </c>
      <c r="Q31" s="10">
        <v>10602</v>
      </c>
      <c r="R31" s="10">
        <v>13044</v>
      </c>
    </row>
    <row r="32" spans="1:37" x14ac:dyDescent="0.3">
      <c r="B32" t="s">
        <v>94</v>
      </c>
      <c r="K32" s="18"/>
      <c r="N32" s="10">
        <v>7370</v>
      </c>
      <c r="O32" s="10">
        <v>7442</v>
      </c>
      <c r="P32" s="10">
        <v>6985</v>
      </c>
      <c r="Q32" s="10">
        <v>8330</v>
      </c>
      <c r="R32" s="10">
        <v>9635</v>
      </c>
    </row>
    <row r="33" spans="2:35" x14ac:dyDescent="0.3">
      <c r="B33" t="s">
        <v>93</v>
      </c>
      <c r="K33" s="18"/>
      <c r="N33" s="10">
        <v>96</v>
      </c>
      <c r="O33" s="10">
        <v>103</v>
      </c>
      <c r="P33" s="10">
        <v>8</v>
      </c>
      <c r="Q33" s="10">
        <v>88</v>
      </c>
      <c r="R33" s="10">
        <v>46</v>
      </c>
    </row>
    <row r="34" spans="2:35" x14ac:dyDescent="0.3">
      <c r="B34" t="s">
        <v>229</v>
      </c>
      <c r="K34" s="18"/>
      <c r="N34" s="10">
        <v>-6775</v>
      </c>
      <c r="O34" s="10">
        <v>-6848</v>
      </c>
      <c r="P34" s="10">
        <v>-5935</v>
      </c>
      <c r="Q34" s="10">
        <v>-7223</v>
      </c>
      <c r="R34" s="10">
        <v>-9156</v>
      </c>
    </row>
    <row r="35" spans="2:35" ht="15.3" thickBot="1" x14ac:dyDescent="0.35">
      <c r="G35" s="70" t="s">
        <v>2</v>
      </c>
      <c r="H35" s="230">
        <f>SUM(H30:H31)</f>
        <v>6173</v>
      </c>
      <c r="I35" s="230">
        <f t="shared" ref="I35:Y35" si="63">SUM(I30:I31)</f>
        <v>7140</v>
      </c>
      <c r="J35" s="231">
        <f t="shared" si="63"/>
        <v>11679</v>
      </c>
      <c r="K35" s="231">
        <f t="shared" si="63"/>
        <v>11111</v>
      </c>
      <c r="L35" s="231">
        <f t="shared" si="63"/>
        <v>13566</v>
      </c>
      <c r="M35" s="231">
        <f t="shared" si="63"/>
        <v>16078</v>
      </c>
      <c r="N35" s="231">
        <f t="shared" ref="N35:P35" si="64">SUM(N31:N34)</f>
        <v>11506</v>
      </c>
      <c r="O35" s="231">
        <f t="shared" si="64"/>
        <v>10705</v>
      </c>
      <c r="P35" s="231">
        <f t="shared" si="64"/>
        <v>9652</v>
      </c>
      <c r="Q35" s="231">
        <f>SUM(Q31:Q34)</f>
        <v>11797</v>
      </c>
      <c r="R35" s="231">
        <f>SUM(R31:R34)</f>
        <v>13569</v>
      </c>
      <c r="S35" s="231">
        <f t="shared" si="63"/>
        <v>13145.125</v>
      </c>
      <c r="T35" s="231">
        <f t="shared" si="63"/>
        <v>13145.125</v>
      </c>
      <c r="U35" s="231">
        <f t="shared" si="63"/>
        <v>13556.994022097624</v>
      </c>
      <c r="V35" s="231">
        <f t="shared" si="63"/>
        <v>13543.120539248021</v>
      </c>
      <c r="W35" s="231">
        <f t="shared" si="63"/>
        <v>13544.854724604222</v>
      </c>
      <c r="X35" s="231">
        <f t="shared" si="63"/>
        <v>13556.126929419523</v>
      </c>
      <c r="Y35" s="231">
        <f t="shared" si="63"/>
        <v>13550.924373350923</v>
      </c>
      <c r="AA35" s="18"/>
    </row>
    <row r="36" spans="2:35" x14ac:dyDescent="0.3">
      <c r="B36" s="80" t="s">
        <v>80</v>
      </c>
      <c r="D36" s="10"/>
      <c r="E36" s="10">
        <v>445</v>
      </c>
      <c r="F36" s="10">
        <v>390</v>
      </c>
      <c r="G36" s="10">
        <v>384</v>
      </c>
      <c r="H36" s="10">
        <v>247</v>
      </c>
      <c r="I36" s="10">
        <v>268</v>
      </c>
      <c r="J36" s="10">
        <v>403</v>
      </c>
      <c r="K36" s="18">
        <v>363</v>
      </c>
      <c r="L36" s="18">
        <v>390</v>
      </c>
      <c r="M36" s="18">
        <v>429</v>
      </c>
      <c r="N36" s="18">
        <v>336</v>
      </c>
      <c r="O36" s="18">
        <v>347</v>
      </c>
      <c r="P36" s="18">
        <v>316</v>
      </c>
      <c r="Q36" s="18">
        <v>340</v>
      </c>
      <c r="R36" s="18">
        <v>388</v>
      </c>
      <c r="S36" s="18">
        <f>SUM($P$36:$R$36)/SUM($P$35:$R$35)*S35</f>
        <v>391.8987520703638</v>
      </c>
      <c r="T36" s="18">
        <f t="shared" ref="T36:Y36" si="65">SUM($P$36:$R$36)/SUM($P$35:$R$35)*T35</f>
        <v>391.8987520703638</v>
      </c>
      <c r="U36" s="18">
        <f t="shared" si="65"/>
        <v>404.17790162401963</v>
      </c>
      <c r="V36" s="18">
        <f t="shared" si="65"/>
        <v>403.7642881653702</v>
      </c>
      <c r="W36" s="18">
        <f t="shared" si="65"/>
        <v>403.81598984770142</v>
      </c>
      <c r="X36" s="18">
        <f t="shared" si="65"/>
        <v>404.15205078285402</v>
      </c>
      <c r="Y36" s="18">
        <f t="shared" si="65"/>
        <v>403.99694573586055</v>
      </c>
    </row>
    <row r="37" spans="2:35" x14ac:dyDescent="0.3">
      <c r="B37" s="80"/>
      <c r="D37" s="10"/>
      <c r="E37" s="10"/>
      <c r="F37" s="10"/>
      <c r="G37" s="10"/>
      <c r="H37" s="10"/>
      <c r="I37" s="10"/>
      <c r="J37" s="18"/>
      <c r="K37" s="18"/>
      <c r="L37" s="18"/>
      <c r="M37" s="18"/>
      <c r="N37" s="298">
        <f t="shared" ref="N37:P37" si="66">N32/N35</f>
        <v>0.64053537284894835</v>
      </c>
      <c r="O37" s="298">
        <f t="shared" si="66"/>
        <v>0.69518916394208319</v>
      </c>
      <c r="P37" s="298">
        <f t="shared" si="66"/>
        <v>0.72368421052631582</v>
      </c>
      <c r="Q37" s="298">
        <f>Q32/Q35</f>
        <v>0.70611172331948802</v>
      </c>
      <c r="R37" s="298">
        <f>R32/R35</f>
        <v>0.71007443437246665</v>
      </c>
    </row>
    <row r="38" spans="2:35" x14ac:dyDescent="0.3">
      <c r="B38" t="s">
        <v>81</v>
      </c>
      <c r="G38" t="s">
        <v>71</v>
      </c>
      <c r="H38" s="10">
        <v>1687</v>
      </c>
      <c r="I38" s="10">
        <v>1199</v>
      </c>
      <c r="J38" s="10">
        <v>1710</v>
      </c>
      <c r="K38" s="18">
        <v>2037</v>
      </c>
      <c r="L38" s="18">
        <v>1515</v>
      </c>
      <c r="M38" s="18">
        <v>1869</v>
      </c>
      <c r="N38" s="18">
        <v>1278</v>
      </c>
      <c r="O38" s="18">
        <v>1730</v>
      </c>
      <c r="P38" s="18">
        <v>1462</v>
      </c>
      <c r="Q38" s="18">
        <v>1411</v>
      </c>
      <c r="R38" s="18">
        <v>1216</v>
      </c>
      <c r="S38" s="18">
        <f>ROUND(AVERAGE(O38:R38),0)</f>
        <v>1455</v>
      </c>
      <c r="T38" s="18">
        <f t="shared" ref="T38:Y38" si="67">S38*(1+T57)</f>
        <v>1455</v>
      </c>
      <c r="U38" s="18">
        <f t="shared" si="67"/>
        <v>1500.5887203166226</v>
      </c>
      <c r="V38" s="18">
        <f t="shared" si="67"/>
        <v>1499.0531002638522</v>
      </c>
      <c r="W38" s="18">
        <f t="shared" si="67"/>
        <v>1499.2450527704486</v>
      </c>
      <c r="X38" s="18">
        <f t="shared" si="67"/>
        <v>1500.4927440633244</v>
      </c>
      <c r="Y38" s="18">
        <f t="shared" si="67"/>
        <v>1499.9168865435356</v>
      </c>
    </row>
    <row r="39" spans="2:35" x14ac:dyDescent="0.3">
      <c r="G39" t="s">
        <v>72</v>
      </c>
      <c r="J39">
        <v>0</v>
      </c>
      <c r="AC39" s="12"/>
    </row>
    <row r="40" spans="2:35" ht="15.3" thickBot="1" x14ac:dyDescent="0.35">
      <c r="B40" s="49"/>
      <c r="G40" s="70" t="s">
        <v>2</v>
      </c>
      <c r="H40" s="230">
        <f>SUM(H38:H39)</f>
        <v>1687</v>
      </c>
      <c r="I40" s="230">
        <f t="shared" ref="I40" si="68">SUM(I38:I39)</f>
        <v>1199</v>
      </c>
      <c r="J40" s="231">
        <f t="shared" ref="J40:Y40" si="69">SUM(J38:J39)</f>
        <v>1710</v>
      </c>
      <c r="K40" s="231">
        <f t="shared" si="69"/>
        <v>2037</v>
      </c>
      <c r="L40" s="231">
        <f t="shared" si="69"/>
        <v>1515</v>
      </c>
      <c r="M40" s="231">
        <f t="shared" si="69"/>
        <v>1869</v>
      </c>
      <c r="N40" s="231">
        <f t="shared" si="69"/>
        <v>1278</v>
      </c>
      <c r="O40" s="231">
        <f t="shared" si="69"/>
        <v>1730</v>
      </c>
      <c r="P40" s="231">
        <f t="shared" si="69"/>
        <v>1462</v>
      </c>
      <c r="Q40" s="231">
        <f t="shared" si="69"/>
        <v>1411</v>
      </c>
      <c r="R40" s="231">
        <f t="shared" si="69"/>
        <v>1216</v>
      </c>
      <c r="S40" s="231">
        <f t="shared" si="69"/>
        <v>1455</v>
      </c>
      <c r="T40" s="231">
        <f t="shared" si="69"/>
        <v>1455</v>
      </c>
      <c r="U40" s="231">
        <f t="shared" si="69"/>
        <v>1500.5887203166226</v>
      </c>
      <c r="V40" s="231">
        <f t="shared" si="69"/>
        <v>1499.0531002638522</v>
      </c>
      <c r="W40" s="231">
        <f t="shared" si="69"/>
        <v>1499.2450527704486</v>
      </c>
      <c r="X40" s="231">
        <f t="shared" si="69"/>
        <v>1500.4927440633244</v>
      </c>
      <c r="Y40" s="231">
        <f t="shared" si="69"/>
        <v>1499.9168865435356</v>
      </c>
    </row>
    <row r="41" spans="2:35" x14ac:dyDescent="0.3">
      <c r="B41" t="s">
        <v>82</v>
      </c>
      <c r="G41" t="s">
        <v>71</v>
      </c>
      <c r="H41" s="10">
        <v>286</v>
      </c>
      <c r="I41" s="10">
        <v>257</v>
      </c>
      <c r="J41" s="10">
        <v>329</v>
      </c>
      <c r="K41" s="10">
        <v>458</v>
      </c>
      <c r="L41" s="10">
        <v>368</v>
      </c>
      <c r="M41" s="10">
        <v>428</v>
      </c>
      <c r="N41" s="10">
        <v>295</v>
      </c>
      <c r="O41" s="10">
        <v>406</v>
      </c>
      <c r="P41" s="10">
        <v>466</v>
      </c>
      <c r="Q41" s="10">
        <v>532</v>
      </c>
      <c r="R41" s="10">
        <v>599</v>
      </c>
      <c r="S41" s="10">
        <v>428</v>
      </c>
      <c r="T41" s="10">
        <f t="shared" ref="T41:Y41" si="70">S41*(1+T58)</f>
        <v>428</v>
      </c>
      <c r="U41" s="10">
        <f t="shared" si="70"/>
        <v>428</v>
      </c>
      <c r="V41" s="10">
        <f t="shared" si="70"/>
        <v>428</v>
      </c>
      <c r="W41" s="10">
        <f t="shared" si="70"/>
        <v>428</v>
      </c>
      <c r="X41" s="10">
        <f t="shared" si="70"/>
        <v>428</v>
      </c>
      <c r="Y41" s="10">
        <f t="shared" si="70"/>
        <v>428</v>
      </c>
      <c r="AB41" s="80"/>
      <c r="AC41" s="12"/>
    </row>
    <row r="42" spans="2:35" x14ac:dyDescent="0.3">
      <c r="C42" t="s">
        <v>120</v>
      </c>
      <c r="G42" t="s">
        <v>72</v>
      </c>
      <c r="I42">
        <v>11</v>
      </c>
      <c r="J42">
        <v>0</v>
      </c>
      <c r="K42">
        <v>40</v>
      </c>
      <c r="L42">
        <v>41</v>
      </c>
      <c r="M42">
        <v>82</v>
      </c>
      <c r="N42">
        <v>36</v>
      </c>
      <c r="O42">
        <v>41</v>
      </c>
      <c r="P42">
        <v>25</v>
      </c>
      <c r="Q42">
        <v>43</v>
      </c>
      <c r="R42" s="18">
        <v>28</v>
      </c>
      <c r="S42" s="18">
        <f>AVERAGE(O42:R42)</f>
        <v>34.25</v>
      </c>
      <c r="T42" s="18">
        <f>$S42</f>
        <v>34.25</v>
      </c>
      <c r="U42" s="18">
        <f t="shared" ref="U42:Y42" si="71">$S42</f>
        <v>34.25</v>
      </c>
      <c r="V42" s="18">
        <f t="shared" si="71"/>
        <v>34.25</v>
      </c>
      <c r="W42" s="18">
        <f t="shared" si="71"/>
        <v>34.25</v>
      </c>
      <c r="X42" s="18">
        <f t="shared" si="71"/>
        <v>34.25</v>
      </c>
      <c r="Y42" s="18">
        <f t="shared" si="71"/>
        <v>34.25</v>
      </c>
    </row>
    <row r="43" spans="2:35" ht="15.3" thickBot="1" x14ac:dyDescent="0.35">
      <c r="B43" s="49"/>
      <c r="G43" s="70" t="s">
        <v>2</v>
      </c>
      <c r="H43" s="230">
        <f>SUM(H41:H42)</f>
        <v>286</v>
      </c>
      <c r="I43" s="230">
        <f t="shared" ref="I43" si="72">SUM(I41:I42)</f>
        <v>268</v>
      </c>
      <c r="J43" s="230">
        <f t="shared" ref="J43:R43" si="73">SUM(J41:J42)</f>
        <v>329</v>
      </c>
      <c r="K43" s="231">
        <f t="shared" si="73"/>
        <v>498</v>
      </c>
      <c r="L43" s="231">
        <f t="shared" si="73"/>
        <v>409</v>
      </c>
      <c r="M43" s="231">
        <f t="shared" si="73"/>
        <v>510</v>
      </c>
      <c r="N43" s="231">
        <f t="shared" si="73"/>
        <v>331</v>
      </c>
      <c r="O43" s="231">
        <f t="shared" si="73"/>
        <v>447</v>
      </c>
      <c r="P43" s="231">
        <f t="shared" si="73"/>
        <v>491</v>
      </c>
      <c r="Q43" s="231">
        <f t="shared" si="73"/>
        <v>575</v>
      </c>
      <c r="R43" s="231">
        <f t="shared" si="73"/>
        <v>627</v>
      </c>
      <c r="S43" s="231">
        <f>SUM(S41:S42)</f>
        <v>462.25</v>
      </c>
      <c r="T43" s="231">
        <f t="shared" ref="T43:Y43" si="74">SUM(T41:T42)</f>
        <v>462.25</v>
      </c>
      <c r="U43" s="231">
        <f t="shared" si="74"/>
        <v>462.25</v>
      </c>
      <c r="V43" s="231">
        <f t="shared" si="74"/>
        <v>462.25</v>
      </c>
      <c r="W43" s="231">
        <f t="shared" si="74"/>
        <v>462.25</v>
      </c>
      <c r="X43" s="231">
        <f t="shared" si="74"/>
        <v>462.25</v>
      </c>
      <c r="Y43" s="231">
        <f t="shared" si="74"/>
        <v>462.25</v>
      </c>
      <c r="AA43" s="18"/>
      <c r="AC43" s="11"/>
      <c r="AD43" s="11"/>
      <c r="AE43" s="11"/>
      <c r="AF43" s="11"/>
      <c r="AG43" s="11"/>
      <c r="AH43" s="11"/>
      <c r="AI43" s="11"/>
    </row>
    <row r="44" spans="2:35" x14ac:dyDescent="0.3">
      <c r="B44" t="s">
        <v>73</v>
      </c>
      <c r="M44" s="11"/>
      <c r="N44" s="11"/>
      <c r="O44" s="11"/>
      <c r="P44" s="11"/>
      <c r="Q44" s="11"/>
    </row>
    <row r="45" spans="2:35" x14ac:dyDescent="0.3">
      <c r="B45" s="49" t="s">
        <v>69</v>
      </c>
      <c r="H45" s="10">
        <v>504</v>
      </c>
      <c r="I45" s="10">
        <v>478</v>
      </c>
      <c r="J45" s="10">
        <v>127</v>
      </c>
      <c r="K45" s="18">
        <v>506</v>
      </c>
      <c r="L45" s="18">
        <v>351</v>
      </c>
      <c r="M45" s="18">
        <v>406</v>
      </c>
      <c r="N45" s="18">
        <v>289</v>
      </c>
      <c r="O45" s="18">
        <v>570</v>
      </c>
      <c r="P45" s="18">
        <v>717</v>
      </c>
      <c r="Q45" s="18">
        <v>661</v>
      </c>
      <c r="R45" s="18">
        <v>603</v>
      </c>
      <c r="S45" s="18">
        <f>ROUND(AVERAGE(O45:R45),0)</f>
        <v>638</v>
      </c>
      <c r="T45" s="18">
        <f t="shared" ref="T45:Y45" si="75">S45*(1+T57)</f>
        <v>638</v>
      </c>
      <c r="U45" s="18">
        <f t="shared" si="75"/>
        <v>657.99010554089705</v>
      </c>
      <c r="V45" s="18">
        <f t="shared" si="75"/>
        <v>657.31675461741418</v>
      </c>
      <c r="W45" s="18">
        <f t="shared" si="75"/>
        <v>657.40092348284963</v>
      </c>
      <c r="X45" s="18">
        <f t="shared" si="75"/>
        <v>657.94802110817932</v>
      </c>
      <c r="Y45" s="18">
        <f t="shared" si="75"/>
        <v>657.69551451187328</v>
      </c>
    </row>
    <row r="46" spans="2:35" x14ac:dyDescent="0.3">
      <c r="B46" s="49" t="s">
        <v>70</v>
      </c>
      <c r="J46" s="10">
        <v>439</v>
      </c>
      <c r="K46" s="10">
        <v>490</v>
      </c>
      <c r="L46">
        <v>253</v>
      </c>
      <c r="M46" s="10">
        <v>233</v>
      </c>
      <c r="N46" s="18">
        <v>180</v>
      </c>
      <c r="O46" s="18">
        <v>172</v>
      </c>
      <c r="P46" s="18">
        <v>68</v>
      </c>
      <c r="Q46" s="18">
        <v>60</v>
      </c>
      <c r="R46" s="18">
        <v>51</v>
      </c>
      <c r="S46" s="18">
        <f>ROUND(AVERAGE(O46:R46),0)</f>
        <v>88</v>
      </c>
      <c r="T46" s="18">
        <f>$S46</f>
        <v>88</v>
      </c>
      <c r="U46" s="18">
        <f t="shared" ref="U46:Y46" si="76">$S46</f>
        <v>88</v>
      </c>
      <c r="V46" s="18">
        <f t="shared" si="76"/>
        <v>88</v>
      </c>
      <c r="W46" s="18">
        <f t="shared" si="76"/>
        <v>88</v>
      </c>
      <c r="X46" s="18">
        <f t="shared" si="76"/>
        <v>88</v>
      </c>
      <c r="Y46" s="18">
        <f t="shared" si="76"/>
        <v>88</v>
      </c>
    </row>
    <row r="47" spans="2:35" ht="15.3" thickBot="1" x14ac:dyDescent="0.35">
      <c r="B47" s="49" t="s">
        <v>106</v>
      </c>
      <c r="H47" s="230">
        <f>SUM(H45:H46)</f>
        <v>504</v>
      </c>
      <c r="I47" s="230">
        <f t="shared" ref="I47" si="77">SUM(I45:I46)</f>
        <v>478</v>
      </c>
      <c r="J47" s="230">
        <f t="shared" ref="J47:Y47" si="78">SUM(J45:J46)</f>
        <v>566</v>
      </c>
      <c r="K47" s="231">
        <f t="shared" si="78"/>
        <v>996</v>
      </c>
      <c r="L47" s="231">
        <f t="shared" si="78"/>
        <v>604</v>
      </c>
      <c r="M47" s="231">
        <f t="shared" si="78"/>
        <v>639</v>
      </c>
      <c r="N47" s="231">
        <f t="shared" si="78"/>
        <v>469</v>
      </c>
      <c r="O47" s="231">
        <f t="shared" si="78"/>
        <v>742</v>
      </c>
      <c r="P47" s="231">
        <f t="shared" si="78"/>
        <v>785</v>
      </c>
      <c r="Q47" s="231">
        <f t="shared" si="78"/>
        <v>721</v>
      </c>
      <c r="R47" s="231">
        <f t="shared" si="78"/>
        <v>654</v>
      </c>
      <c r="S47" s="231">
        <f t="shared" si="78"/>
        <v>726</v>
      </c>
      <c r="T47" s="231">
        <f t="shared" si="78"/>
        <v>726</v>
      </c>
      <c r="U47" s="231">
        <f t="shared" si="78"/>
        <v>745.99010554089705</v>
      </c>
      <c r="V47" s="231">
        <f t="shared" si="78"/>
        <v>745.31675461741418</v>
      </c>
      <c r="W47" s="231">
        <f t="shared" si="78"/>
        <v>745.40092348284963</v>
      </c>
      <c r="X47" s="231">
        <f t="shared" si="78"/>
        <v>745.94802110817932</v>
      </c>
      <c r="Y47" s="231">
        <f t="shared" si="78"/>
        <v>745.69551451187328</v>
      </c>
    </row>
    <row r="48" spans="2:35" x14ac:dyDescent="0.3">
      <c r="B48" s="49" t="s">
        <v>67</v>
      </c>
      <c r="I48" s="10">
        <v>564</v>
      </c>
      <c r="J48">
        <v>129</v>
      </c>
      <c r="K48">
        <v>474</v>
      </c>
    </row>
    <row r="49" spans="2:26" x14ac:dyDescent="0.3">
      <c r="B49" s="49" t="s">
        <v>68</v>
      </c>
      <c r="I49" s="10">
        <v>386</v>
      </c>
      <c r="J49">
        <v>756</v>
      </c>
      <c r="K49" s="18">
        <v>417</v>
      </c>
      <c r="L49" s="18">
        <v>552</v>
      </c>
      <c r="M49" s="18">
        <v>326</v>
      </c>
      <c r="N49" s="18">
        <v>426</v>
      </c>
      <c r="O49" s="18">
        <v>264</v>
      </c>
      <c r="P49" s="18">
        <v>196</v>
      </c>
      <c r="Q49" s="18">
        <v>176</v>
      </c>
      <c r="R49" s="18">
        <v>72</v>
      </c>
      <c r="S49" s="18">
        <f>ROUND(AVERAGE(O49:R49),0)</f>
        <v>177</v>
      </c>
      <c r="T49" s="18">
        <f t="shared" ref="T49:Y49" si="79">S49*(1+T57)</f>
        <v>177</v>
      </c>
      <c r="U49" s="18">
        <f t="shared" si="79"/>
        <v>182.54584432717678</v>
      </c>
      <c r="V49" s="18">
        <f t="shared" si="79"/>
        <v>182.359036939314</v>
      </c>
      <c r="W49" s="18">
        <f t="shared" si="79"/>
        <v>182.38238786279686</v>
      </c>
      <c r="X49" s="18">
        <f t="shared" si="79"/>
        <v>182.53416886543533</v>
      </c>
      <c r="Y49" s="18">
        <f t="shared" si="79"/>
        <v>182.46411609498679</v>
      </c>
    </row>
    <row r="50" spans="2:26" x14ac:dyDescent="0.3">
      <c r="B50" s="49" t="s">
        <v>280</v>
      </c>
      <c r="C50" s="259" t="s">
        <v>120</v>
      </c>
      <c r="I50" s="10"/>
      <c r="J50">
        <v>4</v>
      </c>
      <c r="K50" s="18">
        <v>231</v>
      </c>
      <c r="L50" s="18">
        <v>83</v>
      </c>
      <c r="M50" s="18">
        <v>363</v>
      </c>
      <c r="N50" s="18">
        <v>351</v>
      </c>
      <c r="O50" s="18">
        <v>379</v>
      </c>
      <c r="P50" s="18">
        <v>254</v>
      </c>
      <c r="Q50" s="18">
        <v>523</v>
      </c>
      <c r="R50" s="18">
        <v>334</v>
      </c>
      <c r="S50" s="18">
        <f>ROUND(AVERAGE(O50:R50),0)</f>
        <v>373</v>
      </c>
      <c r="T50" s="18">
        <f>$S50</f>
        <v>373</v>
      </c>
      <c r="U50" s="18">
        <f t="shared" ref="U50:Y50" si="80">$S50</f>
        <v>373</v>
      </c>
      <c r="V50" s="18">
        <f t="shared" si="80"/>
        <v>373</v>
      </c>
      <c r="W50" s="18">
        <f t="shared" si="80"/>
        <v>373</v>
      </c>
      <c r="X50" s="18">
        <f t="shared" si="80"/>
        <v>373</v>
      </c>
      <c r="Y50" s="18">
        <f t="shared" si="80"/>
        <v>373</v>
      </c>
    </row>
    <row r="51" spans="2:26" ht="15.3" thickBot="1" x14ac:dyDescent="0.35">
      <c r="B51" s="49" t="s">
        <v>107</v>
      </c>
      <c r="H51" s="230">
        <f>SUM(H48:H49)</f>
        <v>0</v>
      </c>
      <c r="I51" s="231">
        <f t="shared" ref="I51:M51" si="81">SUM(I48:I50)</f>
        <v>950</v>
      </c>
      <c r="J51" s="231">
        <f t="shared" si="81"/>
        <v>889</v>
      </c>
      <c r="K51" s="231">
        <f t="shared" si="81"/>
        <v>1122</v>
      </c>
      <c r="L51" s="231">
        <f t="shared" si="81"/>
        <v>635</v>
      </c>
      <c r="M51" s="231">
        <f t="shared" si="81"/>
        <v>689</v>
      </c>
      <c r="N51" s="231">
        <f>SUM(N48:N50)</f>
        <v>777</v>
      </c>
      <c r="O51" s="231">
        <f t="shared" ref="O51:Y51" si="82">SUM(O48:O50)</f>
        <v>643</v>
      </c>
      <c r="P51" s="231">
        <f t="shared" si="82"/>
        <v>450</v>
      </c>
      <c r="Q51" s="231">
        <f t="shared" si="82"/>
        <v>699</v>
      </c>
      <c r="R51" s="231">
        <f t="shared" si="82"/>
        <v>406</v>
      </c>
      <c r="S51" s="231">
        <f t="shared" si="82"/>
        <v>550</v>
      </c>
      <c r="T51" s="231">
        <f t="shared" si="82"/>
        <v>550</v>
      </c>
      <c r="U51" s="231">
        <f t="shared" si="82"/>
        <v>555.54584432717684</v>
      </c>
      <c r="V51" s="231">
        <f t="shared" si="82"/>
        <v>555.35903693931402</v>
      </c>
      <c r="W51" s="231">
        <f t="shared" si="82"/>
        <v>555.3823878627968</v>
      </c>
      <c r="X51" s="231">
        <f t="shared" si="82"/>
        <v>555.53416886543528</v>
      </c>
      <c r="Y51" s="231">
        <f t="shared" si="82"/>
        <v>555.46411609498682</v>
      </c>
    </row>
    <row r="53" spans="2:26" x14ac:dyDescent="0.3">
      <c r="B53" t="s">
        <v>368</v>
      </c>
      <c r="H53" s="10">
        <v>4</v>
      </c>
      <c r="I53" s="10">
        <v>2</v>
      </c>
      <c r="J53" s="10">
        <v>1</v>
      </c>
      <c r="K53">
        <v>0</v>
      </c>
      <c r="L53">
        <v>0</v>
      </c>
      <c r="M53">
        <v>0</v>
      </c>
      <c r="N53">
        <v>1</v>
      </c>
      <c r="O53">
        <v>1</v>
      </c>
      <c r="P53">
        <v>0</v>
      </c>
      <c r="Q53">
        <v>2</v>
      </c>
      <c r="R53">
        <v>0</v>
      </c>
      <c r="S53" s="18">
        <f>30/4</f>
        <v>7.5</v>
      </c>
      <c r="T53" s="18">
        <f t="shared" ref="T53:V53" si="83">30/4</f>
        <v>7.5</v>
      </c>
      <c r="U53" s="18">
        <f t="shared" si="83"/>
        <v>7.5</v>
      </c>
      <c r="V53" s="18">
        <f t="shared" si="83"/>
        <v>7.5</v>
      </c>
      <c r="W53">
        <v>0</v>
      </c>
      <c r="X53">
        <v>0</v>
      </c>
      <c r="Y53">
        <v>0</v>
      </c>
    </row>
    <row r="54" spans="2:26" x14ac:dyDescent="0.3">
      <c r="B54" t="s">
        <v>238</v>
      </c>
      <c r="P54">
        <v>0</v>
      </c>
      <c r="Q54">
        <v>1</v>
      </c>
      <c r="R54">
        <v>1</v>
      </c>
      <c r="S54">
        <v>1</v>
      </c>
      <c r="T54">
        <v>2</v>
      </c>
      <c r="U54">
        <v>2</v>
      </c>
      <c r="V54">
        <v>4</v>
      </c>
      <c r="W54">
        <v>2</v>
      </c>
      <c r="X54">
        <v>1</v>
      </c>
      <c r="Y54">
        <v>1</v>
      </c>
    </row>
    <row r="56" spans="2:26" x14ac:dyDescent="0.3">
      <c r="Z56" s="3"/>
    </row>
    <row r="57" spans="2:26" x14ac:dyDescent="0.3">
      <c r="B57" t="s">
        <v>409</v>
      </c>
      <c r="K57" s="12"/>
      <c r="L57" s="12"/>
      <c r="M57" s="12"/>
      <c r="N57" s="12"/>
      <c r="O57" s="12"/>
      <c r="P57" s="12"/>
      <c r="Q57" s="12"/>
      <c r="R57" s="12"/>
      <c r="S57" s="12"/>
      <c r="T57" s="12">
        <v>0</v>
      </c>
      <c r="U57" s="12">
        <v>3.1332453825857476E-2</v>
      </c>
      <c r="V57" s="12">
        <v>-1.0233450591621285E-3</v>
      </c>
      <c r="W57" s="12">
        <v>1.2804917088171663E-4</v>
      </c>
      <c r="X57" s="12">
        <v>8.3221304653968708E-4</v>
      </c>
      <c r="Y57" s="12">
        <v>-3.8377894332852769E-4</v>
      </c>
      <c r="Z57" s="298"/>
    </row>
    <row r="58" spans="2:26" x14ac:dyDescent="0.3">
      <c r="B58" t="s">
        <v>410</v>
      </c>
      <c r="K58" s="12"/>
      <c r="L58" s="12"/>
      <c r="M58" s="12"/>
      <c r="N58" s="12"/>
      <c r="O58" s="12"/>
      <c r="P58" s="12"/>
      <c r="Q58" s="12"/>
      <c r="R58" s="12"/>
      <c r="S58" s="12"/>
      <c r="T58" s="12">
        <v>0</v>
      </c>
      <c r="U58" s="12">
        <v>0</v>
      </c>
      <c r="V58" s="12">
        <v>0</v>
      </c>
      <c r="W58" s="12">
        <v>0</v>
      </c>
      <c r="X58" s="12">
        <v>0</v>
      </c>
      <c r="Y58" s="12">
        <v>0</v>
      </c>
      <c r="Z58" s="298"/>
    </row>
    <row r="60" spans="2:26" x14ac:dyDescent="0.3">
      <c r="S60" s="116"/>
      <c r="T60" s="116"/>
      <c r="U60" s="116"/>
      <c r="V60" s="116"/>
      <c r="W60" s="116"/>
      <c r="X60" s="116"/>
      <c r="Y60" s="116"/>
    </row>
    <row r="61" spans="2:26" x14ac:dyDescent="0.3">
      <c r="L61" s="11"/>
      <c r="M61" s="11"/>
      <c r="N61" s="11"/>
      <c r="O61" s="11"/>
      <c r="P61" s="11"/>
      <c r="Q61" s="11"/>
      <c r="R61" s="11"/>
      <c r="S61" s="11"/>
      <c r="T61" s="11"/>
      <c r="U61" s="11"/>
      <c r="V61" s="11"/>
      <c r="W61" s="11"/>
      <c r="X61" s="11"/>
      <c r="Y61" s="11"/>
    </row>
    <row r="62" spans="2:26" x14ac:dyDescent="0.3">
      <c r="R62" s="11"/>
      <c r="S62" s="10"/>
      <c r="T62" s="10"/>
      <c r="U62" s="10"/>
      <c r="V62" s="10"/>
      <c r="W62" s="10"/>
      <c r="X62" s="10"/>
      <c r="Y62" s="10"/>
    </row>
    <row r="64" spans="2:26" x14ac:dyDescent="0.3">
      <c r="T64" s="17"/>
      <c r="Z64" s="17"/>
    </row>
    <row r="65" spans="26:26" x14ac:dyDescent="0.3">
      <c r="Z65" s="298"/>
    </row>
  </sheetData>
  <autoFilter ref="B8:Y51" xr:uid="{00000000-0001-0000-0600-000000000000}"/>
  <hyperlinks>
    <hyperlink ref="B3" location="Contents!A1" display="Table of Contents" xr:uid="{00000000-0004-0000-0600-000000000000}"/>
  </hyperlinks>
  <pageMargins left="0.25" right="0.25" top="0.75" bottom="0.75" header="0.3" footer="0.3"/>
  <pageSetup paperSize="9" scale="50" orientation="landscape" r:id="rId1"/>
  <headerFooter>
    <oddFooter>&amp;C_x000D_&amp;1#&amp;"Century Gothic"&amp;7&amp;K7F7F7F BUSINESS USE ONLY</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74AF6-CB0D-42EE-ADF9-F206F29C6836}">
  <sheetPr>
    <tabColor theme="8" tint="-0.249977111117893"/>
  </sheetPr>
  <dimension ref="C3:C4"/>
  <sheetViews>
    <sheetView workbookViewId="0">
      <selection activeCell="C4" sqref="C4"/>
    </sheetView>
  </sheetViews>
  <sheetFormatPr defaultColWidth="9.109375" defaultRowHeight="14.65" x14ac:dyDescent="0.3"/>
  <cols>
    <col min="1" max="16384" width="9.109375" style="26"/>
  </cols>
  <sheetData>
    <row r="3" spans="3:3" ht="18.5" x14ac:dyDescent="0.35">
      <c r="C3" s="27" t="s">
        <v>442</v>
      </c>
    </row>
    <row r="4" spans="3:3" x14ac:dyDescent="0.3">
      <c r="C4" s="41" t="s">
        <v>54</v>
      </c>
    </row>
  </sheetData>
  <hyperlinks>
    <hyperlink ref="C4" location="Contents!A1" display="Table of Contents" xr:uid="{3B63717D-8D3C-4D00-BC63-F2683831F994}"/>
  </hyperlinks>
  <pageMargins left="0.7" right="0.7" top="0.75" bottom="0.75" header="0.3" footer="0.3"/>
  <headerFooter>
    <oddFooter>&amp;C_x000D_&amp;1#&amp;"Century Gothic"&amp;7&amp;K7F7F7F BUSINESS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67"/>
  <sheetViews>
    <sheetView zoomScale="85" zoomScaleNormal="85" workbookViewId="0">
      <pane xSplit="2" topLeftCell="C1" activePane="topRight" state="frozen"/>
      <selection activeCell="AC23" sqref="AC23"/>
      <selection pane="topRight" activeCell="B23" sqref="B23"/>
    </sheetView>
  </sheetViews>
  <sheetFormatPr defaultRowHeight="14.65" outlineLevelCol="1" x14ac:dyDescent="0.3"/>
  <cols>
    <col min="1" max="1" width="7.21875" customWidth="1"/>
    <col min="2" max="2" width="46" customWidth="1"/>
    <col min="3" max="4" width="10.6640625" customWidth="1" outlineLevel="1"/>
    <col min="5" max="7" width="7.5546875" bestFit="1" customWidth="1"/>
    <col min="8" max="9" width="8.5546875" bestFit="1" customWidth="1"/>
    <col min="10" max="12" width="7.5546875" bestFit="1" customWidth="1"/>
    <col min="13" max="14" width="8.5546875" bestFit="1" customWidth="1"/>
    <col min="15" max="15" width="20.21875" customWidth="1"/>
    <col min="21" max="21" width="10.5546875" customWidth="1"/>
    <col min="22" max="22" width="11.33203125" bestFit="1" customWidth="1"/>
  </cols>
  <sheetData>
    <row r="1" spans="1:15" x14ac:dyDescent="0.3">
      <c r="I1" s="523" t="s">
        <v>180</v>
      </c>
      <c r="J1" s="523"/>
    </row>
    <row r="2" spans="1:15" ht="18.5" x14ac:dyDescent="0.35">
      <c r="B2" s="39" t="s">
        <v>358</v>
      </c>
    </row>
    <row r="3" spans="1:15" x14ac:dyDescent="0.3">
      <c r="B3" s="40" t="s">
        <v>54</v>
      </c>
      <c r="J3" s="7"/>
      <c r="K3" s="7"/>
      <c r="L3" s="7"/>
      <c r="M3" s="7"/>
      <c r="N3" s="7"/>
    </row>
    <row r="4" spans="1:15" x14ac:dyDescent="0.3">
      <c r="B4" s="40"/>
      <c r="J4" s="7"/>
      <c r="K4" s="7"/>
      <c r="L4" s="7"/>
      <c r="M4" s="7"/>
      <c r="N4" s="7"/>
    </row>
    <row r="5" spans="1:15" x14ac:dyDescent="0.3">
      <c r="B5" t="s">
        <v>108</v>
      </c>
      <c r="C5" s="3">
        <v>2015</v>
      </c>
      <c r="D5" s="3">
        <v>2015</v>
      </c>
      <c r="E5" s="3">
        <v>2015</v>
      </c>
      <c r="F5" s="3">
        <v>2016</v>
      </c>
      <c r="G5" s="3">
        <v>2017</v>
      </c>
      <c r="H5" s="3">
        <v>2018</v>
      </c>
      <c r="I5" s="3">
        <v>2019</v>
      </c>
      <c r="J5" s="3">
        <v>2020</v>
      </c>
      <c r="K5" s="3" t="s">
        <v>127</v>
      </c>
      <c r="L5" s="3" t="s">
        <v>163</v>
      </c>
      <c r="M5" s="3" t="s">
        <v>162</v>
      </c>
      <c r="N5" s="3" t="s">
        <v>161</v>
      </c>
    </row>
    <row r="6" spans="1:15" x14ac:dyDescent="0.3">
      <c r="B6" s="20" t="s">
        <v>464</v>
      </c>
      <c r="C6" s="7" t="s">
        <v>76</v>
      </c>
      <c r="D6" s="7" t="s">
        <v>77</v>
      </c>
      <c r="E6" s="7" t="s">
        <v>2</v>
      </c>
      <c r="F6" s="7" t="s">
        <v>2</v>
      </c>
      <c r="G6" s="7" t="s">
        <v>2</v>
      </c>
      <c r="H6" s="7" t="s">
        <v>2</v>
      </c>
      <c r="I6" s="7" t="s">
        <v>2</v>
      </c>
      <c r="J6" s="7" t="s">
        <v>2</v>
      </c>
      <c r="K6" s="7" t="s">
        <v>2</v>
      </c>
      <c r="L6" s="7" t="s">
        <v>2</v>
      </c>
      <c r="M6" s="7" t="s">
        <v>2</v>
      </c>
      <c r="N6" s="7" t="s">
        <v>2</v>
      </c>
    </row>
    <row r="7" spans="1:15" x14ac:dyDescent="0.3">
      <c r="A7" s="7">
        <v>1012</v>
      </c>
      <c r="B7" t="s">
        <v>83</v>
      </c>
      <c r="C7" s="442"/>
      <c r="D7" s="442"/>
      <c r="E7" s="442"/>
      <c r="F7" s="442"/>
      <c r="G7" s="442"/>
      <c r="H7" s="442"/>
      <c r="I7" s="442"/>
      <c r="J7" s="442"/>
      <c r="K7" s="442"/>
      <c r="L7" s="442"/>
      <c r="M7" s="442"/>
      <c r="N7" s="442"/>
    </row>
    <row r="8" spans="1:15" x14ac:dyDescent="0.3">
      <c r="A8" s="7">
        <v>1013</v>
      </c>
      <c r="B8" t="s">
        <v>84</v>
      </c>
      <c r="C8" s="442"/>
      <c r="D8" s="442"/>
      <c r="E8" s="442"/>
      <c r="F8" s="442"/>
      <c r="G8" s="442"/>
      <c r="H8" s="442"/>
      <c r="I8" s="442"/>
      <c r="J8" s="442"/>
      <c r="K8" s="442"/>
      <c r="L8" s="442"/>
      <c r="M8" s="442"/>
      <c r="N8" s="442"/>
    </row>
    <row r="9" spans="1:15" x14ac:dyDescent="0.3">
      <c r="A9" s="7">
        <v>1014</v>
      </c>
      <c r="B9" t="s">
        <v>85</v>
      </c>
      <c r="C9" s="442"/>
      <c r="D9" s="442"/>
      <c r="E9" s="442"/>
      <c r="F9" s="442"/>
      <c r="G9" s="442"/>
      <c r="H9" s="442"/>
      <c r="I9" s="442"/>
      <c r="J9" s="442"/>
      <c r="K9" s="442"/>
      <c r="L9" s="442"/>
      <c r="M9" s="442"/>
      <c r="N9" s="442"/>
    </row>
    <row r="10" spans="1:15" x14ac:dyDescent="0.3">
      <c r="A10" s="7">
        <v>1018</v>
      </c>
      <c r="B10" t="s">
        <v>86</v>
      </c>
      <c r="C10" s="442"/>
      <c r="D10" s="442"/>
      <c r="E10" s="442"/>
      <c r="F10" s="442"/>
      <c r="G10" s="442"/>
      <c r="H10" s="442"/>
      <c r="I10" s="442"/>
      <c r="J10" s="442"/>
      <c r="K10" s="442"/>
      <c r="L10" s="442"/>
      <c r="M10" s="442"/>
      <c r="N10" s="442"/>
    </row>
    <row r="11" spans="1:15" x14ac:dyDescent="0.3">
      <c r="A11" s="7">
        <v>1019</v>
      </c>
      <c r="B11" s="24" t="s">
        <v>78</v>
      </c>
      <c r="C11" s="442"/>
      <c r="D11" s="442"/>
      <c r="E11" s="442"/>
      <c r="F11" s="442"/>
      <c r="G11" s="442"/>
      <c r="H11" s="442"/>
      <c r="I11" s="442"/>
      <c r="J11" s="442"/>
      <c r="K11" s="442"/>
      <c r="L11" s="442"/>
      <c r="M11" s="442"/>
      <c r="N11" s="442"/>
    </row>
    <row r="12" spans="1:15" x14ac:dyDescent="0.3">
      <c r="A12" s="7">
        <v>1015</v>
      </c>
      <c r="B12" t="s">
        <v>335</v>
      </c>
      <c r="C12" s="442"/>
      <c r="D12" s="442"/>
      <c r="E12" s="442"/>
      <c r="F12" s="442"/>
      <c r="G12" s="442"/>
      <c r="H12" s="442"/>
      <c r="I12" s="442"/>
      <c r="J12" s="442"/>
      <c r="K12" s="442"/>
      <c r="L12" s="442"/>
      <c r="M12" s="442"/>
      <c r="N12" s="442"/>
    </row>
    <row r="13" spans="1:15" x14ac:dyDescent="0.3">
      <c r="A13" s="7">
        <v>1016</v>
      </c>
      <c r="B13" t="s">
        <v>88</v>
      </c>
      <c r="C13" s="442"/>
      <c r="D13" s="442"/>
      <c r="E13" s="442"/>
      <c r="F13" s="442"/>
      <c r="G13" s="442"/>
      <c r="H13" s="442"/>
      <c r="I13" s="442"/>
      <c r="J13" s="442"/>
      <c r="K13" s="442"/>
      <c r="L13" s="442"/>
      <c r="M13" s="442"/>
      <c r="N13" s="442"/>
    </row>
    <row r="14" spans="1:15" x14ac:dyDescent="0.3">
      <c r="A14" s="7">
        <v>1048</v>
      </c>
      <c r="B14" t="s">
        <v>236</v>
      </c>
      <c r="C14" s="442"/>
      <c r="D14" s="442"/>
      <c r="E14" s="442"/>
      <c r="F14" s="442"/>
      <c r="G14" s="442"/>
      <c r="H14" s="442"/>
      <c r="I14" s="442"/>
      <c r="J14" s="442"/>
      <c r="K14" s="442"/>
      <c r="L14" s="442"/>
      <c r="M14" s="442"/>
      <c r="N14" s="442"/>
    </row>
    <row r="15" spans="1:15" ht="15.3" thickBot="1" x14ac:dyDescent="0.35">
      <c r="A15" s="7"/>
      <c r="B15" s="1" t="s">
        <v>2</v>
      </c>
      <c r="C15" s="471"/>
      <c r="D15" s="471"/>
      <c r="E15" s="471"/>
      <c r="F15" s="471"/>
      <c r="G15" s="471"/>
      <c r="H15" s="471"/>
      <c r="I15" s="471"/>
      <c r="J15" s="471"/>
      <c r="K15" s="471"/>
      <c r="L15" s="471"/>
      <c r="M15" s="471"/>
      <c r="N15" s="471"/>
    </row>
    <row r="16" spans="1:15" x14ac:dyDescent="0.3">
      <c r="A16" s="7">
        <v>1047</v>
      </c>
      <c r="B16" t="s">
        <v>260</v>
      </c>
      <c r="C16" s="442"/>
      <c r="D16" s="442"/>
      <c r="E16" s="442"/>
      <c r="F16" s="442"/>
      <c r="G16" s="442"/>
      <c r="H16" s="442"/>
      <c r="I16" s="442"/>
      <c r="J16" s="442"/>
      <c r="K16" s="442"/>
      <c r="L16" s="442"/>
      <c r="M16" s="442"/>
      <c r="N16" s="442"/>
      <c r="O16" s="24"/>
    </row>
    <row r="17" spans="1:21" x14ac:dyDescent="0.3">
      <c r="A17" s="7"/>
      <c r="C17" s="74"/>
      <c r="D17" s="74"/>
      <c r="E17" s="74"/>
      <c r="F17" s="74"/>
      <c r="G17" s="74"/>
      <c r="H17" s="74"/>
      <c r="I17" s="74"/>
      <c r="J17" s="74"/>
      <c r="K17" s="74"/>
      <c r="L17" s="74"/>
      <c r="M17" s="74"/>
      <c r="N17" s="74"/>
    </row>
    <row r="18" spans="1:21" x14ac:dyDescent="0.3">
      <c r="A18" s="7"/>
      <c r="B18" s="20" t="s">
        <v>465</v>
      </c>
      <c r="C18" s="3" t="s">
        <v>338</v>
      </c>
      <c r="D18" s="3" t="s">
        <v>339</v>
      </c>
      <c r="E18" s="3">
        <f>E$5</f>
        <v>2015</v>
      </c>
      <c r="F18" s="3">
        <f t="shared" ref="F18:N18" si="0">F$5</f>
        <v>2016</v>
      </c>
      <c r="G18" s="3">
        <f t="shared" si="0"/>
        <v>2017</v>
      </c>
      <c r="H18" s="3">
        <f t="shared" si="0"/>
        <v>2018</v>
      </c>
      <c r="I18" s="3">
        <f t="shared" si="0"/>
        <v>2019</v>
      </c>
      <c r="J18" s="3">
        <f t="shared" si="0"/>
        <v>2020</v>
      </c>
      <c r="K18" s="3" t="s">
        <v>127</v>
      </c>
      <c r="L18" s="3" t="str">
        <f t="shared" si="0"/>
        <v>2021-22</v>
      </c>
      <c r="M18" s="3" t="str">
        <f t="shared" si="0"/>
        <v>2022-23</v>
      </c>
      <c r="N18" s="3" t="str">
        <f t="shared" si="0"/>
        <v>2023-24</v>
      </c>
    </row>
    <row r="19" spans="1:21" x14ac:dyDescent="0.3">
      <c r="A19" s="7">
        <v>1012</v>
      </c>
      <c r="B19" t="s">
        <v>83</v>
      </c>
      <c r="C19" s="441"/>
      <c r="D19" s="442"/>
      <c r="E19" s="442"/>
      <c r="F19" s="441"/>
      <c r="G19" s="441"/>
      <c r="H19" s="441"/>
      <c r="I19" s="441"/>
      <c r="J19" s="441"/>
      <c r="K19" s="441"/>
      <c r="L19" s="441"/>
      <c r="M19" s="441"/>
      <c r="N19" s="441"/>
      <c r="O19" t="s">
        <v>118</v>
      </c>
      <c r="P19" s="14"/>
    </row>
    <row r="20" spans="1:21" x14ac:dyDescent="0.3">
      <c r="A20" s="7">
        <v>1013</v>
      </c>
      <c r="B20" t="s">
        <v>84</v>
      </c>
      <c r="C20" s="441"/>
      <c r="D20" s="442"/>
      <c r="E20" s="442"/>
      <c r="F20" s="441"/>
      <c r="G20" s="441"/>
      <c r="H20" s="441"/>
      <c r="I20" s="441"/>
      <c r="J20" s="441"/>
      <c r="K20" s="441"/>
      <c r="L20" s="441"/>
      <c r="M20" s="441"/>
      <c r="N20" s="441"/>
      <c r="O20" t="s">
        <v>118</v>
      </c>
      <c r="P20" s="14"/>
    </row>
    <row r="21" spans="1:21" x14ac:dyDescent="0.3">
      <c r="A21" s="7">
        <v>1014</v>
      </c>
      <c r="B21" t="s">
        <v>85</v>
      </c>
      <c r="C21" s="441"/>
      <c r="D21" s="442"/>
      <c r="E21" s="442"/>
      <c r="F21" s="441"/>
      <c r="G21" s="441"/>
      <c r="H21" s="441"/>
      <c r="I21" s="441"/>
      <c r="J21" s="441"/>
      <c r="K21" s="441"/>
      <c r="L21" s="441"/>
      <c r="M21" s="441"/>
      <c r="N21" s="441"/>
      <c r="O21" t="s">
        <v>118</v>
      </c>
      <c r="P21" s="14"/>
    </row>
    <row r="22" spans="1:21" x14ac:dyDescent="0.3">
      <c r="A22" s="7">
        <v>1018</v>
      </c>
      <c r="B22" t="s">
        <v>86</v>
      </c>
      <c r="C22" s="441"/>
      <c r="D22" s="442"/>
      <c r="E22" s="442"/>
      <c r="F22" s="441"/>
      <c r="G22" s="441"/>
      <c r="H22" s="441"/>
      <c r="I22" s="441"/>
      <c r="J22" s="441"/>
      <c r="K22" s="441"/>
      <c r="L22" s="441"/>
      <c r="M22" s="441"/>
      <c r="N22" s="441"/>
      <c r="O22" t="s">
        <v>118</v>
      </c>
      <c r="P22" s="14"/>
    </row>
    <row r="23" spans="1:21" x14ac:dyDescent="0.3">
      <c r="A23" s="7">
        <v>1019</v>
      </c>
      <c r="B23" s="24" t="s">
        <v>78</v>
      </c>
      <c r="C23" s="441"/>
      <c r="D23" s="442"/>
      <c r="E23" s="442"/>
      <c r="F23" s="441"/>
      <c r="G23" s="441"/>
      <c r="H23" s="441"/>
      <c r="I23" s="441"/>
      <c r="J23" s="441"/>
      <c r="K23" s="441"/>
      <c r="L23" s="441"/>
      <c r="M23" s="441"/>
      <c r="N23" s="441"/>
      <c r="O23" t="s">
        <v>118</v>
      </c>
      <c r="P23" s="14"/>
    </row>
    <row r="24" spans="1:21" x14ac:dyDescent="0.3">
      <c r="A24" s="7">
        <v>1015</v>
      </c>
      <c r="B24" t="s">
        <v>335</v>
      </c>
      <c r="C24" s="441"/>
      <c r="D24" s="442"/>
      <c r="E24" s="442"/>
      <c r="F24" s="441"/>
      <c r="G24" s="441"/>
      <c r="H24" s="441"/>
      <c r="I24" s="441"/>
      <c r="J24" s="441"/>
      <c r="K24" s="441"/>
      <c r="L24" s="441"/>
      <c r="M24" s="441"/>
      <c r="N24" s="441"/>
      <c r="O24" t="s">
        <v>118</v>
      </c>
      <c r="P24" s="14"/>
    </row>
    <row r="25" spans="1:21" x14ac:dyDescent="0.3">
      <c r="A25" s="7">
        <v>1016</v>
      </c>
      <c r="B25" t="s">
        <v>88</v>
      </c>
      <c r="C25" s="441"/>
      <c r="D25" s="442"/>
      <c r="E25" s="442"/>
      <c r="F25" s="441"/>
      <c r="G25" s="441"/>
      <c r="H25" s="441"/>
      <c r="I25" s="441"/>
      <c r="J25" s="441"/>
      <c r="K25" s="441"/>
      <c r="L25" s="441"/>
      <c r="M25" s="441"/>
      <c r="N25" s="441"/>
      <c r="O25" t="s">
        <v>118</v>
      </c>
      <c r="P25" s="14"/>
    </row>
    <row r="26" spans="1:21" x14ac:dyDescent="0.3">
      <c r="A26" s="7">
        <v>1048</v>
      </c>
      <c r="B26" t="s">
        <v>236</v>
      </c>
      <c r="C26" s="441"/>
      <c r="D26" s="442"/>
      <c r="E26" s="442"/>
      <c r="F26" s="441"/>
      <c r="G26" s="441"/>
      <c r="H26" s="441"/>
      <c r="I26" s="441"/>
      <c r="J26" s="441"/>
      <c r="K26" s="441"/>
      <c r="L26" s="441"/>
      <c r="M26" s="441"/>
      <c r="N26" s="472"/>
      <c r="O26" t="s">
        <v>118</v>
      </c>
    </row>
    <row r="27" spans="1:21" ht="15.3" thickBot="1" x14ac:dyDescent="0.35">
      <c r="A27" s="7"/>
      <c r="B27" s="1" t="s">
        <v>2</v>
      </c>
      <c r="C27" s="471"/>
      <c r="D27" s="471"/>
      <c r="E27" s="471"/>
      <c r="F27" s="471"/>
      <c r="G27" s="471"/>
      <c r="H27" s="471"/>
      <c r="I27" s="471"/>
      <c r="J27" s="471"/>
      <c r="K27" s="471"/>
      <c r="L27" s="471"/>
      <c r="M27" s="471"/>
      <c r="N27" s="471"/>
      <c r="O27" t="s">
        <v>118</v>
      </c>
    </row>
    <row r="28" spans="1:21" x14ac:dyDescent="0.3">
      <c r="A28" s="7">
        <v>1047</v>
      </c>
      <c r="B28" t="s">
        <v>260</v>
      </c>
      <c r="C28" s="442"/>
      <c r="D28" s="442"/>
      <c r="E28" s="442"/>
      <c r="F28" s="442"/>
      <c r="G28" s="442"/>
      <c r="H28" s="442"/>
      <c r="I28" s="442"/>
      <c r="J28" s="442"/>
      <c r="K28" s="442"/>
      <c r="L28" s="442"/>
      <c r="M28" s="442"/>
      <c r="N28" s="442"/>
      <c r="O28" t="s">
        <v>118</v>
      </c>
      <c r="R28" s="166"/>
      <c r="S28" s="166"/>
      <c r="T28" s="166"/>
      <c r="U28" s="11"/>
    </row>
    <row r="29" spans="1:21" x14ac:dyDescent="0.3">
      <c r="A29" s="7"/>
      <c r="C29" s="74"/>
      <c r="D29" s="74"/>
      <c r="E29" s="74"/>
      <c r="F29" s="74"/>
      <c r="G29" s="74"/>
      <c r="H29" s="74"/>
      <c r="I29" s="74"/>
      <c r="J29" s="74"/>
      <c r="K29" s="74"/>
      <c r="L29" s="74"/>
      <c r="M29" s="74"/>
      <c r="N29" s="74"/>
      <c r="R29" s="166"/>
      <c r="S29" s="166"/>
      <c r="T29" s="166"/>
      <c r="U29" s="11"/>
    </row>
    <row r="30" spans="1:21" x14ac:dyDescent="0.3">
      <c r="A30" s="7"/>
      <c r="B30" s="20" t="s">
        <v>466</v>
      </c>
      <c r="C30" s="3" t="s">
        <v>338</v>
      </c>
      <c r="D30" s="3" t="s">
        <v>339</v>
      </c>
      <c r="E30" s="3">
        <f>E$5</f>
        <v>2015</v>
      </c>
      <c r="F30" s="3">
        <f t="shared" ref="F30:N30" si="1">F$5</f>
        <v>2016</v>
      </c>
      <c r="G30" s="3">
        <f t="shared" si="1"/>
        <v>2017</v>
      </c>
      <c r="H30" s="3">
        <f t="shared" si="1"/>
        <v>2018</v>
      </c>
      <c r="I30" s="3">
        <f t="shared" si="1"/>
        <v>2019</v>
      </c>
      <c r="J30" s="3">
        <f t="shared" si="1"/>
        <v>2020</v>
      </c>
      <c r="K30" s="3" t="s">
        <v>127</v>
      </c>
      <c r="L30" s="3" t="str">
        <f t="shared" si="1"/>
        <v>2021-22</v>
      </c>
      <c r="M30" s="3" t="str">
        <f t="shared" si="1"/>
        <v>2022-23</v>
      </c>
      <c r="N30" s="3" t="str">
        <f t="shared" si="1"/>
        <v>2023-24</v>
      </c>
    </row>
    <row r="31" spans="1:21" x14ac:dyDescent="0.3">
      <c r="A31" s="7">
        <v>1012</v>
      </c>
      <c r="B31" t="s">
        <v>83</v>
      </c>
      <c r="C31" s="74">
        <v>5286.2036900000021</v>
      </c>
      <c r="D31" s="74">
        <v>7127.7134000000024</v>
      </c>
      <c r="E31" s="74">
        <v>12413.917090000004</v>
      </c>
      <c r="F31" s="99">
        <v>27424.690842015596</v>
      </c>
      <c r="G31" s="99">
        <v>22125.920894607705</v>
      </c>
      <c r="H31" s="99">
        <v>39195.811750000001</v>
      </c>
      <c r="I31" s="99">
        <v>48740.423960000007</v>
      </c>
      <c r="J31" s="99">
        <v>38790.077370000006</v>
      </c>
      <c r="K31" s="99">
        <v>38743.080010000005</v>
      </c>
      <c r="L31" s="99">
        <v>34087.615819999999</v>
      </c>
      <c r="M31" s="99">
        <v>44988.29303999999</v>
      </c>
      <c r="N31" s="99">
        <v>55556.544150000009</v>
      </c>
    </row>
    <row r="32" spans="1:21" x14ac:dyDescent="0.3">
      <c r="A32" s="7">
        <v>1013</v>
      </c>
      <c r="B32" t="s">
        <v>84</v>
      </c>
      <c r="C32" s="74">
        <v>3483.2379299999993</v>
      </c>
      <c r="D32" s="74">
        <v>5541.0088499999993</v>
      </c>
      <c r="E32" s="74">
        <v>9024.2467799999977</v>
      </c>
      <c r="F32" s="99">
        <v>11026.918443193479</v>
      </c>
      <c r="G32" s="99">
        <v>10303.302745382258</v>
      </c>
      <c r="H32" s="99">
        <v>11662.520239999998</v>
      </c>
      <c r="I32" s="99">
        <v>9843.1017899999933</v>
      </c>
      <c r="J32" s="99">
        <v>9659.5927300000076</v>
      </c>
      <c r="K32" s="99">
        <v>6074.8270499999999</v>
      </c>
      <c r="L32" s="99">
        <v>7436.8970199999994</v>
      </c>
      <c r="M32" s="99">
        <v>6864.4850699999988</v>
      </c>
      <c r="N32" s="99">
        <v>7719.7267900000006</v>
      </c>
    </row>
    <row r="33" spans="1:17" x14ac:dyDescent="0.3">
      <c r="A33" s="7">
        <v>1014</v>
      </c>
      <c r="B33" t="s">
        <v>85</v>
      </c>
      <c r="C33" s="74">
        <v>5192.42659</v>
      </c>
      <c r="D33" s="74">
        <v>9259.6196199999995</v>
      </c>
      <c r="E33" s="74">
        <v>14452.04621</v>
      </c>
      <c r="F33" s="99">
        <v>13561.935814521432</v>
      </c>
      <c r="G33" s="99">
        <v>19143.681197049449</v>
      </c>
      <c r="H33" s="99">
        <v>27575.948430000004</v>
      </c>
      <c r="I33" s="99">
        <v>32194.922419999995</v>
      </c>
      <c r="J33" s="99">
        <v>25183.795730000002</v>
      </c>
      <c r="K33" s="99">
        <v>28018.949430000001</v>
      </c>
      <c r="L33" s="99">
        <v>20434.403400000003</v>
      </c>
      <c r="M33" s="99">
        <v>35861.449800000009</v>
      </c>
      <c r="N33" s="99">
        <v>36944.382890000001</v>
      </c>
    </row>
    <row r="34" spans="1:17" x14ac:dyDescent="0.3">
      <c r="A34" s="7">
        <v>1018</v>
      </c>
      <c r="B34" t="s">
        <v>86</v>
      </c>
      <c r="C34" s="74">
        <v>5747.3549499999917</v>
      </c>
      <c r="D34" s="74">
        <v>331.40764000000013</v>
      </c>
      <c r="E34" s="74">
        <v>6078.7625899999921</v>
      </c>
      <c r="F34" s="99">
        <v>2825.6758471239596</v>
      </c>
      <c r="G34" s="99">
        <v>6159.880008597811</v>
      </c>
      <c r="H34" s="99">
        <v>7310.2184899999993</v>
      </c>
      <c r="I34" s="99">
        <v>7889.2887699999992</v>
      </c>
      <c r="J34" s="99">
        <v>6636.7625900000003</v>
      </c>
      <c r="K34" s="99">
        <v>7798.7848399999993</v>
      </c>
      <c r="L34" s="99">
        <v>9812.7232999999997</v>
      </c>
      <c r="M34" s="99">
        <v>8723.9271099999987</v>
      </c>
      <c r="N34" s="99">
        <v>7895.7670699999999</v>
      </c>
    </row>
    <row r="35" spans="1:17" x14ac:dyDescent="0.3">
      <c r="A35" s="7">
        <v>1019</v>
      </c>
      <c r="B35" s="24" t="s">
        <v>78</v>
      </c>
      <c r="C35" s="74">
        <v>0</v>
      </c>
      <c r="D35" s="74">
        <v>8365.6878253068444</v>
      </c>
      <c r="E35" s="74">
        <v>8365.6878253068444</v>
      </c>
      <c r="F35" s="99">
        <v>6681.6709663042202</v>
      </c>
      <c r="G35" s="99">
        <v>6583.498675170129</v>
      </c>
      <c r="H35" s="99">
        <v>4825.4054100000003</v>
      </c>
      <c r="I35" s="99">
        <v>5838.1483600000001</v>
      </c>
      <c r="J35" s="99">
        <v>5685.6688200000008</v>
      </c>
      <c r="K35" s="99">
        <v>4321.6626799999995</v>
      </c>
      <c r="L35" s="99">
        <v>3292.7727699999996</v>
      </c>
      <c r="M35" s="99">
        <v>6338.6652599999998</v>
      </c>
      <c r="N35" s="99">
        <v>5703.1810199999991</v>
      </c>
    </row>
    <row r="36" spans="1:17" x14ac:dyDescent="0.3">
      <c r="A36" s="7">
        <v>1015</v>
      </c>
      <c r="B36" t="s">
        <v>335</v>
      </c>
      <c r="C36" s="74">
        <v>2235.8541500000006</v>
      </c>
      <c r="D36" s="74">
        <v>18957.273880000004</v>
      </c>
      <c r="E36" s="74">
        <v>21193.128030000003</v>
      </c>
      <c r="F36" s="99">
        <v>386.06555692662835</v>
      </c>
      <c r="G36" s="99">
        <v>126.15343307337135</v>
      </c>
      <c r="H36" s="99">
        <v>128.63875000000002</v>
      </c>
      <c r="I36" s="99">
        <v>4467.4474200000004</v>
      </c>
      <c r="J36" s="99">
        <v>3308.1330000000003</v>
      </c>
      <c r="K36" s="99">
        <v>1767.3468400000002</v>
      </c>
      <c r="L36" s="99">
        <v>3755.2606318047401</v>
      </c>
      <c r="M36" s="99">
        <v>2018.9976081952595</v>
      </c>
      <c r="N36" s="99">
        <v>2445.5557300000005</v>
      </c>
    </row>
    <row r="37" spans="1:17" x14ac:dyDescent="0.3">
      <c r="A37" s="7">
        <v>1016</v>
      </c>
      <c r="B37" t="s">
        <v>88</v>
      </c>
      <c r="C37" s="74">
        <v>397.03699999999998</v>
      </c>
      <c r="D37" s="74">
        <v>528.57722999999999</v>
      </c>
      <c r="E37" s="74">
        <v>925.61422999999991</v>
      </c>
      <c r="F37" s="99">
        <v>1097.3445713851438</v>
      </c>
      <c r="G37" s="99">
        <v>560.9968786148562</v>
      </c>
      <c r="H37" s="99">
        <v>1004.78701</v>
      </c>
      <c r="I37" s="99">
        <v>778.02085999999997</v>
      </c>
      <c r="J37" s="99">
        <v>373.20270999999997</v>
      </c>
      <c r="K37" s="99">
        <v>289.16324999999995</v>
      </c>
      <c r="L37" s="99">
        <v>592.81180000000006</v>
      </c>
      <c r="M37" s="99">
        <v>430.08153000000004</v>
      </c>
      <c r="N37" s="99">
        <v>307.83842000000004</v>
      </c>
    </row>
    <row r="38" spans="1:17" x14ac:dyDescent="0.3">
      <c r="A38" s="7">
        <v>1048</v>
      </c>
      <c r="B38" t="s">
        <v>236</v>
      </c>
      <c r="C38" s="74"/>
      <c r="D38" s="74"/>
      <c r="E38" s="74"/>
      <c r="F38" s="99"/>
      <c r="G38" s="99"/>
      <c r="H38" s="99"/>
      <c r="I38" s="99"/>
      <c r="J38" s="99">
        <v>0</v>
      </c>
      <c r="K38" s="99">
        <v>0</v>
      </c>
      <c r="L38" s="99">
        <v>299.86367999999999</v>
      </c>
      <c r="M38" s="99">
        <v>1277.2551699999999</v>
      </c>
      <c r="N38" s="99">
        <v>1068.4159399999999</v>
      </c>
    </row>
    <row r="39" spans="1:17" ht="15.3" thickBot="1" x14ac:dyDescent="0.35">
      <c r="C39" s="240">
        <f>SUM(C31:C36)</f>
        <v>21945.077309999993</v>
      </c>
      <c r="D39" s="240">
        <f>SUM(D31:D36)</f>
        <v>49582.711215306859</v>
      </c>
      <c r="E39" s="240">
        <f t="shared" ref="E39:N39" si="2">SUM(E31:E38)</f>
        <v>72453.402755306844</v>
      </c>
      <c r="F39" s="240">
        <f t="shared" si="2"/>
        <v>63004.302041470459</v>
      </c>
      <c r="G39" s="240">
        <f t="shared" si="2"/>
        <v>65003.433832495582</v>
      </c>
      <c r="H39" s="240">
        <f t="shared" si="2"/>
        <v>91703.33008</v>
      </c>
      <c r="I39" s="240">
        <f t="shared" si="2"/>
        <v>109751.35358</v>
      </c>
      <c r="J39" s="240">
        <f t="shared" si="2"/>
        <v>89637.23295000002</v>
      </c>
      <c r="K39" s="240">
        <f t="shared" si="2"/>
        <v>87013.814099999989</v>
      </c>
      <c r="L39" s="240">
        <f t="shared" si="2"/>
        <v>79712.348421804738</v>
      </c>
      <c r="M39" s="240">
        <f t="shared" si="2"/>
        <v>106503.15458819525</v>
      </c>
      <c r="N39" s="240">
        <f t="shared" si="2"/>
        <v>117641.41201000003</v>
      </c>
      <c r="O39" t="s">
        <v>355</v>
      </c>
    </row>
    <row r="40" spans="1:17" x14ac:dyDescent="0.3">
      <c r="A40" s="7">
        <v>1047</v>
      </c>
      <c r="B40" t="s">
        <v>260</v>
      </c>
      <c r="F40" s="71"/>
      <c r="G40" s="104"/>
      <c r="H40" s="104"/>
      <c r="I40" s="104"/>
      <c r="J40" s="104"/>
      <c r="K40" s="104"/>
      <c r="L40" s="99">
        <v>4.3356600000000007</v>
      </c>
      <c r="M40" s="99">
        <v>843.84164999999996</v>
      </c>
      <c r="N40" s="99">
        <v>1317.7013900000002</v>
      </c>
      <c r="O40" s="24" t="s">
        <v>445</v>
      </c>
    </row>
    <row r="41" spans="1:17" x14ac:dyDescent="0.3">
      <c r="A41" s="7"/>
      <c r="F41" s="71"/>
      <c r="G41" s="72"/>
      <c r="H41" s="72"/>
      <c r="I41" s="72"/>
      <c r="J41" s="72"/>
      <c r="K41" s="72"/>
      <c r="L41" s="108"/>
      <c r="M41" s="108"/>
      <c r="N41" s="108"/>
    </row>
    <row r="42" spans="1:17" x14ac:dyDescent="0.3">
      <c r="B42" s="103"/>
      <c r="C42" s="103"/>
      <c r="D42" s="103"/>
      <c r="E42" s="103"/>
      <c r="F42" s="103"/>
      <c r="G42" s="103"/>
      <c r="H42" s="103"/>
      <c r="I42" s="103"/>
      <c r="J42" s="103"/>
      <c r="K42" s="103"/>
      <c r="L42" s="103"/>
      <c r="M42" s="103"/>
      <c r="N42" s="103"/>
      <c r="P42" s="1"/>
      <c r="Q42" s="1"/>
    </row>
    <row r="43" spans="1:17" x14ac:dyDescent="0.3">
      <c r="B43" s="20" t="s">
        <v>239</v>
      </c>
      <c r="C43" s="3" t="s">
        <v>338</v>
      </c>
      <c r="D43" s="3" t="s">
        <v>339</v>
      </c>
      <c r="E43" s="3">
        <v>2015</v>
      </c>
      <c r="F43" s="3">
        <v>2016</v>
      </c>
      <c r="G43" s="3">
        <v>2017</v>
      </c>
      <c r="H43" s="3">
        <v>2018</v>
      </c>
      <c r="I43" s="3">
        <v>2019</v>
      </c>
      <c r="J43" s="3">
        <v>2020</v>
      </c>
      <c r="K43" s="3" t="s">
        <v>127</v>
      </c>
      <c r="L43" s="3" t="s">
        <v>163</v>
      </c>
      <c r="M43" s="3" t="s">
        <v>162</v>
      </c>
      <c r="N43" s="3" t="s">
        <v>161</v>
      </c>
      <c r="P43" s="3"/>
      <c r="Q43" s="3"/>
    </row>
    <row r="44" spans="1:17" x14ac:dyDescent="0.3">
      <c r="A44" s="7">
        <v>1012</v>
      </c>
      <c r="B44" t="s">
        <v>83</v>
      </c>
      <c r="C44" s="108">
        <v>278.55505879290706</v>
      </c>
      <c r="D44" s="108">
        <v>1116.0288400000002</v>
      </c>
      <c r="E44" s="74">
        <f t="shared" ref="E44:E49" si="3">SUM(C44:D44)</f>
        <v>1394.5838987929073</v>
      </c>
      <c r="F44" s="99">
        <v>785.89760743952706</v>
      </c>
      <c r="G44" s="99">
        <v>2441.3998823089937</v>
      </c>
      <c r="H44" s="99">
        <v>3246.423318688333</v>
      </c>
      <c r="I44" s="99">
        <v>1185.7791104059822</v>
      </c>
      <c r="J44" s="99">
        <v>750.519230905688</v>
      </c>
      <c r="K44" s="99">
        <v>1282.1283941885106</v>
      </c>
      <c r="L44" s="74">
        <v>1044.81232604669</v>
      </c>
      <c r="M44" s="74">
        <v>2003.4095899999998</v>
      </c>
      <c r="N44" s="99">
        <v>2480.7571499999995</v>
      </c>
    </row>
    <row r="45" spans="1:17" x14ac:dyDescent="0.3">
      <c r="A45" s="7">
        <v>1013</v>
      </c>
      <c r="B45" t="s">
        <v>84</v>
      </c>
      <c r="C45" s="108">
        <v>1231.7008990929278</v>
      </c>
      <c r="D45" s="108">
        <v>1141.3188700000003</v>
      </c>
      <c r="E45" s="74">
        <f t="shared" si="3"/>
        <v>2373.0197690929281</v>
      </c>
      <c r="F45" s="99">
        <v>1105.7451645339115</v>
      </c>
      <c r="G45" s="99">
        <v>1419.3092075982597</v>
      </c>
      <c r="H45" s="99">
        <v>1305.1781561413127</v>
      </c>
      <c r="I45" s="99">
        <v>1127.0008276951671</v>
      </c>
      <c r="J45" s="99">
        <v>569.64152616351907</v>
      </c>
      <c r="K45" s="99">
        <v>701.94435156257521</v>
      </c>
      <c r="L45" s="74">
        <v>871.90328427715485</v>
      </c>
      <c r="M45" s="74">
        <v>976.91091000000006</v>
      </c>
      <c r="N45" s="99">
        <v>1125.8086200000002</v>
      </c>
    </row>
    <row r="46" spans="1:17" x14ac:dyDescent="0.3">
      <c r="A46" s="7">
        <v>1014</v>
      </c>
      <c r="B46" t="s">
        <v>85</v>
      </c>
      <c r="C46" s="108">
        <v>1007.6514113822991</v>
      </c>
      <c r="D46" s="108">
        <v>-322.70006000000001</v>
      </c>
      <c r="E46" s="74">
        <f t="shared" si="3"/>
        <v>684.95135138229909</v>
      </c>
      <c r="F46" s="99">
        <v>1641.7835912540222</v>
      </c>
      <c r="G46" s="99">
        <v>2506.8524562693015</v>
      </c>
      <c r="H46" s="99">
        <v>2871.5183360928149</v>
      </c>
      <c r="I46" s="99">
        <v>2253.6582968363273</v>
      </c>
      <c r="J46" s="99">
        <v>1696.5467370708545</v>
      </c>
      <c r="K46" s="99">
        <v>2348.5650805289374</v>
      </c>
      <c r="L46" s="74">
        <v>2063.6619960727371</v>
      </c>
      <c r="M46" s="74">
        <v>4217.0056100000002</v>
      </c>
      <c r="N46" s="99">
        <v>4459.3356699999995</v>
      </c>
      <c r="P46" s="467"/>
      <c r="Q46" s="467"/>
    </row>
    <row r="47" spans="1:17" x14ac:dyDescent="0.3">
      <c r="A47" s="7">
        <v>1018</v>
      </c>
      <c r="B47" t="s">
        <v>86</v>
      </c>
      <c r="C47" s="108">
        <v>1082.8833998216646</v>
      </c>
      <c r="D47" s="108">
        <v>53.226559999999999</v>
      </c>
      <c r="E47" s="74">
        <f t="shared" si="3"/>
        <v>1136.1099598216647</v>
      </c>
      <c r="F47" s="99">
        <v>319.01576359771144</v>
      </c>
      <c r="G47" s="99">
        <v>809.27374727057759</v>
      </c>
      <c r="H47" s="99">
        <v>788.19170542195161</v>
      </c>
      <c r="I47" s="99">
        <v>720.34685747215519</v>
      </c>
      <c r="J47" s="99">
        <v>527.88927710589292</v>
      </c>
      <c r="K47" s="99">
        <v>848.46958734039856</v>
      </c>
      <c r="L47" s="74">
        <v>1072.9935881095103</v>
      </c>
      <c r="M47" s="74">
        <v>1118.2434599999997</v>
      </c>
      <c r="N47" s="99">
        <v>1109.2554</v>
      </c>
    </row>
    <row r="48" spans="1:17" x14ac:dyDescent="0.3">
      <c r="A48" s="7">
        <v>1019</v>
      </c>
      <c r="B48" s="24" t="s">
        <v>78</v>
      </c>
      <c r="C48" s="108">
        <v>0</v>
      </c>
      <c r="D48" s="108">
        <v>1337.2520799999998</v>
      </c>
      <c r="E48" s="74">
        <f t="shared" si="3"/>
        <v>1337.2520799999998</v>
      </c>
      <c r="F48" s="99">
        <v>590.73542061867317</v>
      </c>
      <c r="G48" s="99">
        <v>-60.061812869673595</v>
      </c>
      <c r="H48" s="99">
        <v>574.9676209488315</v>
      </c>
      <c r="I48" s="99">
        <v>351.07311703750224</v>
      </c>
      <c r="J48" s="99">
        <v>325.40109201366539</v>
      </c>
      <c r="K48" s="99">
        <v>236.0039056817339</v>
      </c>
      <c r="L48" s="74">
        <v>152.31826291693164</v>
      </c>
      <c r="M48" s="74">
        <v>304.41111999999998</v>
      </c>
      <c r="N48" s="99">
        <v>419.48905000000002</v>
      </c>
    </row>
    <row r="49" spans="1:17" x14ac:dyDescent="0.3">
      <c r="A49" s="7">
        <v>1015</v>
      </c>
      <c r="B49" t="s">
        <v>335</v>
      </c>
      <c r="C49" s="108">
        <v>1194.1119310891322</v>
      </c>
      <c r="D49" s="108">
        <v>-76.724179999999905</v>
      </c>
      <c r="E49" s="74">
        <f t="shared" si="3"/>
        <v>1117.3877510891323</v>
      </c>
      <c r="F49" s="99">
        <v>10.745035529615437</v>
      </c>
      <c r="G49" s="99">
        <v>8.7793607122857207</v>
      </c>
      <c r="H49" s="99">
        <v>5.0254222815774989</v>
      </c>
      <c r="I49" s="99">
        <v>383.27630009255307</v>
      </c>
      <c r="J49" s="99">
        <v>260.7364276258694</v>
      </c>
      <c r="K49" s="99">
        <v>184.00200740344903</v>
      </c>
      <c r="L49" s="74">
        <v>43.892011066484649</v>
      </c>
      <c r="M49" s="74">
        <v>140.76760000000002</v>
      </c>
      <c r="N49" s="99">
        <v>321.71872000000002</v>
      </c>
      <c r="P49" s="467"/>
      <c r="Q49" s="467"/>
    </row>
    <row r="50" spans="1:17" x14ac:dyDescent="0.3">
      <c r="A50" s="7">
        <v>1016</v>
      </c>
      <c r="B50" t="s">
        <v>88</v>
      </c>
      <c r="C50" s="108">
        <v>141.94431044627703</v>
      </c>
      <c r="D50" s="108">
        <v>109.65589</v>
      </c>
      <c r="E50" s="74">
        <f>SUM(C50:D50)</f>
        <v>251.60020044627703</v>
      </c>
      <c r="F50" s="99">
        <v>119.58074433804674</v>
      </c>
      <c r="G50" s="99">
        <v>54.74877781104739</v>
      </c>
      <c r="H50" s="99">
        <v>110.39623905137972</v>
      </c>
      <c r="I50" s="99">
        <v>67.033290448556457</v>
      </c>
      <c r="J50" s="99">
        <v>28.867050500063677</v>
      </c>
      <c r="K50" s="99">
        <v>31.737379039343061</v>
      </c>
      <c r="L50" s="74">
        <v>70.575759133067308</v>
      </c>
      <c r="M50" s="74">
        <v>60.175109999999997</v>
      </c>
      <c r="N50" s="99">
        <v>45.505240000000008</v>
      </c>
    </row>
    <row r="51" spans="1:17" x14ac:dyDescent="0.3">
      <c r="A51" s="7">
        <v>1048</v>
      </c>
      <c r="B51" t="s">
        <v>236</v>
      </c>
      <c r="C51" s="108"/>
      <c r="D51" s="108"/>
      <c r="E51" s="74"/>
      <c r="F51" s="99"/>
      <c r="G51" s="99"/>
      <c r="H51" s="99"/>
      <c r="I51" s="99"/>
      <c r="J51" s="99">
        <v>0</v>
      </c>
      <c r="K51" s="99">
        <v>0</v>
      </c>
      <c r="L51" s="99">
        <v>33.322519999999997</v>
      </c>
      <c r="M51" s="99">
        <v>150.28121999999999</v>
      </c>
      <c r="N51" s="99">
        <v>148.44015999999999</v>
      </c>
      <c r="P51" s="468"/>
      <c r="Q51" s="467"/>
    </row>
    <row r="52" spans="1:17" ht="15.3" thickBot="1" x14ac:dyDescent="0.35">
      <c r="B52" s="1" t="s">
        <v>2</v>
      </c>
      <c r="C52" s="240">
        <f>SUM(C44:C49)</f>
        <v>4794.9027001789309</v>
      </c>
      <c r="D52" s="240">
        <f>SUM(D44:D49)</f>
        <v>3248.4021100000004</v>
      </c>
      <c r="E52" s="240">
        <f t="shared" ref="E52:N52" si="4">SUM(E44:E51)</f>
        <v>8294.9050106252089</v>
      </c>
      <c r="F52" s="240">
        <f t="shared" si="4"/>
        <v>4573.5033273115068</v>
      </c>
      <c r="G52" s="240">
        <f t="shared" si="4"/>
        <v>7180.3016191007928</v>
      </c>
      <c r="H52" s="240">
        <f t="shared" si="4"/>
        <v>8901.7007986262015</v>
      </c>
      <c r="I52" s="240">
        <f t="shared" si="4"/>
        <v>6088.167799988244</v>
      </c>
      <c r="J52" s="240">
        <f t="shared" si="4"/>
        <v>4159.6013413855526</v>
      </c>
      <c r="K52" s="240">
        <f t="shared" si="4"/>
        <v>5632.8507057449478</v>
      </c>
      <c r="L52" s="240">
        <f t="shared" si="4"/>
        <v>5353.4797476225758</v>
      </c>
      <c r="M52" s="240">
        <f t="shared" si="4"/>
        <v>8971.2046200000004</v>
      </c>
      <c r="N52" s="240">
        <f t="shared" si="4"/>
        <v>10110.310010000001</v>
      </c>
      <c r="O52" t="s">
        <v>355</v>
      </c>
      <c r="P52" s="468"/>
      <c r="Q52" s="468"/>
    </row>
    <row r="53" spans="1:17" x14ac:dyDescent="0.3">
      <c r="A53" s="7">
        <v>1047</v>
      </c>
      <c r="B53" t="s">
        <v>260</v>
      </c>
      <c r="C53" s="74"/>
      <c r="D53" s="74"/>
      <c r="E53" s="74"/>
      <c r="F53" s="74"/>
      <c r="G53" s="74"/>
      <c r="H53" s="74"/>
      <c r="I53" s="74"/>
      <c r="J53" s="74"/>
      <c r="K53" s="74"/>
      <c r="L53" s="74">
        <v>0.52534999999999998</v>
      </c>
      <c r="M53" s="74">
        <v>156.42242999999996</v>
      </c>
      <c r="N53" s="99">
        <v>170.92273</v>
      </c>
      <c r="O53" s="24" t="s">
        <v>445</v>
      </c>
      <c r="P53" s="468"/>
      <c r="Q53" s="468"/>
    </row>
    <row r="54" spans="1:17" x14ac:dyDescent="0.3">
      <c r="P54" s="469"/>
      <c r="Q54" s="469"/>
    </row>
    <row r="55" spans="1:17" x14ac:dyDescent="0.3">
      <c r="B55" s="1" t="s">
        <v>240</v>
      </c>
      <c r="C55" s="1"/>
      <c r="D55" s="1"/>
      <c r="E55" s="3">
        <v>2015</v>
      </c>
      <c r="F55" s="3">
        <v>2016</v>
      </c>
      <c r="G55" s="3">
        <v>2017</v>
      </c>
      <c r="H55" s="3">
        <v>2018</v>
      </c>
      <c r="I55" s="3">
        <v>2019</v>
      </c>
      <c r="J55" s="3">
        <v>2020</v>
      </c>
      <c r="K55" s="3" t="s">
        <v>127</v>
      </c>
      <c r="L55" s="3" t="s">
        <v>163</v>
      </c>
      <c r="M55" s="3" t="s">
        <v>162</v>
      </c>
      <c r="N55" s="3" t="s">
        <v>161</v>
      </c>
      <c r="P55" s="3"/>
      <c r="Q55" s="3"/>
    </row>
    <row r="56" spans="1:17" x14ac:dyDescent="0.3">
      <c r="A56" s="7">
        <v>1012</v>
      </c>
      <c r="B56" t="s">
        <v>83</v>
      </c>
      <c r="E56" s="74">
        <v>13808.500988792912</v>
      </c>
      <c r="F56" s="74">
        <v>28210.588449455125</v>
      </c>
      <c r="G56" s="74">
        <v>24567.320776916698</v>
      </c>
      <c r="H56" s="74">
        <v>42442.235068688336</v>
      </c>
      <c r="I56" s="74">
        <v>49926.203070405987</v>
      </c>
      <c r="J56" s="74">
        <v>39540.596600905694</v>
      </c>
      <c r="K56" s="74">
        <v>40025.208404188517</v>
      </c>
      <c r="L56" s="74">
        <v>35132.428146046688</v>
      </c>
      <c r="M56" s="74">
        <v>46991.702629999992</v>
      </c>
      <c r="N56" s="74">
        <v>58037.301300000006</v>
      </c>
    </row>
    <row r="57" spans="1:17" x14ac:dyDescent="0.3">
      <c r="A57" s="7">
        <v>1013</v>
      </c>
      <c r="B57" t="s">
        <v>84</v>
      </c>
      <c r="E57" s="74">
        <v>11397.266549092925</v>
      </c>
      <c r="F57" s="74">
        <v>12132.663607727391</v>
      </c>
      <c r="G57" s="74">
        <v>11722.611952980518</v>
      </c>
      <c r="H57" s="74">
        <v>12967.69839614131</v>
      </c>
      <c r="I57" s="74">
        <v>10970.10261769516</v>
      </c>
      <c r="J57" s="74">
        <v>10229.234256163527</v>
      </c>
      <c r="K57" s="74">
        <v>6776.7714015625752</v>
      </c>
      <c r="L57" s="74">
        <v>8308.8003042771543</v>
      </c>
      <c r="M57" s="74">
        <v>7841.3959799999993</v>
      </c>
      <c r="N57" s="74">
        <v>8845.5354100000004</v>
      </c>
    </row>
    <row r="58" spans="1:17" x14ac:dyDescent="0.3">
      <c r="A58" s="7">
        <v>1014</v>
      </c>
      <c r="B58" t="s">
        <v>85</v>
      </c>
      <c r="E58" s="74">
        <v>15136.997561382299</v>
      </c>
      <c r="F58" s="74">
        <v>15203.719405775453</v>
      </c>
      <c r="G58" s="74">
        <v>21650.533653318751</v>
      </c>
      <c r="H58" s="74">
        <v>30447.466766092817</v>
      </c>
      <c r="I58" s="74">
        <v>34448.580716836324</v>
      </c>
      <c r="J58" s="74">
        <v>26880.342467070855</v>
      </c>
      <c r="K58" s="74">
        <v>30367.514510528938</v>
      </c>
      <c r="L58" s="74">
        <v>22498.06539607274</v>
      </c>
      <c r="M58" s="74">
        <v>40078.45541000001</v>
      </c>
      <c r="N58" s="74">
        <v>41403.718560000001</v>
      </c>
      <c r="P58" s="467"/>
      <c r="Q58" s="467"/>
    </row>
    <row r="59" spans="1:17" x14ac:dyDescent="0.3">
      <c r="A59" s="7">
        <v>1018</v>
      </c>
      <c r="B59" t="s">
        <v>86</v>
      </c>
      <c r="E59" s="74">
        <v>7214.8725498216572</v>
      </c>
      <c r="F59" s="74">
        <v>3144.6916107216712</v>
      </c>
      <c r="G59" s="74">
        <v>6969.1537558683885</v>
      </c>
      <c r="H59" s="74">
        <v>8098.4101954219514</v>
      </c>
      <c r="I59" s="74">
        <v>8609.6356274721547</v>
      </c>
      <c r="J59" s="74">
        <v>7164.651867105893</v>
      </c>
      <c r="K59" s="74">
        <v>8647.2544273403983</v>
      </c>
      <c r="L59" s="74">
        <v>10885.716888109509</v>
      </c>
      <c r="M59" s="74">
        <v>9842.1705699999984</v>
      </c>
      <c r="N59" s="74">
        <v>9005.0224699999999</v>
      </c>
    </row>
    <row r="60" spans="1:17" x14ac:dyDescent="0.3">
      <c r="A60" s="7">
        <v>1019</v>
      </c>
      <c r="B60" s="24" t="s">
        <v>78</v>
      </c>
      <c r="E60" s="74">
        <v>9702.9399053068446</v>
      </c>
      <c r="F60" s="74">
        <v>7272.406386922893</v>
      </c>
      <c r="G60" s="74">
        <v>6523.4368623004557</v>
      </c>
      <c r="H60" s="74">
        <v>5400.3730309488319</v>
      </c>
      <c r="I60" s="74">
        <v>6189.2214770375022</v>
      </c>
      <c r="J60" s="74">
        <v>6011.069912013666</v>
      </c>
      <c r="K60" s="74">
        <v>4557.6665856817335</v>
      </c>
      <c r="L60" s="74">
        <v>3445.0910329169315</v>
      </c>
      <c r="M60" s="74">
        <v>6643.0763799999995</v>
      </c>
      <c r="N60" s="74">
        <v>6122.6700699999992</v>
      </c>
    </row>
    <row r="61" spans="1:17" x14ac:dyDescent="0.3">
      <c r="A61" s="7">
        <v>1015</v>
      </c>
      <c r="B61" t="s">
        <v>335</v>
      </c>
      <c r="E61" s="74">
        <v>22310.515781089136</v>
      </c>
      <c r="F61" s="74">
        <v>396.8105924562438</v>
      </c>
      <c r="G61" s="74">
        <v>134.93279378565705</v>
      </c>
      <c r="H61" s="74">
        <v>133.66417228157752</v>
      </c>
      <c r="I61" s="74">
        <v>4850.7237200925538</v>
      </c>
      <c r="J61" s="74">
        <v>3568.8694276258698</v>
      </c>
      <c r="K61" s="74">
        <v>1951.3488474034491</v>
      </c>
      <c r="L61" s="74">
        <v>3799.1526428712245</v>
      </c>
      <c r="M61" s="74">
        <v>2159.7652081952597</v>
      </c>
      <c r="N61" s="74">
        <v>2767.2744500000003</v>
      </c>
      <c r="P61" s="470"/>
      <c r="Q61" s="470"/>
    </row>
    <row r="62" spans="1:17" x14ac:dyDescent="0.3">
      <c r="A62" s="7">
        <v>1016</v>
      </c>
      <c r="B62" t="s">
        <v>88</v>
      </c>
      <c r="E62" s="74">
        <v>1177.214430446277</v>
      </c>
      <c r="F62" s="74">
        <v>1216.9253157231906</v>
      </c>
      <c r="G62" s="74">
        <v>615.74565642590358</v>
      </c>
      <c r="H62" s="74">
        <v>1115.1832490513798</v>
      </c>
      <c r="I62" s="74">
        <v>845.05415044855647</v>
      </c>
      <c r="J62" s="74">
        <v>402.06976050006364</v>
      </c>
      <c r="K62" s="74">
        <v>320.90062903934302</v>
      </c>
      <c r="L62" s="74">
        <v>663.38755913306738</v>
      </c>
      <c r="M62" s="74">
        <v>490.25664000000006</v>
      </c>
      <c r="N62" s="74">
        <v>353.34366000000006</v>
      </c>
    </row>
    <row r="63" spans="1:17" x14ac:dyDescent="0.3">
      <c r="A63" s="7">
        <v>1048</v>
      </c>
      <c r="B63" t="s">
        <v>236</v>
      </c>
      <c r="E63" s="74"/>
      <c r="F63" s="74"/>
      <c r="G63" s="74"/>
      <c r="H63" s="74"/>
      <c r="I63" s="74">
        <v>0</v>
      </c>
      <c r="J63" s="74">
        <v>0</v>
      </c>
      <c r="K63" s="74">
        <v>0</v>
      </c>
      <c r="L63" s="74">
        <v>333.18619999999999</v>
      </c>
      <c r="M63" s="74">
        <v>1427.53639</v>
      </c>
      <c r="N63" s="74">
        <v>1216.8561</v>
      </c>
      <c r="P63" s="74"/>
      <c r="Q63" s="470"/>
    </row>
    <row r="64" spans="1:17" ht="15.3" thickBot="1" x14ac:dyDescent="0.35">
      <c r="E64" s="240">
        <f t="shared" ref="E64:N64" si="5">SUM(E56:E63)</f>
        <v>80748.307765932055</v>
      </c>
      <c r="F64" s="240">
        <f t="shared" si="5"/>
        <v>67577.805368781963</v>
      </c>
      <c r="G64" s="240">
        <f t="shared" si="5"/>
        <v>72183.735451596382</v>
      </c>
      <c r="H64" s="240">
        <f t="shared" si="5"/>
        <v>100605.03087862622</v>
      </c>
      <c r="I64" s="240">
        <f t="shared" si="5"/>
        <v>115839.52137998823</v>
      </c>
      <c r="J64" s="240">
        <f t="shared" si="5"/>
        <v>93796.834291385574</v>
      </c>
      <c r="K64" s="240">
        <f t="shared" si="5"/>
        <v>92646.664805744964</v>
      </c>
      <c r="L64" s="240">
        <f t="shared" si="5"/>
        <v>85065.828169427317</v>
      </c>
      <c r="M64" s="240">
        <f t="shared" si="5"/>
        <v>115474.35920819527</v>
      </c>
      <c r="N64" s="240">
        <f t="shared" si="5"/>
        <v>127751.72202</v>
      </c>
      <c r="O64" t="s">
        <v>355</v>
      </c>
      <c r="P64" s="74"/>
      <c r="Q64" s="74"/>
    </row>
    <row r="65" spans="1:17" x14ac:dyDescent="0.3">
      <c r="A65" s="7">
        <v>1047</v>
      </c>
      <c r="B65" t="s">
        <v>260</v>
      </c>
      <c r="L65" s="74">
        <v>4.8610100000000003</v>
      </c>
      <c r="M65" s="108">
        <v>1000.2640799999999</v>
      </c>
      <c r="N65" s="108">
        <v>1488.6241200000002</v>
      </c>
      <c r="O65" s="24" t="s">
        <v>445</v>
      </c>
      <c r="P65" s="74"/>
      <c r="Q65" s="74"/>
    </row>
    <row r="66" spans="1:17" x14ac:dyDescent="0.3">
      <c r="A66" s="7"/>
      <c r="J66" s="74"/>
      <c r="K66" s="74"/>
      <c r="L66" s="74"/>
      <c r="M66" s="74"/>
      <c r="P66" s="469"/>
      <c r="Q66" s="469"/>
    </row>
    <row r="67" spans="1:17" x14ac:dyDescent="0.3">
      <c r="L67" s="74"/>
      <c r="M67" s="74"/>
      <c r="N67" s="74"/>
    </row>
  </sheetData>
  <mergeCells count="1">
    <mergeCell ref="I1:J1"/>
  </mergeCells>
  <hyperlinks>
    <hyperlink ref="B3" location="Contents!A1" display="Table of Contents" xr:uid="{8F16D336-C4E6-45FA-B17D-2A4017C8D6E3}"/>
  </hyperlinks>
  <pageMargins left="0.7" right="0.7" top="0.75" bottom="0.75" header="0.3" footer="0.3"/>
  <headerFooter>
    <oddFooter>&amp;C_x000D_&amp;1#&amp;"Century Gothic"&amp;7&amp;K7F7F7F BUSINESS USE ONLY</oddFooter>
  </headerFooter>
  <ignoredErrors>
    <ignoredError sqref="L39:N3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BC15-701F-4C28-91A8-3252D1A9426A}">
  <dimension ref="B1:L55"/>
  <sheetViews>
    <sheetView zoomScale="85" zoomScaleNormal="85" workbookViewId="0">
      <selection activeCell="I39" sqref="I39"/>
    </sheetView>
  </sheetViews>
  <sheetFormatPr defaultRowHeight="14.65" x14ac:dyDescent="0.3"/>
  <cols>
    <col min="1" max="1" width="4.44140625" customWidth="1"/>
    <col min="3" max="3" width="49.6640625" bestFit="1" customWidth="1"/>
    <col min="4" max="6" width="13.5546875" bestFit="1" customWidth="1"/>
    <col min="7" max="7" width="13.6640625" bestFit="1" customWidth="1"/>
    <col min="8" max="8" width="14" customWidth="1"/>
    <col min="9" max="9" width="18.21875" customWidth="1"/>
  </cols>
  <sheetData>
    <row r="1" spans="2:12" x14ac:dyDescent="0.3">
      <c r="B1" s="51" t="s">
        <v>54</v>
      </c>
    </row>
    <row r="2" spans="2:12" x14ac:dyDescent="0.3">
      <c r="B2" s="1" t="s">
        <v>329</v>
      </c>
    </row>
    <row r="3" spans="2:12" x14ac:dyDescent="0.3">
      <c r="B3" s="1" t="s">
        <v>418</v>
      </c>
      <c r="D3" s="3" t="str">
        <f>Allocations!F$50</f>
        <v>CY2020</v>
      </c>
      <c r="E3" s="3" t="str">
        <f>Allocations!G$50</f>
        <v>2020-21</v>
      </c>
      <c r="F3" s="3" t="str">
        <f>Allocations!H$50</f>
        <v>2021-22</v>
      </c>
      <c r="G3" s="3" t="str">
        <f>Allocations!I$50</f>
        <v>2022-23</v>
      </c>
      <c r="H3" s="3" t="str">
        <f>Allocations!J$50</f>
        <v>2023-24</v>
      </c>
    </row>
    <row r="4" spans="2:12" x14ac:dyDescent="0.3">
      <c r="B4">
        <v>1012</v>
      </c>
      <c r="C4" t="s">
        <v>83</v>
      </c>
      <c r="D4" s="108">
        <v>1842448.2999999998</v>
      </c>
      <c r="E4" s="108">
        <v>1854851.1700000004</v>
      </c>
      <c r="F4" s="108">
        <v>1641356.88</v>
      </c>
      <c r="G4" s="108">
        <v>1902438.03</v>
      </c>
      <c r="H4" s="108">
        <v>2393045.92</v>
      </c>
    </row>
    <row r="5" spans="2:12" x14ac:dyDescent="0.3">
      <c r="B5">
        <v>1013</v>
      </c>
      <c r="C5" t="s">
        <v>84</v>
      </c>
      <c r="D5" s="108">
        <v>4968460.1900000004</v>
      </c>
      <c r="E5" s="108">
        <v>5553294.0700000003</v>
      </c>
      <c r="F5" s="108">
        <v>4996907.5799999991</v>
      </c>
      <c r="G5" s="108">
        <v>5255690.6399999997</v>
      </c>
      <c r="H5" s="108">
        <v>4830111.59</v>
      </c>
    </row>
    <row r="6" spans="2:12" x14ac:dyDescent="0.3">
      <c r="B6">
        <v>1014</v>
      </c>
      <c r="C6" t="s">
        <v>85</v>
      </c>
      <c r="D6" s="108">
        <v>6207556.6200000001</v>
      </c>
      <c r="E6" s="108">
        <v>6233621.6299999999</v>
      </c>
      <c r="F6" s="108">
        <v>5374567.2200000007</v>
      </c>
      <c r="G6" s="108">
        <v>8793909.3999999985</v>
      </c>
      <c r="H6" s="108">
        <v>7431700.1700000009</v>
      </c>
    </row>
    <row r="7" spans="2:12" x14ac:dyDescent="0.3">
      <c r="B7">
        <v>1015</v>
      </c>
      <c r="C7" t="s">
        <v>372</v>
      </c>
      <c r="D7" s="108">
        <v>5822357.5300000003</v>
      </c>
      <c r="E7" s="108">
        <v>7250721.4500000002</v>
      </c>
      <c r="F7" s="108">
        <v>0</v>
      </c>
      <c r="G7" s="108">
        <v>186276</v>
      </c>
      <c r="H7" s="108">
        <v>82167.25</v>
      </c>
    </row>
    <row r="8" spans="2:12" x14ac:dyDescent="0.3">
      <c r="B8">
        <v>1016</v>
      </c>
      <c r="C8" t="s">
        <v>88</v>
      </c>
      <c r="D8" s="108">
        <v>500</v>
      </c>
      <c r="E8" s="108">
        <v>0</v>
      </c>
      <c r="F8" s="108">
        <v>2400</v>
      </c>
      <c r="G8" s="108">
        <v>3073</v>
      </c>
      <c r="H8" s="108">
        <v>0</v>
      </c>
    </row>
    <row r="9" spans="2:12" x14ac:dyDescent="0.3">
      <c r="B9">
        <v>1018</v>
      </c>
      <c r="C9" t="s">
        <v>86</v>
      </c>
      <c r="D9" s="108">
        <v>4235963.37</v>
      </c>
      <c r="E9" s="108">
        <v>5678362.7599999998</v>
      </c>
      <c r="F9" s="108">
        <v>5829933.8699999992</v>
      </c>
      <c r="G9" s="108">
        <v>5086589.28</v>
      </c>
      <c r="H9" s="108">
        <v>5271772.59</v>
      </c>
    </row>
    <row r="10" spans="2:12" x14ac:dyDescent="0.3">
      <c r="B10">
        <v>1019</v>
      </c>
      <c r="C10" t="s">
        <v>78</v>
      </c>
      <c r="D10" s="108">
        <v>1618552.3800000004</v>
      </c>
      <c r="E10" s="108">
        <v>1312529.0999999999</v>
      </c>
      <c r="F10" s="108">
        <v>1251963.3199999998</v>
      </c>
      <c r="G10" s="108">
        <v>937391.8</v>
      </c>
      <c r="H10" s="108">
        <v>1524416.27</v>
      </c>
    </row>
    <row r="11" spans="2:12" x14ac:dyDescent="0.3">
      <c r="B11">
        <v>1047</v>
      </c>
      <c r="C11" t="s">
        <v>302</v>
      </c>
      <c r="D11" s="108"/>
      <c r="E11" s="108"/>
      <c r="F11" s="108"/>
      <c r="G11" s="108">
        <v>0</v>
      </c>
      <c r="H11" s="108">
        <v>0</v>
      </c>
      <c r="I11" s="24" t="s">
        <v>445</v>
      </c>
    </row>
    <row r="12" spans="2:12" x14ac:dyDescent="0.3">
      <c r="B12" s="16">
        <v>1048</v>
      </c>
      <c r="C12" s="16" t="s">
        <v>236</v>
      </c>
      <c r="D12" s="109"/>
      <c r="E12" s="109"/>
      <c r="F12" s="109"/>
      <c r="G12" s="109"/>
      <c r="H12" s="109">
        <v>78673</v>
      </c>
    </row>
    <row r="13" spans="2:12" x14ac:dyDescent="0.3">
      <c r="C13" s="1" t="s">
        <v>411</v>
      </c>
      <c r="D13" s="110">
        <f t="shared" ref="D13" si="0">SUM(D4:D12)</f>
        <v>24695838.390000001</v>
      </c>
      <c r="E13" s="110">
        <f t="shared" ref="E13:F13" si="1">SUM(E4:E12)</f>
        <v>27883380.18</v>
      </c>
      <c r="F13" s="110">
        <f t="shared" si="1"/>
        <v>19097128.869999997</v>
      </c>
      <c r="G13" s="110">
        <f>SUM(G4:G12)</f>
        <v>22165368.149999999</v>
      </c>
      <c r="H13" s="110">
        <f>SUM(H4:H12)</f>
        <v>21611886.789999999</v>
      </c>
    </row>
    <row r="14" spans="2:12" x14ac:dyDescent="0.3">
      <c r="H14" s="74">
        <v>0</v>
      </c>
    </row>
    <row r="15" spans="2:12" x14ac:dyDescent="0.3">
      <c r="B15" s="1" t="s">
        <v>419</v>
      </c>
    </row>
    <row r="16" spans="2:12" x14ac:dyDescent="0.3">
      <c r="D16" s="3" t="str">
        <f>Allocations!F$50</f>
        <v>CY2020</v>
      </c>
      <c r="E16" s="3" t="str">
        <f>Allocations!G$50</f>
        <v>2020-21</v>
      </c>
      <c r="F16" s="3" t="str">
        <f>Allocations!H$50</f>
        <v>2021-22</v>
      </c>
      <c r="G16" s="3" t="str">
        <f>Allocations!I$50</f>
        <v>2022-23</v>
      </c>
      <c r="H16" s="3" t="str">
        <f>Allocations!J$50</f>
        <v>2023-24</v>
      </c>
      <c r="I16" s="1"/>
      <c r="J16" s="1"/>
      <c r="K16" s="1"/>
      <c r="L16" s="1"/>
    </row>
    <row r="17" spans="2:12" x14ac:dyDescent="0.3">
      <c r="B17">
        <v>1012</v>
      </c>
      <c r="C17" t="s">
        <v>83</v>
      </c>
      <c r="D17" s="108">
        <v>69577.541636300535</v>
      </c>
      <c r="E17" s="108">
        <v>50408.411267676507</v>
      </c>
      <c r="F17" s="108">
        <v>48916.869195967884</v>
      </c>
      <c r="G17" s="108">
        <v>82098.739349982148</v>
      </c>
      <c r="H17" s="108">
        <v>101152.51197453254</v>
      </c>
      <c r="I17" s="298"/>
      <c r="J17" s="298"/>
      <c r="K17" s="298"/>
      <c r="L17" s="298"/>
    </row>
    <row r="18" spans="2:12" x14ac:dyDescent="0.3">
      <c r="B18">
        <v>1013</v>
      </c>
      <c r="C18" t="s">
        <v>84</v>
      </c>
      <c r="D18" s="108">
        <v>393433.56632974662</v>
      </c>
      <c r="E18" s="108">
        <v>435246.03637946525</v>
      </c>
      <c r="F18" s="108">
        <v>528580.25123038644</v>
      </c>
      <c r="G18" s="108">
        <v>641707.06108290737</v>
      </c>
      <c r="H18" s="108">
        <v>613963.43905119924</v>
      </c>
      <c r="I18" s="298"/>
      <c r="J18" s="298"/>
      <c r="K18" s="298"/>
      <c r="L18" s="298"/>
    </row>
    <row r="19" spans="2:12" x14ac:dyDescent="0.3">
      <c r="B19">
        <v>1014</v>
      </c>
      <c r="C19" t="s">
        <v>85</v>
      </c>
      <c r="D19" s="108">
        <v>444626.29293201969</v>
      </c>
      <c r="E19" s="108">
        <v>504534.72198466677</v>
      </c>
      <c r="F19" s="108">
        <v>494858.46403493726</v>
      </c>
      <c r="G19" s="108">
        <v>854921.02112497611</v>
      </c>
      <c r="H19" s="108">
        <v>792639.96086051257</v>
      </c>
      <c r="I19" s="298"/>
      <c r="J19" s="298"/>
      <c r="K19" s="298"/>
      <c r="L19" s="298"/>
    </row>
    <row r="20" spans="2:12" x14ac:dyDescent="0.3">
      <c r="B20">
        <v>1015</v>
      </c>
      <c r="C20" t="s">
        <v>372</v>
      </c>
      <c r="D20" s="108">
        <v>401872.83172012353</v>
      </c>
      <c r="E20" s="108">
        <v>605710.6382697816</v>
      </c>
      <c r="F20" s="108">
        <v>0</v>
      </c>
      <c r="G20" s="108">
        <v>52683.039699201632</v>
      </c>
      <c r="H20" s="108">
        <v>10464.300213024495</v>
      </c>
      <c r="I20" s="298"/>
      <c r="J20" s="298"/>
      <c r="K20" s="298"/>
      <c r="L20" s="298"/>
    </row>
    <row r="21" spans="2:12" x14ac:dyDescent="0.3">
      <c r="B21">
        <v>1016</v>
      </c>
      <c r="C21" t="s">
        <v>88</v>
      </c>
      <c r="D21" s="108">
        <v>24.717750878058286</v>
      </c>
      <c r="E21" s="108">
        <v>0</v>
      </c>
      <c r="F21" s="108">
        <v>272.45053176029586</v>
      </c>
      <c r="G21" s="108">
        <v>383.26431820100402</v>
      </c>
      <c r="H21" s="108">
        <v>0</v>
      </c>
      <c r="I21" s="298"/>
      <c r="J21" s="298"/>
      <c r="K21" s="298"/>
      <c r="L21" s="298"/>
    </row>
    <row r="22" spans="2:12" x14ac:dyDescent="0.3">
      <c r="B22">
        <v>1018</v>
      </c>
      <c r="C22" t="s">
        <v>86</v>
      </c>
      <c r="D22" s="108">
        <v>330020.67230078735</v>
      </c>
      <c r="E22" s="108">
        <v>548367.93761997437</v>
      </c>
      <c r="F22" s="108">
        <v>575712.17592879746</v>
      </c>
      <c r="G22" s="108">
        <v>580105.42925170343</v>
      </c>
      <c r="H22" s="108">
        <v>648434.22138402809</v>
      </c>
      <c r="I22" s="298"/>
      <c r="J22" s="298"/>
      <c r="K22" s="298"/>
      <c r="L22" s="298"/>
    </row>
    <row r="23" spans="2:12" x14ac:dyDescent="0.3">
      <c r="B23">
        <v>1019</v>
      </c>
      <c r="C23" t="s">
        <v>78</v>
      </c>
      <c r="D23" s="108">
        <v>105587.67605909504</v>
      </c>
      <c r="E23" s="108">
        <v>85372.310264744039</v>
      </c>
      <c r="F23" s="108">
        <v>90662.168478151973</v>
      </c>
      <c r="G23" s="108">
        <v>43616.310566620952</v>
      </c>
      <c r="H23" s="108">
        <v>127439.88850667814</v>
      </c>
      <c r="I23" s="298"/>
      <c r="J23" s="298"/>
      <c r="K23" s="298"/>
      <c r="L23" s="298"/>
    </row>
    <row r="24" spans="2:12" x14ac:dyDescent="0.3">
      <c r="B24">
        <v>1047</v>
      </c>
      <c r="C24" t="s">
        <v>302</v>
      </c>
      <c r="D24" s="108"/>
      <c r="E24" s="108"/>
      <c r="F24" s="108"/>
      <c r="G24" s="108">
        <v>0</v>
      </c>
      <c r="H24" s="99">
        <v>0</v>
      </c>
      <c r="I24" s="24" t="s">
        <v>445</v>
      </c>
      <c r="J24" s="346"/>
      <c r="K24" s="346"/>
      <c r="L24" s="346"/>
    </row>
    <row r="25" spans="2:12" x14ac:dyDescent="0.3">
      <c r="B25" s="16">
        <v>1048</v>
      </c>
      <c r="C25" s="16" t="s">
        <v>236</v>
      </c>
      <c r="D25" s="109"/>
      <c r="E25" s="109"/>
      <c r="F25" s="109"/>
      <c r="G25" s="109"/>
      <c r="H25" s="109">
        <v>9279.5195305834168</v>
      </c>
      <c r="I25" s="298"/>
      <c r="J25" s="298"/>
      <c r="K25" s="298"/>
      <c r="L25" s="298"/>
    </row>
    <row r="26" spans="2:12" x14ac:dyDescent="0.3">
      <c r="C26" s="1" t="s">
        <v>413</v>
      </c>
      <c r="D26" s="110">
        <f t="shared" ref="D26:F26" si="2">SUM(D17:D25)</f>
        <v>1745143.2987289508</v>
      </c>
      <c r="E26" s="110">
        <f t="shared" si="2"/>
        <v>2229640.0557863084</v>
      </c>
      <c r="F26" s="110">
        <f t="shared" si="2"/>
        <v>1739002.3794000011</v>
      </c>
      <c r="G26" s="110">
        <f>SUM(G17:G25)</f>
        <v>2255514.8653935925</v>
      </c>
      <c r="H26" s="110">
        <f>SUM(H17:H25)</f>
        <v>2303373.8415205586</v>
      </c>
    </row>
    <row r="28" spans="2:12" x14ac:dyDescent="0.3">
      <c r="B28" s="1" t="s">
        <v>330</v>
      </c>
    </row>
    <row r="29" spans="2:12" x14ac:dyDescent="0.3">
      <c r="B29" s="1" t="s">
        <v>420</v>
      </c>
      <c r="D29" s="3" t="str">
        <f>Allocations!F$50</f>
        <v>CY2020</v>
      </c>
      <c r="E29" s="3" t="str">
        <f>Allocations!G$50</f>
        <v>2020-21</v>
      </c>
      <c r="F29" s="3" t="str">
        <f>Allocations!H$50</f>
        <v>2021-22</v>
      </c>
      <c r="G29" s="3" t="str">
        <f>Allocations!I$50</f>
        <v>2022-23</v>
      </c>
      <c r="H29" s="3" t="str">
        <f>Allocations!J$50</f>
        <v>2023-24</v>
      </c>
    </row>
    <row r="30" spans="2:12" x14ac:dyDescent="0.3">
      <c r="B30">
        <v>1012</v>
      </c>
      <c r="C30" t="s">
        <v>83</v>
      </c>
      <c r="D30" s="108">
        <v>26982467</v>
      </c>
      <c r="E30" s="108">
        <v>26609491</v>
      </c>
      <c r="F30" s="108">
        <v>24192470</v>
      </c>
      <c r="G30" s="108">
        <v>30182985</v>
      </c>
      <c r="H30" s="108">
        <v>38035239</v>
      </c>
    </row>
    <row r="31" spans="2:12" x14ac:dyDescent="0.3">
      <c r="B31">
        <v>1013</v>
      </c>
      <c r="C31" t="s">
        <v>84</v>
      </c>
      <c r="D31" s="108">
        <v>2341</v>
      </c>
      <c r="E31" s="108">
        <v>18554</v>
      </c>
      <c r="F31" s="108">
        <v>5890</v>
      </c>
      <c r="G31" s="108">
        <v>9040</v>
      </c>
      <c r="H31" s="108">
        <v>0</v>
      </c>
    </row>
    <row r="32" spans="2:12" x14ac:dyDescent="0.3">
      <c r="B32">
        <v>1014</v>
      </c>
      <c r="C32" t="s">
        <v>85</v>
      </c>
      <c r="D32" s="108">
        <v>3335266</v>
      </c>
      <c r="E32" s="108">
        <v>6894963</v>
      </c>
      <c r="F32" s="108">
        <v>2327148</v>
      </c>
      <c r="G32" s="108">
        <v>5462830</v>
      </c>
      <c r="H32" s="108">
        <v>5066483</v>
      </c>
    </row>
    <row r="33" spans="2:9" x14ac:dyDescent="0.3">
      <c r="B33">
        <v>1015</v>
      </c>
      <c r="C33" t="s">
        <v>372</v>
      </c>
      <c r="D33" s="108">
        <v>36648</v>
      </c>
      <c r="E33" s="108">
        <v>36648</v>
      </c>
      <c r="F33" s="108">
        <v>3300000</v>
      </c>
      <c r="G33" s="108">
        <v>965165.21</v>
      </c>
      <c r="H33" s="108">
        <v>0</v>
      </c>
    </row>
    <row r="34" spans="2:9" x14ac:dyDescent="0.3">
      <c r="B34">
        <v>1016</v>
      </c>
      <c r="C34" t="s">
        <v>88</v>
      </c>
      <c r="D34" s="108">
        <v>0</v>
      </c>
      <c r="E34" s="108">
        <v>0</v>
      </c>
      <c r="F34" s="108">
        <v>0</v>
      </c>
      <c r="G34" s="108">
        <v>0</v>
      </c>
      <c r="H34" s="108">
        <v>0</v>
      </c>
    </row>
    <row r="35" spans="2:9" x14ac:dyDescent="0.3">
      <c r="B35">
        <v>1018</v>
      </c>
      <c r="C35" t="s">
        <v>86</v>
      </c>
      <c r="D35" s="108">
        <v>145167</v>
      </c>
      <c r="E35" s="108">
        <v>106876</v>
      </c>
      <c r="F35" s="108">
        <v>177584</v>
      </c>
      <c r="G35" s="108">
        <v>196576</v>
      </c>
      <c r="H35" s="108">
        <v>110318</v>
      </c>
    </row>
    <row r="36" spans="2:9" x14ac:dyDescent="0.3">
      <c r="B36">
        <v>1019</v>
      </c>
      <c r="C36" t="s">
        <v>78</v>
      </c>
      <c r="D36" s="108">
        <v>1796214</v>
      </c>
      <c r="E36" s="108">
        <v>2209774</v>
      </c>
      <c r="F36" s="108">
        <v>1974144</v>
      </c>
      <c r="G36" s="108">
        <v>3875821</v>
      </c>
      <c r="H36" s="108">
        <v>2817848</v>
      </c>
    </row>
    <row r="37" spans="2:9" x14ac:dyDescent="0.3">
      <c r="B37">
        <v>1047</v>
      </c>
      <c r="C37" t="s">
        <v>302</v>
      </c>
      <c r="D37" s="108"/>
      <c r="E37" s="108"/>
      <c r="F37" s="108"/>
      <c r="G37" s="108">
        <v>0</v>
      </c>
      <c r="H37" s="99">
        <v>457017</v>
      </c>
      <c r="I37" s="24" t="s">
        <v>445</v>
      </c>
    </row>
    <row r="38" spans="2:9" x14ac:dyDescent="0.3">
      <c r="B38" s="16">
        <v>1048</v>
      </c>
      <c r="C38" s="16" t="s">
        <v>236</v>
      </c>
      <c r="D38" s="109"/>
      <c r="E38" s="109"/>
      <c r="F38" s="109"/>
      <c r="G38" s="109"/>
      <c r="H38" s="109">
        <v>0</v>
      </c>
    </row>
    <row r="39" spans="2:9" x14ac:dyDescent="0.3">
      <c r="C39" s="1" t="s">
        <v>412</v>
      </c>
      <c r="D39" s="110">
        <f t="shared" ref="D39" si="3">SUM(D30:D38)</f>
        <v>32298103</v>
      </c>
      <c r="E39" s="110">
        <f t="shared" ref="E39:F39" si="4">SUM(E30:E38)</f>
        <v>35876306</v>
      </c>
      <c r="F39" s="110">
        <f t="shared" si="4"/>
        <v>31977236</v>
      </c>
      <c r="G39" s="110">
        <f>SUM(G30:G38)</f>
        <v>40692417.210000001</v>
      </c>
      <c r="H39" s="110">
        <f>SUM(H30:H38)</f>
        <v>46486905</v>
      </c>
      <c r="I39" s="24"/>
    </row>
    <row r="40" spans="2:9" x14ac:dyDescent="0.3">
      <c r="H40" s="74">
        <v>0</v>
      </c>
    </row>
    <row r="41" spans="2:9" x14ac:dyDescent="0.3">
      <c r="H41" s="74"/>
    </row>
    <row r="42" spans="2:9" x14ac:dyDescent="0.3">
      <c r="B42" s="1" t="s">
        <v>421</v>
      </c>
      <c r="D42" s="3" t="str">
        <f>Allocations!F$50</f>
        <v>CY2020</v>
      </c>
      <c r="E42" s="3" t="str">
        <f>Allocations!G$50</f>
        <v>2020-21</v>
      </c>
      <c r="F42" s="3" t="str">
        <f>Allocations!H$50</f>
        <v>2021-22</v>
      </c>
      <c r="G42" s="3" t="str">
        <f>Allocations!I$50</f>
        <v>2022-23</v>
      </c>
      <c r="H42" s="3" t="str">
        <f>Allocations!J$50</f>
        <v>2023-24</v>
      </c>
    </row>
    <row r="43" spans="2:9" x14ac:dyDescent="0.3">
      <c r="B43">
        <v>1012</v>
      </c>
      <c r="C43" t="s">
        <v>83</v>
      </c>
      <c r="D43" s="74">
        <f>D4+D30</f>
        <v>28824915.300000001</v>
      </c>
      <c r="E43" s="74">
        <f t="shared" ref="E43:H43" si="5">E4+E30</f>
        <v>28464342.170000002</v>
      </c>
      <c r="F43" s="74">
        <f t="shared" si="5"/>
        <v>25833826.879999999</v>
      </c>
      <c r="G43" s="74">
        <f t="shared" si="5"/>
        <v>32085423.030000001</v>
      </c>
      <c r="H43" s="74">
        <f t="shared" si="5"/>
        <v>40428284.920000002</v>
      </c>
    </row>
    <row r="44" spans="2:9" x14ac:dyDescent="0.3">
      <c r="B44">
        <v>1013</v>
      </c>
      <c r="C44" t="s">
        <v>84</v>
      </c>
      <c r="D44" s="74">
        <f t="shared" ref="D44:H51" si="6">D5+D31</f>
        <v>4970801.1900000004</v>
      </c>
      <c r="E44" s="74">
        <f t="shared" si="6"/>
        <v>5571848.0700000003</v>
      </c>
      <c r="F44" s="74">
        <f t="shared" si="6"/>
        <v>5002797.5799999991</v>
      </c>
      <c r="G44" s="74">
        <f t="shared" si="6"/>
        <v>5264730.6399999997</v>
      </c>
      <c r="H44" s="74">
        <f t="shared" si="6"/>
        <v>4830111.59</v>
      </c>
    </row>
    <row r="45" spans="2:9" x14ac:dyDescent="0.3">
      <c r="B45">
        <v>1014</v>
      </c>
      <c r="C45" t="s">
        <v>85</v>
      </c>
      <c r="D45" s="74">
        <f t="shared" si="6"/>
        <v>9542822.620000001</v>
      </c>
      <c r="E45" s="74">
        <f t="shared" si="6"/>
        <v>13128584.629999999</v>
      </c>
      <c r="F45" s="74">
        <f t="shared" si="6"/>
        <v>7701715.2200000007</v>
      </c>
      <c r="G45" s="74">
        <f t="shared" si="6"/>
        <v>14256739.399999999</v>
      </c>
      <c r="H45" s="74">
        <f t="shared" si="6"/>
        <v>12498183.170000002</v>
      </c>
    </row>
    <row r="46" spans="2:9" x14ac:dyDescent="0.3">
      <c r="B46">
        <v>1015</v>
      </c>
      <c r="C46" t="s">
        <v>372</v>
      </c>
      <c r="D46" s="74">
        <f t="shared" si="6"/>
        <v>5859005.5300000003</v>
      </c>
      <c r="E46" s="74">
        <f t="shared" si="6"/>
        <v>7287369.4500000002</v>
      </c>
      <c r="F46" s="74">
        <f t="shared" si="6"/>
        <v>3300000</v>
      </c>
      <c r="G46" s="74">
        <f t="shared" si="6"/>
        <v>1151441.21</v>
      </c>
      <c r="H46" s="74">
        <f t="shared" si="6"/>
        <v>82167.25</v>
      </c>
    </row>
    <row r="47" spans="2:9" x14ac:dyDescent="0.3">
      <c r="B47">
        <v>1016</v>
      </c>
      <c r="C47" t="s">
        <v>88</v>
      </c>
      <c r="D47" s="74">
        <f t="shared" si="6"/>
        <v>500</v>
      </c>
      <c r="E47" s="74">
        <f t="shared" si="6"/>
        <v>0</v>
      </c>
      <c r="F47" s="74">
        <f t="shared" si="6"/>
        <v>2400</v>
      </c>
      <c r="G47" s="74">
        <f t="shared" si="6"/>
        <v>3073</v>
      </c>
      <c r="H47" s="74">
        <f t="shared" si="6"/>
        <v>0</v>
      </c>
    </row>
    <row r="48" spans="2:9" x14ac:dyDescent="0.3">
      <c r="B48">
        <v>1018</v>
      </c>
      <c r="C48" t="s">
        <v>86</v>
      </c>
      <c r="D48" s="74">
        <f t="shared" si="6"/>
        <v>4381130.37</v>
      </c>
      <c r="E48" s="74">
        <f t="shared" si="6"/>
        <v>5785238.7599999998</v>
      </c>
      <c r="F48" s="74">
        <f t="shared" si="6"/>
        <v>6007517.8699999992</v>
      </c>
      <c r="G48" s="74">
        <f t="shared" si="6"/>
        <v>5283165.28</v>
      </c>
      <c r="H48" s="74">
        <f t="shared" si="6"/>
        <v>5382090.5899999999</v>
      </c>
    </row>
    <row r="49" spans="2:9" x14ac:dyDescent="0.3">
      <c r="B49">
        <v>1019</v>
      </c>
      <c r="C49" t="s">
        <v>78</v>
      </c>
      <c r="D49" s="74">
        <f t="shared" si="6"/>
        <v>3414766.3800000004</v>
      </c>
      <c r="E49" s="74">
        <f t="shared" si="6"/>
        <v>3522303.0999999996</v>
      </c>
      <c r="F49" s="74">
        <f t="shared" si="6"/>
        <v>3226107.32</v>
      </c>
      <c r="G49" s="74">
        <f t="shared" si="6"/>
        <v>4813212.8</v>
      </c>
      <c r="H49" s="74">
        <f t="shared" si="6"/>
        <v>4342264.2699999996</v>
      </c>
    </row>
    <row r="50" spans="2:9" x14ac:dyDescent="0.3">
      <c r="B50">
        <v>1047</v>
      </c>
      <c r="C50" t="s">
        <v>302</v>
      </c>
      <c r="D50" s="74">
        <f t="shared" si="6"/>
        <v>0</v>
      </c>
      <c r="E50" s="74">
        <f t="shared" si="6"/>
        <v>0</v>
      </c>
      <c r="F50" s="74">
        <f t="shared" si="6"/>
        <v>0</v>
      </c>
      <c r="G50" s="74">
        <f t="shared" si="6"/>
        <v>0</v>
      </c>
      <c r="H50" s="74">
        <f t="shared" si="6"/>
        <v>457017</v>
      </c>
      <c r="I50" s="24" t="s">
        <v>369</v>
      </c>
    </row>
    <row r="51" spans="2:9" x14ac:dyDescent="0.3">
      <c r="B51" s="16">
        <v>1048</v>
      </c>
      <c r="C51" s="16" t="s">
        <v>236</v>
      </c>
      <c r="D51" s="289">
        <f t="shared" si="6"/>
        <v>0</v>
      </c>
      <c r="E51" s="289">
        <f t="shared" si="6"/>
        <v>0</v>
      </c>
      <c r="F51" s="289">
        <f t="shared" si="6"/>
        <v>0</v>
      </c>
      <c r="G51" s="289">
        <f t="shared" si="6"/>
        <v>0</v>
      </c>
      <c r="H51" s="289">
        <f t="shared" si="6"/>
        <v>78673</v>
      </c>
    </row>
    <row r="52" spans="2:9" x14ac:dyDescent="0.3">
      <c r="C52" s="1" t="s">
        <v>413</v>
      </c>
      <c r="D52" s="110">
        <f t="shared" ref="D52" si="7">SUM(D43:D51)</f>
        <v>56993941.390000001</v>
      </c>
      <c r="E52" s="110">
        <f t="shared" ref="E52:F52" si="8">SUM(E43:E51)</f>
        <v>63759686.180000007</v>
      </c>
      <c r="F52" s="110">
        <f t="shared" si="8"/>
        <v>51074364.869999997</v>
      </c>
      <c r="G52" s="110">
        <f>SUM(G43:G51)</f>
        <v>62857785.359999999</v>
      </c>
      <c r="H52" s="110">
        <f>SUM(H43:H51)</f>
        <v>68098791.790000007</v>
      </c>
    </row>
    <row r="53" spans="2:9" x14ac:dyDescent="0.3">
      <c r="H53" s="74">
        <v>0</v>
      </c>
    </row>
    <row r="55" spans="2:9" x14ac:dyDescent="0.3">
      <c r="D55" s="74"/>
      <c r="E55" s="74"/>
      <c r="F55" s="74"/>
      <c r="G55" s="74"/>
      <c r="H55" s="74"/>
    </row>
  </sheetData>
  <hyperlinks>
    <hyperlink ref="B1" location="Contents!A1" display="Table of Contents" xr:uid="{2020A9A3-D6A7-498C-A265-318D382D4D9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2:X87"/>
  <sheetViews>
    <sheetView zoomScale="85" zoomScaleNormal="85" workbookViewId="0">
      <pane xSplit="2" ySplit="5" topLeftCell="F51" activePane="bottomRight" state="frozen"/>
      <selection activeCell="AC23" sqref="AC23"/>
      <selection pane="topRight" activeCell="AC23" sqref="AC23"/>
      <selection pane="bottomLeft" activeCell="AC23" sqref="AC23"/>
      <selection pane="bottomRight" activeCell="B3" sqref="B3"/>
    </sheetView>
  </sheetViews>
  <sheetFormatPr defaultColWidth="9.109375" defaultRowHeight="14.65" outlineLevelCol="1" x14ac:dyDescent="0.3"/>
  <cols>
    <col min="1" max="1" width="5.33203125" customWidth="1"/>
    <col min="2" max="2" width="54.6640625" customWidth="1"/>
    <col min="3" max="3" width="9" hidden="1" customWidth="1" outlineLevel="1" collapsed="1"/>
    <col min="4" max="5" width="9" hidden="1" customWidth="1" outlineLevel="1"/>
    <col min="6" max="6" width="9" customWidth="1" collapsed="1"/>
    <col min="7" max="11" width="9" customWidth="1"/>
    <col min="12" max="12" width="8.44140625" customWidth="1"/>
    <col min="13" max="13" width="8.5546875" bestFit="1" customWidth="1"/>
    <col min="14" max="14" width="9.21875" customWidth="1"/>
    <col min="15" max="16" width="8.5546875" customWidth="1"/>
    <col min="17" max="17" width="2.33203125" customWidth="1"/>
    <col min="18" max="22" width="13.5546875" bestFit="1" customWidth="1"/>
    <col min="23" max="23" width="10" customWidth="1"/>
    <col min="24" max="24" width="10.33203125" customWidth="1"/>
    <col min="25" max="25" width="3" customWidth="1"/>
    <col min="26" max="26" width="10.5546875" customWidth="1"/>
    <col min="27" max="27" width="4.44140625" customWidth="1"/>
    <col min="28" max="28" width="12" customWidth="1"/>
    <col min="29" max="29" width="10.44140625" customWidth="1"/>
    <col min="30" max="30" width="11.109375" customWidth="1"/>
    <col min="31" max="31" width="4" customWidth="1"/>
    <col min="32" max="32" width="10" customWidth="1"/>
    <col min="33" max="33" width="4.109375" customWidth="1"/>
    <col min="34" max="34" width="12" customWidth="1"/>
    <col min="35" max="35" width="10.5546875" customWidth="1"/>
    <col min="36" max="36" width="11" customWidth="1"/>
    <col min="37" max="37" width="4.44140625" customWidth="1"/>
    <col min="38" max="38" width="11.44140625" bestFit="1" customWidth="1"/>
    <col min="39" max="39" width="10" customWidth="1"/>
    <col min="40" max="40" width="9.6640625" bestFit="1" customWidth="1"/>
  </cols>
  <sheetData>
    <row r="2" spans="1:24" ht="18.5" x14ac:dyDescent="0.35">
      <c r="B2" s="39" t="s">
        <v>48</v>
      </c>
      <c r="N2" s="14"/>
      <c r="O2" s="14"/>
      <c r="P2" s="14"/>
    </row>
    <row r="3" spans="1:24" x14ac:dyDescent="0.3">
      <c r="B3" s="40" t="s">
        <v>54</v>
      </c>
      <c r="V3" s="10"/>
      <c r="W3" s="10"/>
      <c r="X3" s="11"/>
    </row>
    <row r="4" spans="1:24" x14ac:dyDescent="0.3">
      <c r="B4" t="s">
        <v>108</v>
      </c>
      <c r="O4" s="118"/>
    </row>
    <row r="5" spans="1:24" x14ac:dyDescent="0.3">
      <c r="C5" s="268" t="s">
        <v>15</v>
      </c>
      <c r="D5" s="268" t="s">
        <v>15</v>
      </c>
      <c r="E5" s="268" t="s">
        <v>15</v>
      </c>
      <c r="F5" s="268" t="s">
        <v>15</v>
      </c>
      <c r="G5" s="268" t="s">
        <v>15</v>
      </c>
      <c r="H5" s="268" t="s">
        <v>15</v>
      </c>
      <c r="I5" s="268" t="s">
        <v>15</v>
      </c>
      <c r="J5" s="268" t="s">
        <v>15</v>
      </c>
      <c r="K5" s="268" t="s">
        <v>15</v>
      </c>
      <c r="L5" s="268" t="s">
        <v>15</v>
      </c>
      <c r="M5" s="268" t="s">
        <v>15</v>
      </c>
      <c r="N5" s="268" t="s">
        <v>15</v>
      </c>
      <c r="O5" s="269" t="s">
        <v>16</v>
      </c>
      <c r="P5" s="269" t="s">
        <v>16</v>
      </c>
    </row>
    <row r="6" spans="1:24" x14ac:dyDescent="0.3">
      <c r="B6" s="1" t="s">
        <v>173</v>
      </c>
      <c r="C6" s="3">
        <v>2013</v>
      </c>
      <c r="D6" s="3">
        <v>2014</v>
      </c>
      <c r="E6" s="3">
        <v>2015</v>
      </c>
      <c r="F6" s="75">
        <v>2016</v>
      </c>
      <c r="G6" s="3">
        <v>2017</v>
      </c>
      <c r="H6" s="3">
        <v>2018</v>
      </c>
      <c r="I6" s="3">
        <v>2019</v>
      </c>
      <c r="J6" s="3">
        <v>2020</v>
      </c>
      <c r="K6" s="119" t="str">
        <f>Allocations!G$50</f>
        <v>2020-21</v>
      </c>
      <c r="L6" s="75" t="str">
        <f>Allocations!H$50</f>
        <v>2021-22</v>
      </c>
      <c r="M6" s="3" t="str">
        <f>Allocations!I$50</f>
        <v>2022-23</v>
      </c>
      <c r="N6" s="3" t="str">
        <f>Allocations!J$50</f>
        <v>2023-24</v>
      </c>
      <c r="O6" s="3" t="str">
        <f>Allocations!K$50</f>
        <v>2024-25</v>
      </c>
      <c r="P6" s="3" t="str">
        <f>Allocations!L$50</f>
        <v>2025-26</v>
      </c>
    </row>
    <row r="7" spans="1:24" x14ac:dyDescent="0.3">
      <c r="A7">
        <v>1012</v>
      </c>
      <c r="B7" t="s">
        <v>83</v>
      </c>
      <c r="C7" s="99">
        <v>16645.400089999996</v>
      </c>
      <c r="D7" s="99">
        <v>14457.178889999996</v>
      </c>
      <c r="E7" s="108">
        <f>INDEX(Historical_Cost!$E$56:$N$63,MATCH($B7,Historical_Cost!$B$56:$B$63,0),MATCH(E$6,Historical_Cost!$E$55:$N$55,0))</f>
        <v>13808.500988792912</v>
      </c>
      <c r="F7" s="111">
        <f>INDEX(Historical_Cost!$E$56:$N$63,MATCH($B7,Historical_Cost!$B$56:$B$63,0),MATCH(F$6,Historical_Cost!$E$55:$N$55,0))</f>
        <v>28210.588449455125</v>
      </c>
      <c r="G7" s="108">
        <f>INDEX(Historical_Cost!$E$56:$N$63,MATCH($B7,Historical_Cost!$B$56:$B$63,0),MATCH(G$6,Historical_Cost!$E$55:$N$55,0))</f>
        <v>24567.320776916698</v>
      </c>
      <c r="H7" s="108">
        <f>INDEX(Historical_Cost!$E$56:$N$63,MATCH($B7,Historical_Cost!$B$56:$B$63,0),MATCH(H$6,Historical_Cost!$E$55:$N$55,0))</f>
        <v>42442.235068688336</v>
      </c>
      <c r="I7" s="108">
        <f>INDEX(Historical_Cost!$E$56:$N$63,MATCH($B7,Historical_Cost!$B$56:$B$63,0),MATCH(I$6,Historical_Cost!$E$55:$N$55,0))</f>
        <v>49926.203070405987</v>
      </c>
      <c r="J7" s="99">
        <f>INDEX(Historical_Cost!$E$56:$N$63,MATCH($B7,Historical_Cost!$B$56:$B$63,0),MATCH(J$6,Historical_Cost!$E$55:$N$55,0))</f>
        <v>39540.596600905694</v>
      </c>
      <c r="K7" s="99">
        <f>INDEX(Historical_Cost!$E$56:$N$63,MATCH($B7,Historical_Cost!$B$56:$B$63,0),MATCH(K$6,Historical_Cost!$E$55:$N$55,0))</f>
        <v>40025.208404188517</v>
      </c>
      <c r="L7" s="237">
        <f>INDEX(Historical_Cost!$E$56:$N$63,MATCH($B7,Historical_Cost!$B$56:$B$63,0),MATCH(L$6,Historical_Cost!$E$55:$N$55,0))</f>
        <v>35132.428146046688</v>
      </c>
      <c r="M7" s="99">
        <f>INDEX(Historical_Cost!$E$56:$N$63,MATCH($B7,Historical_Cost!$B$56:$B$63,0),MATCH(M$6,Historical_Cost!$E$55:$N$55,0))</f>
        <v>46991.702629999992</v>
      </c>
      <c r="N7" s="99">
        <f>INDEX(Historical_Cost!$E$56:$N$63,MATCH($B7,Historical_Cost!$B$56:$B$63,0),MATCH(N$6,Historical_Cost!$E$55:$N$55,0))</f>
        <v>58037.301300000006</v>
      </c>
      <c r="O7" s="99">
        <f>Capex_Fcast_Total!G49*(1+Allocations!H46)+O51</f>
        <v>62566.218568925338</v>
      </c>
      <c r="P7" s="99">
        <f>Capex_Fcast_Total!H49*(1+Allocations!I46)+P51</f>
        <v>63706.795047551481</v>
      </c>
      <c r="R7" s="124"/>
    </row>
    <row r="8" spans="1:24" x14ac:dyDescent="0.3">
      <c r="A8">
        <v>1013</v>
      </c>
      <c r="B8" t="s">
        <v>84</v>
      </c>
      <c r="C8" s="99">
        <v>11949.261109999994</v>
      </c>
      <c r="D8" s="99">
        <v>13978.67406000001</v>
      </c>
      <c r="E8" s="108">
        <f>INDEX(Historical_Cost!$E$56:$N$63,MATCH($B8,Historical_Cost!$B$56:$B$63,0),MATCH(E$6,Historical_Cost!$E$55:$N$55,0))</f>
        <v>11397.266549092925</v>
      </c>
      <c r="F8" s="111">
        <f>INDEX(Historical_Cost!$E$56:$N$63,MATCH($B8,Historical_Cost!$B$56:$B$63,0),MATCH(F$6,Historical_Cost!$E$55:$N$55,0))</f>
        <v>12132.663607727391</v>
      </c>
      <c r="G8" s="108">
        <f>INDEX(Historical_Cost!$E$56:$N$63,MATCH($B8,Historical_Cost!$B$56:$B$63,0),MATCH(G$6,Historical_Cost!$E$55:$N$55,0))</f>
        <v>11722.611952980518</v>
      </c>
      <c r="H8" s="108">
        <f>INDEX(Historical_Cost!$E$56:$N$63,MATCH($B8,Historical_Cost!$B$56:$B$63,0),MATCH(H$6,Historical_Cost!$E$55:$N$55,0))</f>
        <v>12967.69839614131</v>
      </c>
      <c r="I8" s="108">
        <f>INDEX(Historical_Cost!$E$56:$N$63,MATCH($B8,Historical_Cost!$B$56:$B$63,0),MATCH(I$6,Historical_Cost!$E$55:$N$55,0))</f>
        <v>10970.10261769516</v>
      </c>
      <c r="J8" s="99">
        <f>INDEX(Historical_Cost!$E$56:$N$63,MATCH($B8,Historical_Cost!$B$56:$B$63,0),MATCH(J$6,Historical_Cost!$E$55:$N$55,0))</f>
        <v>10229.234256163527</v>
      </c>
      <c r="K8" s="99">
        <f>INDEX(Historical_Cost!$E$56:$N$63,MATCH($B8,Historical_Cost!$B$56:$B$63,0),MATCH(K$6,Historical_Cost!$E$55:$N$55,0))</f>
        <v>6776.7714015625752</v>
      </c>
      <c r="L8" s="237">
        <f>INDEX(Historical_Cost!$E$56:$N$63,MATCH($B8,Historical_Cost!$B$56:$B$63,0),MATCH(L$6,Historical_Cost!$E$55:$N$55,0))</f>
        <v>8308.8003042771543</v>
      </c>
      <c r="M8" s="99">
        <f>INDEX(Historical_Cost!$E$56:$N$63,MATCH($B8,Historical_Cost!$B$56:$B$63,0),MATCH(M$6,Historical_Cost!$E$55:$N$55,0))</f>
        <v>7841.3959799999993</v>
      </c>
      <c r="N8" s="99">
        <f>INDEX(Historical_Cost!$E$56:$N$63,MATCH($B8,Historical_Cost!$B$56:$B$63,0),MATCH(N$6,Historical_Cost!$E$55:$N$55,0))</f>
        <v>8845.5354100000004</v>
      </c>
      <c r="O8" s="99">
        <f>Capex_Fcast_Total!G50*(1+Allocations!H46)+O52</f>
        <v>10236.47991816483</v>
      </c>
      <c r="P8" s="99">
        <f>Capex_Fcast_Total!H50*(1+Allocations!I46)+P52</f>
        <v>11524.681757178992</v>
      </c>
    </row>
    <row r="9" spans="1:24" x14ac:dyDescent="0.3">
      <c r="A9">
        <v>1014</v>
      </c>
      <c r="B9" t="s">
        <v>85</v>
      </c>
      <c r="C9" s="99">
        <v>15375.707970000005</v>
      </c>
      <c r="D9" s="99">
        <v>14930.633029999997</v>
      </c>
      <c r="E9" s="108">
        <f>INDEX(Historical_Cost!$E$56:$N$63,MATCH($B9,Historical_Cost!$B$56:$B$63,0),MATCH(E$6,Historical_Cost!$E$55:$N$55,0))</f>
        <v>15136.997561382299</v>
      </c>
      <c r="F9" s="111">
        <f>INDEX(Historical_Cost!$E$56:$N$63,MATCH($B9,Historical_Cost!$B$56:$B$63,0),MATCH(F$6,Historical_Cost!$E$55:$N$55,0))</f>
        <v>15203.719405775453</v>
      </c>
      <c r="G9" s="108">
        <f>INDEX(Historical_Cost!$E$56:$N$63,MATCH($B9,Historical_Cost!$B$56:$B$63,0),MATCH(G$6,Historical_Cost!$E$55:$N$55,0))</f>
        <v>21650.533653318751</v>
      </c>
      <c r="H9" s="108">
        <f>INDEX(Historical_Cost!$E$56:$N$63,MATCH($B9,Historical_Cost!$B$56:$B$63,0),MATCH(H$6,Historical_Cost!$E$55:$N$55,0))</f>
        <v>30447.466766092817</v>
      </c>
      <c r="I9" s="108">
        <f>INDEX(Historical_Cost!$E$56:$N$63,MATCH($B9,Historical_Cost!$B$56:$B$63,0),MATCH(I$6,Historical_Cost!$E$55:$N$55,0))</f>
        <v>34448.580716836324</v>
      </c>
      <c r="J9" s="99">
        <f>INDEX(Historical_Cost!$E$56:$N$63,MATCH($B9,Historical_Cost!$B$56:$B$63,0),MATCH(J$6,Historical_Cost!$E$55:$N$55,0))</f>
        <v>26880.342467070855</v>
      </c>
      <c r="K9" s="99">
        <f>INDEX(Historical_Cost!$E$56:$N$63,MATCH($B9,Historical_Cost!$B$56:$B$63,0),MATCH(K$6,Historical_Cost!$E$55:$N$55,0))</f>
        <v>30367.514510528938</v>
      </c>
      <c r="L9" s="237">
        <f>INDEX(Historical_Cost!$E$56:$N$63,MATCH($B9,Historical_Cost!$B$56:$B$63,0),MATCH(L$6,Historical_Cost!$E$55:$N$55,0))</f>
        <v>22498.06539607274</v>
      </c>
      <c r="M9" s="99">
        <f>INDEX(Historical_Cost!$E$56:$N$63,MATCH($B9,Historical_Cost!$B$56:$B$63,0),MATCH(M$6,Historical_Cost!$E$55:$N$55,0))</f>
        <v>40078.45541000001</v>
      </c>
      <c r="N9" s="99">
        <f>INDEX(Historical_Cost!$E$56:$N$63,MATCH($B9,Historical_Cost!$B$56:$B$63,0),MATCH(N$6,Historical_Cost!$E$55:$N$55,0))</f>
        <v>41403.718560000001</v>
      </c>
      <c r="O9" s="99">
        <f>Capex_Fcast_Total!G51*(1+Allocations!H46)+O53</f>
        <v>46071.184126827851</v>
      </c>
      <c r="P9" s="99">
        <f>Capex_Fcast_Total!H51*(1+Allocations!I46)+P53</f>
        <v>40600.298028673802</v>
      </c>
    </row>
    <row r="10" spans="1:24" x14ac:dyDescent="0.3">
      <c r="A10">
        <v>1018</v>
      </c>
      <c r="B10" t="s">
        <v>86</v>
      </c>
      <c r="C10" s="99">
        <v>12519.772330000007</v>
      </c>
      <c r="D10" s="99">
        <v>15173.269189999995</v>
      </c>
      <c r="E10" s="108">
        <f>INDEX(Historical_Cost!$E$56:$N$63,MATCH($B10,Historical_Cost!$B$56:$B$63,0),MATCH(E$6,Historical_Cost!$E$55:$N$55,0))</f>
        <v>7214.8725498216572</v>
      </c>
      <c r="F10" s="111">
        <f>INDEX(Historical_Cost!$E$56:$N$63,MATCH($B10,Historical_Cost!$B$56:$B$63,0),MATCH(F$6,Historical_Cost!$E$55:$N$55,0))</f>
        <v>3144.6916107216712</v>
      </c>
      <c r="G10" s="108">
        <f>INDEX(Historical_Cost!$E$56:$N$63,MATCH($B10,Historical_Cost!$B$56:$B$63,0),MATCH(G$6,Historical_Cost!$E$55:$N$55,0))</f>
        <v>6969.1537558683885</v>
      </c>
      <c r="H10" s="108">
        <f>INDEX(Historical_Cost!$E$56:$N$63,MATCH($B10,Historical_Cost!$B$56:$B$63,0),MATCH(H$6,Historical_Cost!$E$55:$N$55,0))</f>
        <v>8098.4101954219514</v>
      </c>
      <c r="I10" s="108">
        <f>INDEX(Historical_Cost!$E$56:$N$63,MATCH($B10,Historical_Cost!$B$56:$B$63,0),MATCH(I$6,Historical_Cost!$E$55:$N$55,0))</f>
        <v>8609.6356274721547</v>
      </c>
      <c r="J10" s="99">
        <f>INDEX(Historical_Cost!$E$56:$N$63,MATCH($B10,Historical_Cost!$B$56:$B$63,0),MATCH(J$6,Historical_Cost!$E$55:$N$55,0))</f>
        <v>7164.651867105893</v>
      </c>
      <c r="K10" s="99">
        <f>INDEX(Historical_Cost!$E$56:$N$63,MATCH($B10,Historical_Cost!$B$56:$B$63,0),MATCH(K$6,Historical_Cost!$E$55:$N$55,0))</f>
        <v>8647.2544273403983</v>
      </c>
      <c r="L10" s="237">
        <f>INDEX(Historical_Cost!$E$56:$N$63,MATCH($B10,Historical_Cost!$B$56:$B$63,0),MATCH(L$6,Historical_Cost!$E$55:$N$55,0))</f>
        <v>10885.716888109509</v>
      </c>
      <c r="M10" s="99">
        <f>INDEX(Historical_Cost!$E$56:$N$63,MATCH($B10,Historical_Cost!$B$56:$B$63,0),MATCH(M$6,Historical_Cost!$E$55:$N$55,0))</f>
        <v>9842.1705699999984</v>
      </c>
      <c r="N10" s="99">
        <f>INDEX(Historical_Cost!$E$56:$N$63,MATCH($B10,Historical_Cost!$B$56:$B$63,0),MATCH(N$6,Historical_Cost!$E$55:$N$55,0))</f>
        <v>9005.0224699999999</v>
      </c>
      <c r="O10" s="99">
        <f>Capex_Fcast_Total!G52*(1+Allocations!H46)+O54</f>
        <v>11977.806105123305</v>
      </c>
      <c r="P10" s="99">
        <f>Capex_Fcast_Total!H52*(1+Allocations!I46)+P54</f>
        <v>12726.687294864714</v>
      </c>
    </row>
    <row r="11" spans="1:24" x14ac:dyDescent="0.3">
      <c r="A11">
        <v>1019</v>
      </c>
      <c r="B11" t="s">
        <v>78</v>
      </c>
      <c r="C11" s="99">
        <v>0</v>
      </c>
      <c r="D11" s="99">
        <v>0</v>
      </c>
      <c r="E11" s="108">
        <f>INDEX(Historical_Cost!$E$56:$N$63,MATCH($B11,Historical_Cost!$B$56:$B$63,0),MATCH(E$6,Historical_Cost!$E$55:$N$55,0))</f>
        <v>9702.9399053068446</v>
      </c>
      <c r="F11" s="111">
        <f>INDEX(Historical_Cost!$E$56:$N$63,MATCH($B11,Historical_Cost!$B$56:$B$63,0),MATCH(F$6,Historical_Cost!$E$55:$N$55,0))</f>
        <v>7272.406386922893</v>
      </c>
      <c r="G11" s="108">
        <f>INDEX(Historical_Cost!$E$56:$N$63,MATCH($B11,Historical_Cost!$B$56:$B$63,0),MATCH(G$6,Historical_Cost!$E$55:$N$55,0))</f>
        <v>6523.4368623004557</v>
      </c>
      <c r="H11" s="108">
        <f>INDEX(Historical_Cost!$E$56:$N$63,MATCH($B11,Historical_Cost!$B$56:$B$63,0),MATCH(H$6,Historical_Cost!$E$55:$N$55,0))</f>
        <v>5400.3730309488319</v>
      </c>
      <c r="I11" s="108">
        <f>INDEX(Historical_Cost!$E$56:$N$63,MATCH($B11,Historical_Cost!$B$56:$B$63,0),MATCH(I$6,Historical_Cost!$E$55:$N$55,0))</f>
        <v>6189.2214770375022</v>
      </c>
      <c r="J11" s="99">
        <f>INDEX(Historical_Cost!$E$56:$N$63,MATCH($B11,Historical_Cost!$B$56:$B$63,0),MATCH(J$6,Historical_Cost!$E$55:$N$55,0))</f>
        <v>6011.069912013666</v>
      </c>
      <c r="K11" s="99">
        <f>INDEX(Historical_Cost!$E$56:$N$63,MATCH($B11,Historical_Cost!$B$56:$B$63,0),MATCH(K$6,Historical_Cost!$E$55:$N$55,0))</f>
        <v>4557.6665856817335</v>
      </c>
      <c r="L11" s="237">
        <f>INDEX(Historical_Cost!$E$56:$N$63,MATCH($B11,Historical_Cost!$B$56:$B$63,0),MATCH(L$6,Historical_Cost!$E$55:$N$55,0))</f>
        <v>3445.0910329169315</v>
      </c>
      <c r="M11" s="99">
        <f>INDEX(Historical_Cost!$E$56:$N$63,MATCH($B11,Historical_Cost!$B$56:$B$63,0),MATCH(M$6,Historical_Cost!$E$55:$N$55,0))</f>
        <v>6643.0763799999995</v>
      </c>
      <c r="N11" s="99">
        <f>INDEX(Historical_Cost!$E$56:$N$63,MATCH($B11,Historical_Cost!$B$56:$B$63,0),MATCH(N$6,Historical_Cost!$E$55:$N$55,0))</f>
        <v>6122.6700699999992</v>
      </c>
      <c r="O11" s="99">
        <f>Capex_Fcast_Total!G53*(1+Allocations!H46)+O55</f>
        <v>5065.1378094428401</v>
      </c>
      <c r="P11" s="99">
        <f>Capex_Fcast_Total!H53*(1+Allocations!I46)+P55</f>
        <v>6092.1772718658249</v>
      </c>
    </row>
    <row r="12" spans="1:24" x14ac:dyDescent="0.3">
      <c r="A12">
        <v>1015</v>
      </c>
      <c r="B12" t="s">
        <v>335</v>
      </c>
      <c r="C12" s="99">
        <v>810.46006000000011</v>
      </c>
      <c r="D12" s="99">
        <v>6460.88184</v>
      </c>
      <c r="E12" s="108">
        <f>INDEX(Historical_Cost!$E$56:$N$63,MATCH($B12,Historical_Cost!$B$56:$B$63,0),MATCH(E$6,Historical_Cost!$E$55:$N$55,0))</f>
        <v>22310.515781089136</v>
      </c>
      <c r="F12" s="111">
        <f>INDEX(Historical_Cost!$E$56:$N$63,MATCH($B12,Historical_Cost!$B$56:$B$63,0),MATCH(F$6,Historical_Cost!$E$55:$N$55,0))</f>
        <v>396.8105924562438</v>
      </c>
      <c r="G12" s="108">
        <f>INDEX(Historical_Cost!$E$56:$N$63,MATCH($B12,Historical_Cost!$B$56:$B$63,0),MATCH(G$6,Historical_Cost!$E$55:$N$55,0))</f>
        <v>134.93279378565705</v>
      </c>
      <c r="H12" s="108">
        <f>INDEX(Historical_Cost!$E$56:$N$63,MATCH($B12,Historical_Cost!$B$56:$B$63,0),MATCH(H$6,Historical_Cost!$E$55:$N$55,0))</f>
        <v>133.66417228157752</v>
      </c>
      <c r="I12" s="108">
        <f>INDEX(Historical_Cost!$E$56:$N$63,MATCH($B12,Historical_Cost!$B$56:$B$63,0),MATCH(I$6,Historical_Cost!$E$55:$N$55,0))</f>
        <v>4850.7237200925538</v>
      </c>
      <c r="J12" s="99">
        <f>INDEX(Historical_Cost!$E$56:$N$63,MATCH($B12,Historical_Cost!$B$56:$B$63,0),MATCH(J$6,Historical_Cost!$E$55:$N$55,0))</f>
        <v>3568.8694276258698</v>
      </c>
      <c r="K12" s="99">
        <f>INDEX(Historical_Cost!$E$56:$N$63,MATCH($B12,Historical_Cost!$B$56:$B$63,0),MATCH(K$6,Historical_Cost!$E$55:$N$55,0))</f>
        <v>1951.3488474034491</v>
      </c>
      <c r="L12" s="237">
        <f>INDEX(Historical_Cost!$E$56:$N$63,MATCH($B12,Historical_Cost!$B$56:$B$63,0),MATCH(L$6,Historical_Cost!$E$55:$N$55,0))</f>
        <v>3799.1526428712245</v>
      </c>
      <c r="M12" s="99">
        <f>INDEX(Historical_Cost!$E$56:$N$63,MATCH($B12,Historical_Cost!$B$56:$B$63,0),MATCH(M$6,Historical_Cost!$E$55:$N$55,0))</f>
        <v>2159.7652081952597</v>
      </c>
      <c r="N12" s="99">
        <f>INDEX(Historical_Cost!$E$56:$N$63,MATCH($B12,Historical_Cost!$B$56:$B$63,0),MATCH(N$6,Historical_Cost!$E$55:$N$55,0))</f>
        <v>2767.2744500000003</v>
      </c>
      <c r="O12" s="99">
        <f>Capex_Fcast_Total!G54*(1+Allocations!H46)+O56</f>
        <v>6244.7579184377773</v>
      </c>
      <c r="P12" s="99">
        <f>Capex_Fcast_Total!H54*(1+Allocations!I46)+P56</f>
        <v>976.29202673106101</v>
      </c>
    </row>
    <row r="13" spans="1:24" x14ac:dyDescent="0.3">
      <c r="A13">
        <v>1016</v>
      </c>
      <c r="B13" t="s">
        <v>88</v>
      </c>
      <c r="C13" s="99">
        <v>1225.5853800000011</v>
      </c>
      <c r="D13" s="99">
        <v>1658.3680799999913</v>
      </c>
      <c r="E13" s="108">
        <f>INDEX(Historical_Cost!$E$56:$N$63,MATCH($B13,Historical_Cost!$B$56:$B$63,0),MATCH(E$6,Historical_Cost!$E$55:$N$55,0))</f>
        <v>1177.214430446277</v>
      </c>
      <c r="F13" s="111">
        <f>INDEX(Historical_Cost!$E$56:$N$63,MATCH($B13,Historical_Cost!$B$56:$B$63,0),MATCH(F$6,Historical_Cost!$E$55:$N$55,0))</f>
        <v>1216.9253157231906</v>
      </c>
      <c r="G13" s="108">
        <f>INDEX(Historical_Cost!$E$56:$N$63,MATCH($B13,Historical_Cost!$B$56:$B$63,0),MATCH(G$6,Historical_Cost!$E$55:$N$55,0))</f>
        <v>615.74565642590358</v>
      </c>
      <c r="H13" s="108">
        <f>INDEX(Historical_Cost!$E$56:$N$63,MATCH($B13,Historical_Cost!$B$56:$B$63,0),MATCH(H$6,Historical_Cost!$E$55:$N$55,0))</f>
        <v>1115.1832490513798</v>
      </c>
      <c r="I13" s="108">
        <f>INDEX(Historical_Cost!$E$56:$N$63,MATCH($B13,Historical_Cost!$B$56:$B$63,0),MATCH(I$6,Historical_Cost!$E$55:$N$55,0))</f>
        <v>845.05415044855647</v>
      </c>
      <c r="J13" s="99">
        <f>INDEX(Historical_Cost!$E$56:$N$63,MATCH($B13,Historical_Cost!$B$56:$B$63,0),MATCH(J$6,Historical_Cost!$E$55:$N$55,0))</f>
        <v>402.06976050006364</v>
      </c>
      <c r="K13" s="99">
        <f>INDEX(Historical_Cost!$E$56:$N$63,MATCH($B13,Historical_Cost!$B$56:$B$63,0),MATCH(K$6,Historical_Cost!$E$55:$N$55,0))</f>
        <v>320.90062903934302</v>
      </c>
      <c r="L13" s="237">
        <f>INDEX(Historical_Cost!$E$56:$N$63,MATCH($B13,Historical_Cost!$B$56:$B$63,0),MATCH(L$6,Historical_Cost!$E$55:$N$55,0))</f>
        <v>663.38755913306738</v>
      </c>
      <c r="M13" s="99">
        <f>INDEX(Historical_Cost!$E$56:$N$63,MATCH($B13,Historical_Cost!$B$56:$B$63,0),MATCH(M$6,Historical_Cost!$E$55:$N$55,0))</f>
        <v>490.25664000000006</v>
      </c>
      <c r="N13" s="99">
        <f>INDEX(Historical_Cost!$E$56:$N$63,MATCH($B13,Historical_Cost!$B$56:$B$63,0),MATCH(N$6,Historical_Cost!$E$55:$N$55,0))</f>
        <v>353.34366000000006</v>
      </c>
      <c r="O13" s="99">
        <f>Capex_Fcast_Total!G55*(1+Allocations!H46)+O57</f>
        <v>500.11448558285889</v>
      </c>
      <c r="P13" s="99">
        <f>Capex_Fcast_Total!H55*(1+Allocations!I46)+P57</f>
        <v>778.47341912226034</v>
      </c>
    </row>
    <row r="14" spans="1:24" x14ac:dyDescent="0.3">
      <c r="A14">
        <v>1048</v>
      </c>
      <c r="B14" t="s">
        <v>236</v>
      </c>
      <c r="C14" s="236"/>
      <c r="D14" s="236"/>
      <c r="E14" s="109">
        <f>INDEX(Historical_Cost!$E$56:$N$63,MATCH($B14,Historical_Cost!$B$56:$B$63,0),MATCH(E$6,Historical_Cost!$E$55:$N$55,0))</f>
        <v>0</v>
      </c>
      <c r="F14" s="112">
        <f>INDEX(Historical_Cost!$E$56:$N$63,MATCH($B14,Historical_Cost!$B$56:$B$63,0),MATCH(F$6,Historical_Cost!$E$55:$N$55,0))</f>
        <v>0</v>
      </c>
      <c r="G14" s="109">
        <f>INDEX(Historical_Cost!$E$56:$N$63,MATCH($B14,Historical_Cost!$B$56:$B$63,0),MATCH(G$6,Historical_Cost!$E$55:$N$55,0))</f>
        <v>0</v>
      </c>
      <c r="H14" s="109">
        <f>INDEX(Historical_Cost!$E$56:$N$63,MATCH($B14,Historical_Cost!$B$56:$B$63,0),MATCH(H$6,Historical_Cost!$E$55:$N$55,0))</f>
        <v>0</v>
      </c>
      <c r="I14" s="109">
        <f>INDEX(Historical_Cost!$E$56:$N$63,MATCH($B14,Historical_Cost!$B$56:$B$63,0),MATCH(I$6,Historical_Cost!$E$55:$N$55,0))</f>
        <v>0</v>
      </c>
      <c r="J14" s="236">
        <f>INDEX(Historical_Cost!$E$56:$N$63,MATCH($B14,Historical_Cost!$B$56:$B$63,0),MATCH(J$6,Historical_Cost!$E$55:$N$55,0))</f>
        <v>0</v>
      </c>
      <c r="K14" s="236">
        <f>INDEX(Historical_Cost!$E$56:$N$63,MATCH($B14,Historical_Cost!$B$56:$B$63,0),MATCH(K$6,Historical_Cost!$E$55:$N$55,0))</f>
        <v>0</v>
      </c>
      <c r="L14" s="277">
        <f>INDEX(Historical_Cost!$E$56:$N$63,MATCH($B14,Historical_Cost!$B$56:$B$63,0),MATCH(L$6,Historical_Cost!$E$55:$N$55,0))</f>
        <v>333.18619999999999</v>
      </c>
      <c r="M14" s="236">
        <f>INDEX(Historical_Cost!$E$56:$N$63,MATCH($B14,Historical_Cost!$B$56:$B$63,0),MATCH(M$6,Historical_Cost!$E$55:$N$55,0))</f>
        <v>1427.53639</v>
      </c>
      <c r="N14" s="236">
        <f>INDEX(Historical_Cost!$E$56:$N$63,MATCH($B14,Historical_Cost!$B$56:$B$63,0),MATCH(N$6,Historical_Cost!$E$55:$N$55,0))</f>
        <v>1216.8561</v>
      </c>
      <c r="O14" s="236">
        <f>Capex_Fcast_Total!G56*(1+Allocations!H46)+O58</f>
        <v>14442.904104441397</v>
      </c>
      <c r="P14" s="236">
        <f>Capex_Fcast_Total!H56*(1+Allocations!I46)+P58</f>
        <v>32069.674431662093</v>
      </c>
    </row>
    <row r="15" spans="1:24" x14ac:dyDescent="0.3">
      <c r="B15" s="1" t="s">
        <v>290</v>
      </c>
      <c r="C15" s="110">
        <f>SUM(C7:C14)</f>
        <v>58526.18694</v>
      </c>
      <c r="D15" s="273">
        <f t="shared" ref="D15:P15" si="0">SUM(D7:D14)</f>
        <v>66659.005089999991</v>
      </c>
      <c r="E15" s="110">
        <f t="shared" si="0"/>
        <v>80748.307765932055</v>
      </c>
      <c r="F15" s="113">
        <f t="shared" si="0"/>
        <v>67577.805368781963</v>
      </c>
      <c r="G15" s="110">
        <f t="shared" si="0"/>
        <v>72183.735451596382</v>
      </c>
      <c r="H15" s="110">
        <f t="shared" si="0"/>
        <v>100605.03087862622</v>
      </c>
      <c r="I15" s="110">
        <f t="shared" si="0"/>
        <v>115839.52137998823</v>
      </c>
      <c r="J15" s="110">
        <f t="shared" si="0"/>
        <v>93796.834291385574</v>
      </c>
      <c r="K15" s="110">
        <f t="shared" si="0"/>
        <v>92646.664805744964</v>
      </c>
      <c r="L15" s="113">
        <f t="shared" si="0"/>
        <v>85065.828169427317</v>
      </c>
      <c r="M15" s="110">
        <f t="shared" si="0"/>
        <v>115474.35920819527</v>
      </c>
      <c r="N15" s="110">
        <f t="shared" si="0"/>
        <v>127751.72202</v>
      </c>
      <c r="O15" s="110">
        <f t="shared" si="0"/>
        <v>157104.60303694621</v>
      </c>
      <c r="P15" s="110">
        <f t="shared" si="0"/>
        <v>168475.07927765025</v>
      </c>
    </row>
    <row r="16" spans="1:24" x14ac:dyDescent="0.3">
      <c r="C16" s="108"/>
      <c r="D16" s="99"/>
      <c r="E16" s="108">
        <f>E15-Historical_Cost!E64</f>
        <v>0</v>
      </c>
      <c r="F16" s="108">
        <f>F15-Historical_Cost!F64</f>
        <v>0</v>
      </c>
      <c r="G16" s="108">
        <f>G15-Historical_Cost!G64</f>
        <v>0</v>
      </c>
      <c r="H16" s="108">
        <f>H15-Historical_Cost!H64</f>
        <v>0</v>
      </c>
      <c r="I16" s="108">
        <f>I15-Historical_Cost!I64</f>
        <v>0</v>
      </c>
      <c r="J16" s="108">
        <f>J15-Historical_Cost!J64</f>
        <v>0</v>
      </c>
      <c r="K16" s="108">
        <f>K15-Historical_Cost!K64</f>
        <v>0</v>
      </c>
      <c r="L16" s="108">
        <f>L15-Historical_Cost!L64</f>
        <v>0</v>
      </c>
      <c r="M16" s="108">
        <f>M15-Historical_Cost!M64</f>
        <v>0</v>
      </c>
      <c r="N16" s="108">
        <f>N15-Historical_Cost!N64</f>
        <v>0</v>
      </c>
      <c r="O16" s="108">
        <f>O15-(Capex_Fcast_Total!G57*(1+Allocations!H46)+Capex_Fcast_Total!T27)</f>
        <v>0</v>
      </c>
      <c r="P16" s="108">
        <f>P15-(Capex_Fcast_Total!H57*(1+Allocations!I46)+Capex_Fcast_Total!U27)</f>
        <v>0</v>
      </c>
    </row>
    <row r="17" spans="1:16" x14ac:dyDescent="0.3">
      <c r="B17" s="1" t="s">
        <v>174</v>
      </c>
      <c r="C17" s="3">
        <v>2013</v>
      </c>
      <c r="D17" s="3">
        <v>2014</v>
      </c>
      <c r="E17" s="3">
        <v>2015</v>
      </c>
      <c r="F17" s="75">
        <v>2016</v>
      </c>
      <c r="G17" s="3">
        <v>2017</v>
      </c>
      <c r="H17" s="3">
        <v>2018</v>
      </c>
      <c r="I17" s="3">
        <v>2019</v>
      </c>
      <c r="J17" s="3">
        <v>2020</v>
      </c>
      <c r="K17" s="3" t="s">
        <v>127</v>
      </c>
      <c r="L17" s="75" t="s">
        <v>163</v>
      </c>
      <c r="M17" s="3" t="s">
        <v>162</v>
      </c>
      <c r="N17" s="3" t="s">
        <v>161</v>
      </c>
      <c r="O17" s="3" t="s">
        <v>160</v>
      </c>
      <c r="P17" s="3" t="s">
        <v>159</v>
      </c>
    </row>
    <row r="18" spans="1:16" x14ac:dyDescent="0.3">
      <c r="A18">
        <v>1012</v>
      </c>
      <c r="B18" t="s">
        <v>83</v>
      </c>
      <c r="C18" s="108">
        <v>2292.1901400000002</v>
      </c>
      <c r="D18" s="99">
        <v>2673.31097</v>
      </c>
      <c r="E18" s="108">
        <v>2971.9120200000002</v>
      </c>
      <c r="F18" s="111">
        <v>2299.99046</v>
      </c>
      <c r="G18" s="108">
        <v>4092.3551699999989</v>
      </c>
      <c r="H18" s="108">
        <v>26978.417690000002</v>
      </c>
      <c r="I18" s="108">
        <v>38213.416440000001</v>
      </c>
      <c r="J18" s="99">
        <f t="shared" ref="J18:N18" si="1">J51+J62</f>
        <v>28824.915300000001</v>
      </c>
      <c r="K18" s="99">
        <f t="shared" si="1"/>
        <v>28464.342170000004</v>
      </c>
      <c r="L18" s="237">
        <f t="shared" si="1"/>
        <v>25833.826880000001</v>
      </c>
      <c r="M18" s="99">
        <f t="shared" si="1"/>
        <v>32085.423030000002</v>
      </c>
      <c r="N18" s="99">
        <f t="shared" si="1"/>
        <v>40428.284919999998</v>
      </c>
      <c r="O18" s="99">
        <f t="shared" ref="O18:P18" si="2">O51+O62</f>
        <v>41571.256059466839</v>
      </c>
      <c r="P18" s="108">
        <f t="shared" si="2"/>
        <v>42175.504618980594</v>
      </c>
    </row>
    <row r="19" spans="1:16" x14ac:dyDescent="0.3">
      <c r="A19">
        <v>1013</v>
      </c>
      <c r="B19" t="s">
        <v>84</v>
      </c>
      <c r="C19" s="108">
        <v>1936.22209</v>
      </c>
      <c r="D19" s="99">
        <v>1877.19021</v>
      </c>
      <c r="E19" s="108">
        <v>654.77161999999998</v>
      </c>
      <c r="F19" s="111">
        <v>1841.6381399999996</v>
      </c>
      <c r="G19" s="108">
        <v>3675.8516499999996</v>
      </c>
      <c r="H19" s="108">
        <v>5295.525529999999</v>
      </c>
      <c r="I19" s="108">
        <v>5550.7914000000001</v>
      </c>
      <c r="J19" s="99">
        <f t="shared" ref="J19:N19" si="3">J52+J63</f>
        <v>4970.801190000001</v>
      </c>
      <c r="K19" s="99">
        <f t="shared" si="3"/>
        <v>5571.84807</v>
      </c>
      <c r="L19" s="237">
        <f t="shared" si="3"/>
        <v>5002.7975799999995</v>
      </c>
      <c r="M19" s="99">
        <f t="shared" si="3"/>
        <v>5264.7306399999998</v>
      </c>
      <c r="N19" s="99">
        <f t="shared" si="3"/>
        <v>4830.1115899999995</v>
      </c>
      <c r="O19" s="99">
        <f t="shared" ref="O19:P19" si="4">O52+O63</f>
        <v>6206.3770111201275</v>
      </c>
      <c r="P19" s="108">
        <f t="shared" si="4"/>
        <v>6987.4136900621497</v>
      </c>
    </row>
    <row r="20" spans="1:16" x14ac:dyDescent="0.3">
      <c r="A20">
        <v>1014</v>
      </c>
      <c r="B20" t="s">
        <v>85</v>
      </c>
      <c r="C20" s="108">
        <v>5252.119200000001</v>
      </c>
      <c r="D20" s="99">
        <v>4459.55627</v>
      </c>
      <c r="E20" s="108">
        <v>3243.3672000000001</v>
      </c>
      <c r="F20" s="111">
        <v>4743.1096899999993</v>
      </c>
      <c r="G20" s="108">
        <v>9878.6837899999991</v>
      </c>
      <c r="H20" s="108">
        <v>9462.3607800000009</v>
      </c>
      <c r="I20" s="108">
        <v>15563.210660000001</v>
      </c>
      <c r="J20" s="99">
        <f t="shared" ref="J20:N20" si="5">J53+J64</f>
        <v>9542.8226200000008</v>
      </c>
      <c r="K20" s="99">
        <f t="shared" si="5"/>
        <v>13128.584629999999</v>
      </c>
      <c r="L20" s="237">
        <f t="shared" si="5"/>
        <v>7701.715220000001</v>
      </c>
      <c r="M20" s="99">
        <f t="shared" si="5"/>
        <v>14256.739399999999</v>
      </c>
      <c r="N20" s="99">
        <f t="shared" si="5"/>
        <v>12498.18317</v>
      </c>
      <c r="O20" s="99">
        <f t="shared" ref="O20:P20" si="6">O53+O64</f>
        <v>15263.054333777451</v>
      </c>
      <c r="P20" s="108">
        <f t="shared" si="6"/>
        <v>14064.76241250302</v>
      </c>
    </row>
    <row r="21" spans="1:16" x14ac:dyDescent="0.3">
      <c r="A21">
        <v>1018</v>
      </c>
      <c r="B21" t="s">
        <v>86</v>
      </c>
      <c r="C21" s="108">
        <v>5246.7403600000007</v>
      </c>
      <c r="D21" s="99">
        <v>6775.21432</v>
      </c>
      <c r="E21" s="108">
        <v>193.904</v>
      </c>
      <c r="F21" s="111">
        <v>815.68687000000011</v>
      </c>
      <c r="G21" s="108">
        <v>3207.4331099999999</v>
      </c>
      <c r="H21" s="108">
        <v>3527.9896699999999</v>
      </c>
      <c r="I21" s="108">
        <v>4243.1697300000005</v>
      </c>
      <c r="J21" s="99">
        <f t="shared" ref="J21:N21" si="7">J54+J65</f>
        <v>4381.1303700000008</v>
      </c>
      <c r="K21" s="99">
        <f t="shared" si="7"/>
        <v>5785.2387600000002</v>
      </c>
      <c r="L21" s="237">
        <f t="shared" si="7"/>
        <v>6007.5178699999988</v>
      </c>
      <c r="M21" s="99">
        <f t="shared" si="7"/>
        <v>5283.1652800000002</v>
      </c>
      <c r="N21" s="99">
        <f t="shared" si="7"/>
        <v>5382.0905899999998</v>
      </c>
      <c r="O21" s="99">
        <f t="shared" ref="O21:P21" si="8">O54+O65</f>
        <v>6645.5858964522986</v>
      </c>
      <c r="P21" s="108">
        <f t="shared" si="8"/>
        <v>7061.0838790532362</v>
      </c>
    </row>
    <row r="22" spans="1:16" x14ac:dyDescent="0.3">
      <c r="A22">
        <v>1019</v>
      </c>
      <c r="B22" t="s">
        <v>78</v>
      </c>
      <c r="C22" s="108">
        <v>0</v>
      </c>
      <c r="D22" s="99">
        <v>0</v>
      </c>
      <c r="E22" s="108">
        <v>5875.1197499999998</v>
      </c>
      <c r="F22" s="111">
        <v>3889.2808300000002</v>
      </c>
      <c r="G22" s="108">
        <v>4588.9421400000001</v>
      </c>
      <c r="H22" s="108">
        <v>3043.6164199999994</v>
      </c>
      <c r="I22" s="108">
        <v>4397.606859999999</v>
      </c>
      <c r="J22" s="99">
        <f t="shared" ref="J22:N22" si="9">J55+J66</f>
        <v>3414.76638</v>
      </c>
      <c r="K22" s="99">
        <f t="shared" si="9"/>
        <v>3522.3031000000001</v>
      </c>
      <c r="L22" s="237">
        <f t="shared" si="9"/>
        <v>3226.1073200000001</v>
      </c>
      <c r="M22" s="99">
        <f t="shared" si="9"/>
        <v>4813.2128000000002</v>
      </c>
      <c r="N22" s="99">
        <f t="shared" si="9"/>
        <v>4342.2642699999997</v>
      </c>
      <c r="O22" s="99">
        <f t="shared" ref="O22:P22" si="10">O55+O66</f>
        <v>4169.1695447512939</v>
      </c>
      <c r="P22" s="108">
        <f t="shared" si="10"/>
        <v>4775.8746571926413</v>
      </c>
    </row>
    <row r="23" spans="1:16" x14ac:dyDescent="0.3">
      <c r="A23">
        <v>1015</v>
      </c>
      <c r="B23" t="s">
        <v>335</v>
      </c>
      <c r="C23" s="108">
        <v>104.919</v>
      </c>
      <c r="D23" s="99">
        <v>6866.64635</v>
      </c>
      <c r="E23" s="108">
        <v>23788.959320000002</v>
      </c>
      <c r="F23" s="111">
        <v>134.25000000000003</v>
      </c>
      <c r="G23" s="108">
        <v>335.24520000000001</v>
      </c>
      <c r="H23" s="108">
        <v>236.71700000000001</v>
      </c>
      <c r="I23" s="108">
        <v>59.794150000000002</v>
      </c>
      <c r="J23" s="99">
        <f t="shared" ref="J23:N23" si="11">J56+J67</f>
        <v>5859.0055300000004</v>
      </c>
      <c r="K23" s="99">
        <f t="shared" si="11"/>
        <v>7287.3694500000001</v>
      </c>
      <c r="L23" s="237">
        <f t="shared" si="11"/>
        <v>3300</v>
      </c>
      <c r="M23" s="99">
        <f t="shared" si="11"/>
        <v>1151.44121</v>
      </c>
      <c r="N23" s="99">
        <f t="shared" si="11"/>
        <v>82.167249999999996</v>
      </c>
      <c r="O23" s="99">
        <f t="shared" ref="O23:P23" si="12">O56+O67</f>
        <v>10019.355550810786</v>
      </c>
      <c r="P23" s="108">
        <f t="shared" si="12"/>
        <v>235.94246233578693</v>
      </c>
    </row>
    <row r="24" spans="1:16" x14ac:dyDescent="0.3">
      <c r="A24">
        <v>1016</v>
      </c>
      <c r="B24" t="s">
        <v>88</v>
      </c>
      <c r="C24" s="108">
        <v>7.99</v>
      </c>
      <c r="D24" s="99">
        <v>2.2800000000000002</v>
      </c>
      <c r="E24" s="108">
        <v>0.5</v>
      </c>
      <c r="F24" s="111">
        <v>325.93799999999999</v>
      </c>
      <c r="G24" s="108">
        <v>49.964730000000003</v>
      </c>
      <c r="H24" s="108">
        <v>31.336099999999998</v>
      </c>
      <c r="I24" s="108">
        <v>6.0510000000000002</v>
      </c>
      <c r="J24" s="99">
        <f t="shared" ref="J24:N24" si="13">J57+J68</f>
        <v>0.5</v>
      </c>
      <c r="K24" s="99">
        <f t="shared" si="13"/>
        <v>0</v>
      </c>
      <c r="L24" s="237">
        <f t="shared" si="13"/>
        <v>2.4</v>
      </c>
      <c r="M24" s="99">
        <f t="shared" si="13"/>
        <v>3.073</v>
      </c>
      <c r="N24" s="99">
        <f t="shared" si="13"/>
        <v>0</v>
      </c>
      <c r="O24" s="99">
        <f t="shared" ref="O24:P25" si="14">O57+O68</f>
        <v>0</v>
      </c>
      <c r="P24" s="108">
        <f t="shared" si="14"/>
        <v>0</v>
      </c>
    </row>
    <row r="25" spans="1:16" x14ac:dyDescent="0.3">
      <c r="A25">
        <v>1048</v>
      </c>
      <c r="B25" t="s">
        <v>236</v>
      </c>
      <c r="C25" s="109"/>
      <c r="D25" s="236"/>
      <c r="E25" s="109"/>
      <c r="F25" s="112"/>
      <c r="G25" s="109"/>
      <c r="H25" s="109"/>
      <c r="I25" s="109"/>
      <c r="J25" s="236">
        <f t="shared" ref="J25:N25" si="15">J58+J69</f>
        <v>0</v>
      </c>
      <c r="K25" s="236">
        <f t="shared" si="15"/>
        <v>0</v>
      </c>
      <c r="L25" s="277">
        <f t="shared" si="15"/>
        <v>0</v>
      </c>
      <c r="M25" s="236">
        <f t="shared" si="15"/>
        <v>0</v>
      </c>
      <c r="N25" s="236">
        <f t="shared" si="15"/>
        <v>78.673000000000002</v>
      </c>
      <c r="O25" s="236">
        <f t="shared" si="14"/>
        <v>13182.708977854867</v>
      </c>
      <c r="P25" s="236">
        <f t="shared" si="14"/>
        <v>25959.90969437997</v>
      </c>
    </row>
    <row r="26" spans="1:16" x14ac:dyDescent="0.3">
      <c r="B26" s="1" t="s">
        <v>2</v>
      </c>
      <c r="C26" s="110">
        <f>SUM(C18:C25)</f>
        <v>14840.180790000002</v>
      </c>
      <c r="D26" s="273">
        <f t="shared" ref="D26:P26" si="16">SUM(D18:D25)</f>
        <v>22654.198119999997</v>
      </c>
      <c r="E26" s="110">
        <f t="shared" si="16"/>
        <v>36728.533909999998</v>
      </c>
      <c r="F26" s="113">
        <f t="shared" si="16"/>
        <v>14049.893989999999</v>
      </c>
      <c r="G26" s="110">
        <f t="shared" si="16"/>
        <v>25828.47579</v>
      </c>
      <c r="H26" s="110">
        <f t="shared" si="16"/>
        <v>48575.963190000002</v>
      </c>
      <c r="I26" s="110">
        <f t="shared" si="16"/>
        <v>68034.040240000002</v>
      </c>
      <c r="J26" s="110">
        <f t="shared" si="16"/>
        <v>56993.94139</v>
      </c>
      <c r="K26" s="110">
        <f t="shared" si="16"/>
        <v>63759.686179999997</v>
      </c>
      <c r="L26" s="113">
        <f t="shared" si="16"/>
        <v>51074.364869999998</v>
      </c>
      <c r="M26" s="110">
        <f t="shared" si="16"/>
        <v>62857.785359999994</v>
      </c>
      <c r="N26" s="110">
        <f t="shared" si="16"/>
        <v>67641.774789999981</v>
      </c>
      <c r="O26" s="110">
        <f t="shared" si="16"/>
        <v>97057.507374233654</v>
      </c>
      <c r="P26" s="110">
        <f t="shared" si="16"/>
        <v>101260.49141450741</v>
      </c>
    </row>
    <row r="27" spans="1:16" x14ac:dyDescent="0.3">
      <c r="C27" s="108"/>
      <c r="D27" s="108"/>
      <c r="E27" s="108">
        <v>0.68800000000192085</v>
      </c>
      <c r="F27" s="108">
        <f>F26-(F59+F70)</f>
        <v>0</v>
      </c>
      <c r="G27" s="108">
        <f t="shared" ref="G27:P27" si="17">G26-(G59+G70)</f>
        <v>0</v>
      </c>
      <c r="H27" s="108">
        <f t="shared" si="17"/>
        <v>0</v>
      </c>
      <c r="I27" s="108">
        <f t="shared" si="17"/>
        <v>0</v>
      </c>
      <c r="J27" s="108">
        <f t="shared" si="17"/>
        <v>0</v>
      </c>
      <c r="K27" s="108">
        <f t="shared" si="17"/>
        <v>0</v>
      </c>
      <c r="L27" s="108">
        <f t="shared" si="17"/>
        <v>0</v>
      </c>
      <c r="M27" s="108">
        <f t="shared" si="17"/>
        <v>0</v>
      </c>
      <c r="N27" s="108">
        <f t="shared" si="17"/>
        <v>0</v>
      </c>
      <c r="O27" s="108">
        <f t="shared" si="17"/>
        <v>0</v>
      </c>
      <c r="P27" s="108">
        <f t="shared" si="17"/>
        <v>0</v>
      </c>
    </row>
    <row r="28" spans="1:16" x14ac:dyDescent="0.3">
      <c r="B28" s="30" t="s">
        <v>169</v>
      </c>
      <c r="C28" s="3">
        <v>2013</v>
      </c>
      <c r="D28" s="3">
        <v>2014</v>
      </c>
      <c r="E28" s="3">
        <v>2015</v>
      </c>
      <c r="F28" s="75">
        <v>2016</v>
      </c>
      <c r="G28" s="3">
        <v>2017</v>
      </c>
      <c r="H28" s="3">
        <v>2018</v>
      </c>
      <c r="I28" s="3">
        <v>2019</v>
      </c>
      <c r="J28" s="3">
        <v>2020</v>
      </c>
      <c r="K28" s="3" t="s">
        <v>127</v>
      </c>
      <c r="L28" s="75" t="s">
        <v>163</v>
      </c>
      <c r="M28" s="3" t="s">
        <v>162</v>
      </c>
      <c r="N28" s="3" t="s">
        <v>161</v>
      </c>
      <c r="O28" s="3" t="s">
        <v>160</v>
      </c>
      <c r="P28" s="3" t="s">
        <v>159</v>
      </c>
    </row>
    <row r="29" spans="1:16" x14ac:dyDescent="0.3">
      <c r="A29">
        <v>1012</v>
      </c>
      <c r="B29" t="s">
        <v>83</v>
      </c>
      <c r="C29" s="11">
        <f t="shared" ref="C29:J35" si="18">IF(C18=0,0,C18/C7)</f>
        <v>0.1377071219439821</v>
      </c>
      <c r="D29" s="11">
        <f t="shared" si="18"/>
        <v>0.18491235325649352</v>
      </c>
      <c r="E29" s="11">
        <f t="shared" si="18"/>
        <v>0.21522336294229383</v>
      </c>
      <c r="F29" s="78">
        <f t="shared" si="18"/>
        <v>8.1529333006324561E-2</v>
      </c>
      <c r="G29" s="11">
        <f t="shared" si="18"/>
        <v>0.16657718630210383</v>
      </c>
      <c r="H29" s="11">
        <f t="shared" si="18"/>
        <v>0.63565025843568901</v>
      </c>
      <c r="I29" s="11">
        <f t="shared" si="18"/>
        <v>0.76539800926001522</v>
      </c>
      <c r="J29" s="11">
        <f t="shared" si="18"/>
        <v>0.72899545727491011</v>
      </c>
      <c r="K29" s="11">
        <f t="shared" ref="K29" si="19">IF(K18=0,0,K18/K7)</f>
        <v>0.71116037379636221</v>
      </c>
      <c r="L29" s="78">
        <f t="shared" ref="L29:M29" si="20">IF(L18=0,0,L18/L7)</f>
        <v>0.73532711068554413</v>
      </c>
      <c r="M29" s="11">
        <f t="shared" si="20"/>
        <v>0.6827891145513918</v>
      </c>
      <c r="N29" s="11">
        <f t="shared" ref="N29:P29" si="21">IF(N18=0,0,N18/N7)</f>
        <v>0.69659139922827518</v>
      </c>
      <c r="O29" s="11">
        <f t="shared" si="21"/>
        <v>0.66443612879800873</v>
      </c>
      <c r="P29" s="11">
        <f t="shared" si="21"/>
        <v>0.66202521391164504</v>
      </c>
    </row>
    <row r="30" spans="1:16" x14ac:dyDescent="0.3">
      <c r="A30">
        <v>1013</v>
      </c>
      <c r="B30" t="s">
        <v>84</v>
      </c>
      <c r="C30" s="11">
        <f t="shared" si="18"/>
        <v>0.16203697217559596</v>
      </c>
      <c r="D30" s="11">
        <f t="shared" si="18"/>
        <v>0.13428957581689252</v>
      </c>
      <c r="E30" s="11">
        <f t="shared" si="18"/>
        <v>5.7449882143197864E-2</v>
      </c>
      <c r="F30" s="78">
        <f t="shared" si="18"/>
        <v>0.15179174166067255</v>
      </c>
      <c r="G30" s="11">
        <f t="shared" si="18"/>
        <v>0.31356933631718487</v>
      </c>
      <c r="H30" s="11">
        <f t="shared" si="18"/>
        <v>0.40836279255043012</v>
      </c>
      <c r="I30" s="11">
        <f t="shared" si="18"/>
        <v>0.50599265963532369</v>
      </c>
      <c r="J30" s="11">
        <f t="shared" si="18"/>
        <v>0.48594069365503995</v>
      </c>
      <c r="K30" s="11">
        <f t="shared" ref="K30" si="22">IF(K19=0,0,K19/K8)</f>
        <v>0.82219802614490634</v>
      </c>
      <c r="L30" s="78">
        <f t="shared" ref="L30:M30" si="23">IF(L19=0,0,L19/L8)</f>
        <v>0.60210829443387748</v>
      </c>
      <c r="M30" s="11">
        <f t="shared" si="23"/>
        <v>0.67140221631812047</v>
      </c>
      <c r="N30" s="11">
        <f t="shared" ref="N30:P30" si="24">IF(N19=0,0,N19/N8)</f>
        <v>0.54605078902736526</v>
      </c>
      <c r="O30" s="11">
        <f t="shared" si="24"/>
        <v>0.60629992543694555</v>
      </c>
      <c r="P30" s="11">
        <f t="shared" si="24"/>
        <v>0.60629992543694555</v>
      </c>
    </row>
    <row r="31" spans="1:16" x14ac:dyDescent="0.3">
      <c r="A31">
        <v>1014</v>
      </c>
      <c r="B31" t="s">
        <v>85</v>
      </c>
      <c r="C31" s="11">
        <f t="shared" si="18"/>
        <v>0.34158551985037466</v>
      </c>
      <c r="D31" s="11">
        <f t="shared" si="18"/>
        <v>0.29868500960672267</v>
      </c>
      <c r="E31" s="11">
        <f t="shared" si="18"/>
        <v>0.21426753798748835</v>
      </c>
      <c r="F31" s="78">
        <f t="shared" si="18"/>
        <v>0.3119703516889577</v>
      </c>
      <c r="G31" s="11">
        <f t="shared" si="18"/>
        <v>0.45627899746876321</v>
      </c>
      <c r="H31" s="11">
        <f t="shared" si="18"/>
        <v>0.31077661904331433</v>
      </c>
      <c r="I31" s="11">
        <f t="shared" si="18"/>
        <v>0.45178089593669879</v>
      </c>
      <c r="J31" s="11">
        <f t="shared" si="18"/>
        <v>0.35501119941794701</v>
      </c>
      <c r="K31" s="11">
        <f t="shared" ref="K31" si="25">IF(K20=0,0,K20/K9)</f>
        <v>0.43232331791421696</v>
      </c>
      <c r="L31" s="78">
        <f t="shared" ref="L31:M31" si="26">IF(L20=0,0,L20/L9)</f>
        <v>0.34232788839454664</v>
      </c>
      <c r="M31" s="11">
        <f t="shared" si="26"/>
        <v>0.35572077950995057</v>
      </c>
      <c r="N31" s="11">
        <f t="shared" ref="N31:P31" si="27">IF(N20=0,0,N20/N9)</f>
        <v>0.30186136909148192</v>
      </c>
      <c r="O31" s="11">
        <f t="shared" si="27"/>
        <v>0.33129285958355853</v>
      </c>
      <c r="P31" s="11">
        <f t="shared" si="27"/>
        <v>0.34642017658515306</v>
      </c>
    </row>
    <row r="32" spans="1:16" x14ac:dyDescent="0.3">
      <c r="A32">
        <v>1018</v>
      </c>
      <c r="B32" t="s">
        <v>86</v>
      </c>
      <c r="C32" s="11">
        <f t="shared" si="18"/>
        <v>0.41907633954554491</v>
      </c>
      <c r="D32" s="11">
        <f t="shared" si="18"/>
        <v>0.44652304227656042</v>
      </c>
      <c r="E32" s="11">
        <f t="shared" si="18"/>
        <v>2.6875596022107564E-2</v>
      </c>
      <c r="F32" s="78">
        <f t="shared" si="18"/>
        <v>0.25938532961990801</v>
      </c>
      <c r="G32" s="11">
        <f t="shared" si="18"/>
        <v>0.46023279473482342</v>
      </c>
      <c r="H32" s="11">
        <f t="shared" si="18"/>
        <v>0.43563978421275573</v>
      </c>
      <c r="I32" s="11">
        <f t="shared" si="18"/>
        <v>0.49283964079276871</v>
      </c>
      <c r="J32" s="11">
        <f t="shared" si="18"/>
        <v>0.61149242855950869</v>
      </c>
      <c r="K32" s="11">
        <f t="shared" ref="K32" si="28">IF(K21=0,0,K21/K10)</f>
        <v>0.66902608320492574</v>
      </c>
      <c r="L32" s="78">
        <f t="shared" ref="L32:M32" si="29">IF(L21=0,0,L21/L10)</f>
        <v>0.55187158840792772</v>
      </c>
      <c r="M32" s="11">
        <f t="shared" si="29"/>
        <v>0.53678863238802832</v>
      </c>
      <c r="N32" s="11">
        <f t="shared" ref="N32:P32" si="30">IF(N21=0,0,N21/N10)</f>
        <v>0.59767653083935057</v>
      </c>
      <c r="O32" s="11">
        <f t="shared" si="30"/>
        <v>0.55482496862340769</v>
      </c>
      <c r="P32" s="11">
        <f t="shared" si="30"/>
        <v>0.55482496862340769</v>
      </c>
    </row>
    <row r="33" spans="1:16" x14ac:dyDescent="0.3">
      <c r="A33">
        <v>1019</v>
      </c>
      <c r="B33" t="s">
        <v>78</v>
      </c>
      <c r="C33" s="11">
        <f t="shared" si="18"/>
        <v>0</v>
      </c>
      <c r="D33" s="11">
        <f t="shared" si="18"/>
        <v>0</v>
      </c>
      <c r="E33" s="11">
        <f t="shared" si="18"/>
        <v>0.60549893200788674</v>
      </c>
      <c r="F33" s="78">
        <f t="shared" si="18"/>
        <v>0.53479971044984964</v>
      </c>
      <c r="G33" s="11">
        <f t="shared" si="18"/>
        <v>0.70345467226331582</v>
      </c>
      <c r="H33" s="11">
        <f t="shared" si="18"/>
        <v>0.56359373742469854</v>
      </c>
      <c r="I33" s="11">
        <f t="shared" si="18"/>
        <v>0.71052665934083403</v>
      </c>
      <c r="J33" s="11">
        <f t="shared" si="18"/>
        <v>0.56807963141058815</v>
      </c>
      <c r="K33" s="11">
        <f t="shared" ref="K33" si="31">IF(K22=0,0,K22/K11)</f>
        <v>0.77283035820689283</v>
      </c>
      <c r="L33" s="78">
        <f t="shared" ref="L33:M33" si="32">IF(L22=0,0,L22/L11)</f>
        <v>0.93643601552916889</v>
      </c>
      <c r="M33" s="11">
        <f t="shared" si="32"/>
        <v>0.72454575631418539</v>
      </c>
      <c r="N33" s="11">
        <f t="shared" ref="N33:P33" si="33">IF(N22=0,0,N22/N11)</f>
        <v>0.70921088681167499</v>
      </c>
      <c r="O33" s="11">
        <f t="shared" si="33"/>
        <v>0.82311078229279178</v>
      </c>
      <c r="P33" s="11">
        <f t="shared" si="33"/>
        <v>0.78393560201342516</v>
      </c>
    </row>
    <row r="34" spans="1:16" x14ac:dyDescent="0.3">
      <c r="A34">
        <v>1015</v>
      </c>
      <c r="B34" t="s">
        <v>335</v>
      </c>
      <c r="C34" s="11">
        <f t="shared" si="18"/>
        <v>0.12945610176027672</v>
      </c>
      <c r="D34" s="11">
        <f t="shared" si="18"/>
        <v>1.0628032705207313</v>
      </c>
      <c r="E34" s="11">
        <f t="shared" si="18"/>
        <v>1.0662666678537314</v>
      </c>
      <c r="F34" s="78">
        <f t="shared" si="18"/>
        <v>0.33832262180552486</v>
      </c>
      <c r="G34" s="11">
        <f t="shared" si="18"/>
        <v>2.4845346382773523</v>
      </c>
      <c r="H34" s="11">
        <f t="shared" si="18"/>
        <v>1.7709831734216028</v>
      </c>
      <c r="I34" s="11">
        <f t="shared" si="18"/>
        <v>1.2326851301038251E-2</v>
      </c>
      <c r="J34" s="11">
        <f t="shared" si="18"/>
        <v>1.6416979238989993</v>
      </c>
      <c r="K34" s="11">
        <f t="shared" ref="K34" si="34">IF(K23=0,0,K23/K12)</f>
        <v>3.7345293024857629</v>
      </c>
      <c r="L34" s="78">
        <f t="shared" ref="L34:M34" si="35">IF(L23=0,0,L23/L12)</f>
        <v>0.86861474391984739</v>
      </c>
      <c r="M34" s="11">
        <f t="shared" si="35"/>
        <v>0.53313258572313327</v>
      </c>
      <c r="N34" s="11">
        <f t="shared" ref="N34:P34" si="36">IF(N23=0,0,N23/N12)</f>
        <v>2.9692483157931802E-2</v>
      </c>
      <c r="O34" s="11">
        <f t="shared" si="36"/>
        <v>1.6044425871543284</v>
      </c>
      <c r="P34" s="11">
        <f t="shared" si="36"/>
        <v>0.24167201603171748</v>
      </c>
    </row>
    <row r="35" spans="1:16" x14ac:dyDescent="0.3">
      <c r="A35">
        <v>1016</v>
      </c>
      <c r="B35" t="s">
        <v>88</v>
      </c>
      <c r="C35" s="11">
        <f t="shared" si="18"/>
        <v>6.5193336428344085E-3</v>
      </c>
      <c r="D35" s="11">
        <f t="shared" si="18"/>
        <v>1.3748455650448917E-3</v>
      </c>
      <c r="E35" s="11">
        <f t="shared" si="18"/>
        <v>4.2473145679199E-4</v>
      </c>
      <c r="F35" s="78">
        <f t="shared" si="18"/>
        <v>0.26783730750666696</v>
      </c>
      <c r="G35" s="11">
        <f t="shared" si="18"/>
        <v>8.1145079106234128E-2</v>
      </c>
      <c r="H35" s="11">
        <f t="shared" si="18"/>
        <v>2.8099507436697743E-2</v>
      </c>
      <c r="I35" s="11">
        <f t="shared" si="18"/>
        <v>7.160487877360424E-3</v>
      </c>
      <c r="J35" s="11">
        <f t="shared" si="18"/>
        <v>1.2435652941871038E-3</v>
      </c>
      <c r="K35" s="11">
        <f t="shared" ref="K35" si="37">IF(K24=0,0,K24/K13)</f>
        <v>0</v>
      </c>
      <c r="L35" s="78">
        <f>IF(L24=0,0,L24/L13)</f>
        <v>3.6177947068172099E-3</v>
      </c>
      <c r="M35" s="11">
        <f>IF(M24=0,0,M24/M13)</f>
        <v>6.2681455981911834E-3</v>
      </c>
      <c r="N35" s="11">
        <f t="shared" ref="N35:P36" si="38">IF(N24=0,0,N24/N13)</f>
        <v>0</v>
      </c>
      <c r="O35" s="11">
        <f t="shared" si="38"/>
        <v>0</v>
      </c>
      <c r="P35" s="11">
        <f t="shared" si="38"/>
        <v>0</v>
      </c>
    </row>
    <row r="36" spans="1:16" x14ac:dyDescent="0.3">
      <c r="A36">
        <v>1048</v>
      </c>
      <c r="B36" t="s">
        <v>236</v>
      </c>
      <c r="C36" s="188"/>
      <c r="D36" s="188"/>
      <c r="E36" s="188"/>
      <c r="F36" s="264"/>
      <c r="G36" s="188"/>
      <c r="H36" s="188"/>
      <c r="I36" s="188"/>
      <c r="J36" s="188"/>
      <c r="K36" s="188"/>
      <c r="L36" s="264">
        <f>IF(L25=0,0,L25/L14)</f>
        <v>0</v>
      </c>
      <c r="M36" s="188">
        <f>IF(M25=0,0,M25/M14)</f>
        <v>0</v>
      </c>
      <c r="N36" s="188">
        <f t="shared" si="38"/>
        <v>6.4652673393345364E-2</v>
      </c>
      <c r="O36" s="188">
        <f t="shared" si="38"/>
        <v>0.912746417377444</v>
      </c>
      <c r="P36" s="188">
        <f t="shared" si="38"/>
        <v>0.80948466594815172</v>
      </c>
    </row>
    <row r="37" spans="1:16" x14ac:dyDescent="0.3">
      <c r="B37" s="1" t="s">
        <v>2</v>
      </c>
      <c r="C37" s="274">
        <f t="shared" ref="C37:K37" si="39">IF(C26=0,0,C26/C15)</f>
        <v>0.25356479835622797</v>
      </c>
      <c r="D37" s="274">
        <f t="shared" si="39"/>
        <v>0.33985202883561372</v>
      </c>
      <c r="E37" s="274">
        <f t="shared" si="39"/>
        <v>0.45485205728974881</v>
      </c>
      <c r="F37" s="275">
        <f t="shared" si="39"/>
        <v>0.20790692910679287</v>
      </c>
      <c r="G37" s="274">
        <f t="shared" si="39"/>
        <v>0.35781572716362919</v>
      </c>
      <c r="H37" s="274">
        <f t="shared" si="39"/>
        <v>0.48283831102446473</v>
      </c>
      <c r="I37" s="274">
        <f t="shared" si="39"/>
        <v>0.58731285686884038</v>
      </c>
      <c r="J37" s="274">
        <f t="shared" si="39"/>
        <v>0.6076318227643468</v>
      </c>
      <c r="K37" s="274">
        <f t="shared" si="39"/>
        <v>0.68820271419037959</v>
      </c>
      <c r="L37" s="275">
        <f t="shared" ref="L37:M37" si="40">IF(L26=0,0,L26/L15)</f>
        <v>0.60040989395029642</v>
      </c>
      <c r="M37" s="274">
        <f t="shared" si="40"/>
        <v>0.54434409327762656</v>
      </c>
      <c r="N37" s="274">
        <f t="shared" ref="N37:P37" si="41">IF(N26=0,0,N26/N15)</f>
        <v>0.52947837978583501</v>
      </c>
      <c r="O37" s="274">
        <f t="shared" si="41"/>
        <v>0.6177890749095919</v>
      </c>
      <c r="P37" s="274">
        <f t="shared" si="41"/>
        <v>0.60104136379498674</v>
      </c>
    </row>
    <row r="39" spans="1:16" x14ac:dyDescent="0.3">
      <c r="B39" s="1" t="s">
        <v>175</v>
      </c>
      <c r="C39" s="3">
        <v>2013</v>
      </c>
      <c r="D39" s="3">
        <v>2014</v>
      </c>
      <c r="E39" s="3">
        <v>2015</v>
      </c>
      <c r="F39" s="75">
        <v>2016</v>
      </c>
      <c r="G39" s="3">
        <v>2017</v>
      </c>
      <c r="H39" s="3">
        <v>2018</v>
      </c>
      <c r="I39" s="3">
        <v>2019</v>
      </c>
      <c r="J39" s="3">
        <v>2020</v>
      </c>
      <c r="K39" s="3" t="s">
        <v>127</v>
      </c>
      <c r="L39" s="75" t="s">
        <v>163</v>
      </c>
      <c r="M39" s="3" t="s">
        <v>162</v>
      </c>
      <c r="N39" s="3" t="s">
        <v>161</v>
      </c>
      <c r="O39" s="3" t="s">
        <v>160</v>
      </c>
      <c r="P39" s="3" t="s">
        <v>159</v>
      </c>
    </row>
    <row r="40" spans="1:16" x14ac:dyDescent="0.3">
      <c r="A40">
        <v>1012</v>
      </c>
      <c r="B40" t="s">
        <v>83</v>
      </c>
      <c r="C40" s="108">
        <f>C7-C51</f>
        <v>16256.632279999996</v>
      </c>
      <c r="D40" s="108">
        <f t="shared" ref="D40:J40" si="42">D7-D51</f>
        <v>13850.742889999996</v>
      </c>
      <c r="E40" s="108">
        <f t="shared" si="42"/>
        <v>13289.626228792911</v>
      </c>
      <c r="F40" s="111">
        <f t="shared" si="42"/>
        <v>28051.493449455123</v>
      </c>
      <c r="G40" s="108">
        <f t="shared" si="42"/>
        <v>23416.437776916697</v>
      </c>
      <c r="H40" s="108">
        <f t="shared" si="42"/>
        <v>18494.790068688337</v>
      </c>
      <c r="I40" s="108">
        <f t="shared" si="42"/>
        <v>14120.761350405992</v>
      </c>
      <c r="J40" s="108">
        <f t="shared" si="42"/>
        <v>12558.129600905693</v>
      </c>
      <c r="K40" s="108">
        <f t="shared" ref="K40" si="43">K7-K51</f>
        <v>13415.717404188516</v>
      </c>
      <c r="L40" s="111">
        <f t="shared" ref="L40:M40" si="44">L7-L51</f>
        <v>10939.958146046687</v>
      </c>
      <c r="M40" s="108">
        <f t="shared" si="44"/>
        <v>16808.717629999992</v>
      </c>
      <c r="N40" s="108">
        <f t="shared" ref="N40:P40" si="45">N7-N51</f>
        <v>20002.062300000005</v>
      </c>
      <c r="O40" s="108">
        <f t="shared" si="45"/>
        <v>24066.256286586409</v>
      </c>
      <c r="P40" s="108">
        <f t="shared" si="45"/>
        <v>24681.042102431296</v>
      </c>
    </row>
    <row r="41" spans="1:16" x14ac:dyDescent="0.3">
      <c r="A41">
        <v>1013</v>
      </c>
      <c r="B41" t="s">
        <v>84</v>
      </c>
      <c r="C41" s="108">
        <f t="shared" ref="C41:J41" si="46">C8-C52</f>
        <v>11949.261109999994</v>
      </c>
      <c r="D41" s="108">
        <f t="shared" si="46"/>
        <v>13978.67406000001</v>
      </c>
      <c r="E41" s="108">
        <f t="shared" si="46"/>
        <v>11397.266549092925</v>
      </c>
      <c r="F41" s="111">
        <f t="shared" si="46"/>
        <v>12132.663607727391</v>
      </c>
      <c r="G41" s="108">
        <f t="shared" si="46"/>
        <v>11686.365952980519</v>
      </c>
      <c r="H41" s="108">
        <f t="shared" si="46"/>
        <v>12867.69839614131</v>
      </c>
      <c r="I41" s="108">
        <f t="shared" si="46"/>
        <v>10916.96061769516</v>
      </c>
      <c r="J41" s="108">
        <f t="shared" si="46"/>
        <v>10226.893256163527</v>
      </c>
      <c r="K41" s="108">
        <f t="shared" ref="K41" si="47">K8-K52</f>
        <v>6758.2174015625751</v>
      </c>
      <c r="L41" s="111">
        <f t="shared" ref="L41:M41" si="48">L8-L52</f>
        <v>8302.9103042771549</v>
      </c>
      <c r="M41" s="108">
        <f t="shared" si="48"/>
        <v>7832.3559799999994</v>
      </c>
      <c r="N41" s="108">
        <f t="shared" ref="N41:P41" si="49">N8-N52</f>
        <v>8845.5354100000004</v>
      </c>
      <c r="O41" s="108">
        <f t="shared" si="49"/>
        <v>10236.47991816483</v>
      </c>
      <c r="P41" s="108">
        <f t="shared" si="49"/>
        <v>11524.681757178992</v>
      </c>
    </row>
    <row r="42" spans="1:16" x14ac:dyDescent="0.3">
      <c r="A42">
        <v>1014</v>
      </c>
      <c r="B42" t="s">
        <v>85</v>
      </c>
      <c r="C42" s="108">
        <f t="shared" ref="C42:J42" si="50">C9-C53</f>
        <v>13492.624970000004</v>
      </c>
      <c r="D42" s="108">
        <f t="shared" si="50"/>
        <v>12919.318029999997</v>
      </c>
      <c r="E42" s="108">
        <f t="shared" si="50"/>
        <v>14170.3755613823</v>
      </c>
      <c r="F42" s="111">
        <f t="shared" si="50"/>
        <v>14867.056405775453</v>
      </c>
      <c r="G42" s="108">
        <f t="shared" si="50"/>
        <v>17430.310653318753</v>
      </c>
      <c r="H42" s="108">
        <f t="shared" si="50"/>
        <v>26646.544766092818</v>
      </c>
      <c r="I42" s="108">
        <f t="shared" si="50"/>
        <v>26255.891716836326</v>
      </c>
      <c r="J42" s="108">
        <f t="shared" si="50"/>
        <v>23545.076467070856</v>
      </c>
      <c r="K42" s="108">
        <f t="shared" ref="K42" si="51">K9-K53</f>
        <v>23472.551510528938</v>
      </c>
      <c r="L42" s="111">
        <f t="shared" ref="L42:M42" si="52">L9-L53</f>
        <v>20170.917396072738</v>
      </c>
      <c r="M42" s="108">
        <f t="shared" si="52"/>
        <v>34615.625410000008</v>
      </c>
      <c r="N42" s="108">
        <f t="shared" ref="N42:P42" si="53">N9-N53</f>
        <v>36337.235560000001</v>
      </c>
      <c r="O42" s="108">
        <f t="shared" si="53"/>
        <v>40626.391804550585</v>
      </c>
      <c r="P42" s="108">
        <f t="shared" si="53"/>
        <v>34992.161936728218</v>
      </c>
    </row>
    <row r="43" spans="1:16" x14ac:dyDescent="0.3">
      <c r="A43">
        <v>1018</v>
      </c>
      <c r="B43" t="s">
        <v>86</v>
      </c>
      <c r="C43" s="108">
        <f t="shared" ref="C43:J43" si="54">C10-C54</f>
        <v>11829.483330000006</v>
      </c>
      <c r="D43" s="108">
        <f t="shared" si="54"/>
        <v>14721.353189999996</v>
      </c>
      <c r="E43" s="108">
        <f t="shared" si="54"/>
        <v>7197.9305498216572</v>
      </c>
      <c r="F43" s="111">
        <f t="shared" si="54"/>
        <v>3139.3556107216714</v>
      </c>
      <c r="G43" s="108">
        <f t="shared" si="54"/>
        <v>6959.4447558683887</v>
      </c>
      <c r="H43" s="108">
        <f t="shared" si="54"/>
        <v>8004.1241954219513</v>
      </c>
      <c r="I43" s="108">
        <f t="shared" si="54"/>
        <v>8412.3686274721549</v>
      </c>
      <c r="J43" s="108">
        <f t="shared" si="54"/>
        <v>7019.4848671058926</v>
      </c>
      <c r="K43" s="108">
        <f t="shared" ref="K43" si="55">K10-K54</f>
        <v>8540.378427340398</v>
      </c>
      <c r="L43" s="111">
        <f t="shared" ref="L43:M43" si="56">L10-L54</f>
        <v>10708.132888109509</v>
      </c>
      <c r="M43" s="108">
        <f t="shared" si="56"/>
        <v>9645.5945699999993</v>
      </c>
      <c r="N43" s="108">
        <f t="shared" ref="N43:P43" si="57">N10-N54</f>
        <v>8894.7044700000006</v>
      </c>
      <c r="O43" s="108">
        <f t="shared" si="57"/>
        <v>11977.806105123305</v>
      </c>
      <c r="P43" s="108">
        <f t="shared" si="57"/>
        <v>12726.687294864714</v>
      </c>
    </row>
    <row r="44" spans="1:16" x14ac:dyDescent="0.3">
      <c r="A44">
        <v>1019</v>
      </c>
      <c r="B44" t="s">
        <v>78</v>
      </c>
      <c r="C44" s="108">
        <f t="shared" ref="C44:J44" si="58">C11-C55</f>
        <v>0</v>
      </c>
      <c r="D44" s="108">
        <f t="shared" si="58"/>
        <v>0</v>
      </c>
      <c r="E44" s="108">
        <f t="shared" si="58"/>
        <v>8609.4229053068448</v>
      </c>
      <c r="F44" s="111">
        <f t="shared" si="58"/>
        <v>6855.1913869228929</v>
      </c>
      <c r="G44" s="108">
        <f t="shared" si="58"/>
        <v>5497.0208623004555</v>
      </c>
      <c r="H44" s="108">
        <f t="shared" si="58"/>
        <v>4785.4040309488319</v>
      </c>
      <c r="I44" s="108">
        <f t="shared" si="58"/>
        <v>4150.4514770375026</v>
      </c>
      <c r="J44" s="108">
        <f t="shared" si="58"/>
        <v>4214.8559120136661</v>
      </c>
      <c r="K44" s="108">
        <f t="shared" ref="K44" si="59">K11-K55</f>
        <v>2347.8925856817336</v>
      </c>
      <c r="L44" s="111">
        <f t="shared" ref="L44:M44" si="60">L11-L55</f>
        <v>1470.9470329169314</v>
      </c>
      <c r="M44" s="108">
        <f t="shared" si="60"/>
        <v>2767.2553799999996</v>
      </c>
      <c r="N44" s="108">
        <f t="shared" ref="N44:P44" si="61">N11-N55</f>
        <v>3304.8220699999993</v>
      </c>
      <c r="O44" s="108">
        <f t="shared" si="61"/>
        <v>1992.7261847620866</v>
      </c>
      <c r="P44" s="108">
        <f t="shared" si="61"/>
        <v>2927.593298444649</v>
      </c>
    </row>
    <row r="45" spans="1:16" x14ac:dyDescent="0.3">
      <c r="A45">
        <v>1015</v>
      </c>
      <c r="B45" t="s">
        <v>335</v>
      </c>
      <c r="C45" s="108">
        <f t="shared" ref="C45:J45" si="62">C12-C56</f>
        <v>810.46006000000011</v>
      </c>
      <c r="D45" s="108">
        <f t="shared" si="62"/>
        <v>6460.88184</v>
      </c>
      <c r="E45" s="108">
        <f t="shared" si="62"/>
        <v>2368.6064810891367</v>
      </c>
      <c r="F45" s="111">
        <f t="shared" si="62"/>
        <v>268.0605924562438</v>
      </c>
      <c r="G45" s="108">
        <f t="shared" si="62"/>
        <v>134.93279378565705</v>
      </c>
      <c r="H45" s="108">
        <f t="shared" si="62"/>
        <v>133.66417228157752</v>
      </c>
      <c r="I45" s="108">
        <f t="shared" si="62"/>
        <v>4850.7237200925538</v>
      </c>
      <c r="J45" s="108">
        <f t="shared" si="62"/>
        <v>3532.2214276258696</v>
      </c>
      <c r="K45" s="108">
        <f t="shared" ref="K45" si="63">K12-K56</f>
        <v>1914.7008474034492</v>
      </c>
      <c r="L45" s="111">
        <f t="shared" ref="L45:M45" si="64">L12-L56</f>
        <v>499.15264287122454</v>
      </c>
      <c r="M45" s="108">
        <f t="shared" si="64"/>
        <v>1194.5999981952596</v>
      </c>
      <c r="N45" s="108">
        <f t="shared" ref="N45:P45" si="65">N12-N56</f>
        <v>2767.2744500000003</v>
      </c>
      <c r="O45" s="108">
        <f t="shared" si="65"/>
        <v>944.75791843777642</v>
      </c>
      <c r="P45" s="108">
        <f t="shared" si="65"/>
        <v>976.29202673106101</v>
      </c>
    </row>
    <row r="46" spans="1:16" x14ac:dyDescent="0.3">
      <c r="A46">
        <v>1016</v>
      </c>
      <c r="B46" t="s">
        <v>88</v>
      </c>
      <c r="C46" s="108">
        <f t="shared" ref="C46:J46" si="66">C13-C57</f>
        <v>1225.5853800000011</v>
      </c>
      <c r="D46" s="108">
        <f t="shared" si="66"/>
        <v>1658.3680799999913</v>
      </c>
      <c r="E46" s="108">
        <f t="shared" si="66"/>
        <v>1177.214430446277</v>
      </c>
      <c r="F46" s="111">
        <f t="shared" si="66"/>
        <v>1216.9253157231906</v>
      </c>
      <c r="G46" s="108">
        <f t="shared" si="66"/>
        <v>615.74565642590358</v>
      </c>
      <c r="H46" s="108">
        <f t="shared" si="66"/>
        <v>1115.1832490513798</v>
      </c>
      <c r="I46" s="108">
        <f t="shared" si="66"/>
        <v>845.05415044855647</v>
      </c>
      <c r="J46" s="108">
        <f t="shared" si="66"/>
        <v>402.06976050006364</v>
      </c>
      <c r="K46" s="108">
        <f t="shared" ref="K46" si="67">K13-K57</f>
        <v>320.90062903934302</v>
      </c>
      <c r="L46" s="111">
        <f t="shared" ref="L46:M47" si="68">L13-L57</f>
        <v>663.38755913306738</v>
      </c>
      <c r="M46" s="108">
        <f t="shared" si="68"/>
        <v>490.25664000000006</v>
      </c>
      <c r="N46" s="108">
        <f t="shared" ref="N46:P47" si="69">N13-N57</f>
        <v>353.34366000000006</v>
      </c>
      <c r="O46" s="108">
        <f t="shared" si="69"/>
        <v>500.11448558285889</v>
      </c>
      <c r="P46" s="108">
        <f t="shared" si="69"/>
        <v>778.47341912226034</v>
      </c>
    </row>
    <row r="47" spans="1:16" x14ac:dyDescent="0.3">
      <c r="A47">
        <v>1048</v>
      </c>
      <c r="B47" t="s">
        <v>236</v>
      </c>
      <c r="C47" s="109"/>
      <c r="D47" s="109"/>
      <c r="E47" s="109"/>
      <c r="F47" s="112"/>
      <c r="G47" s="109"/>
      <c r="H47" s="109"/>
      <c r="I47" s="109"/>
      <c r="J47" s="109"/>
      <c r="K47" s="109"/>
      <c r="L47" s="112">
        <f t="shared" si="68"/>
        <v>333.18619999999999</v>
      </c>
      <c r="M47" s="109">
        <f t="shared" si="68"/>
        <v>1427.53639</v>
      </c>
      <c r="N47" s="109">
        <f t="shared" si="69"/>
        <v>1216.8561</v>
      </c>
      <c r="O47" s="109">
        <f t="shared" si="69"/>
        <v>14442.904104441397</v>
      </c>
      <c r="P47" s="109">
        <f t="shared" si="69"/>
        <v>32069.674431662093</v>
      </c>
    </row>
    <row r="48" spans="1:16" x14ac:dyDescent="0.3">
      <c r="B48" s="1" t="s">
        <v>2</v>
      </c>
      <c r="C48" s="110">
        <f t="shared" ref="C48:P48" si="70">SUM(C40:C47)</f>
        <v>55564.047130000006</v>
      </c>
      <c r="D48" s="273">
        <f t="shared" si="70"/>
        <v>63589.33808999999</v>
      </c>
      <c r="E48" s="110">
        <f t="shared" si="70"/>
        <v>58210.442705932051</v>
      </c>
      <c r="F48" s="113">
        <f t="shared" si="70"/>
        <v>66530.746368781969</v>
      </c>
      <c r="G48" s="110">
        <f t="shared" si="70"/>
        <v>65740.258451596383</v>
      </c>
      <c r="H48" s="110">
        <f t="shared" si="70"/>
        <v>72047.4088786262</v>
      </c>
      <c r="I48" s="110">
        <f t="shared" si="70"/>
        <v>69552.211659988243</v>
      </c>
      <c r="J48" s="110">
        <f t="shared" si="70"/>
        <v>61498.731291385557</v>
      </c>
      <c r="K48" s="110">
        <f t="shared" si="70"/>
        <v>56770.358805744967</v>
      </c>
      <c r="L48" s="113">
        <f t="shared" si="70"/>
        <v>53088.592169427313</v>
      </c>
      <c r="M48" s="110">
        <f t="shared" si="70"/>
        <v>74781.941998195267</v>
      </c>
      <c r="N48" s="110">
        <f t="shared" si="70"/>
        <v>81721.834019999995</v>
      </c>
      <c r="O48" s="110">
        <f t="shared" si="70"/>
        <v>104787.43680764927</v>
      </c>
      <c r="P48" s="110">
        <f t="shared" si="70"/>
        <v>120676.6062671633</v>
      </c>
    </row>
    <row r="50" spans="1:22" x14ac:dyDescent="0.3">
      <c r="B50" s="1" t="s">
        <v>176</v>
      </c>
      <c r="C50" s="3">
        <v>2013</v>
      </c>
      <c r="D50" s="3">
        <v>2014</v>
      </c>
      <c r="E50" s="3">
        <v>2015</v>
      </c>
      <c r="F50" s="75">
        <v>2016</v>
      </c>
      <c r="G50" s="3">
        <v>2017</v>
      </c>
      <c r="H50" s="3">
        <v>2018</v>
      </c>
      <c r="I50" s="3">
        <v>2019</v>
      </c>
      <c r="J50" s="3">
        <v>2020</v>
      </c>
      <c r="K50" s="3" t="s">
        <v>127</v>
      </c>
      <c r="L50" s="75" t="s">
        <v>163</v>
      </c>
      <c r="M50" s="3" t="s">
        <v>162</v>
      </c>
      <c r="N50" s="3" t="s">
        <v>161</v>
      </c>
      <c r="O50" s="3" t="s">
        <v>160</v>
      </c>
      <c r="P50" s="3" t="s">
        <v>159</v>
      </c>
    </row>
    <row r="51" spans="1:22" x14ac:dyDescent="0.3">
      <c r="A51">
        <v>1012</v>
      </c>
      <c r="B51" t="s">
        <v>83</v>
      </c>
      <c r="C51" s="108">
        <v>388.76781</v>
      </c>
      <c r="D51" s="108">
        <v>606.43600000000004</v>
      </c>
      <c r="E51" s="108">
        <v>518.87476000000004</v>
      </c>
      <c r="F51" s="111">
        <v>159.095</v>
      </c>
      <c r="G51" s="108">
        <v>1150.883</v>
      </c>
      <c r="H51" s="108">
        <v>23947.445</v>
      </c>
      <c r="I51" s="108">
        <v>35805.441719999995</v>
      </c>
      <c r="J51" s="99">
        <f>_xlfn.XLOOKUP($A51,Historical_Cap_Cons!$B$30:$B$38,Historical_Cap_Cons!D$30:D$38,0,0,1)/Thousands</f>
        <v>26982.467000000001</v>
      </c>
      <c r="K51" s="99">
        <f>_xlfn.XLOOKUP($A51,Historical_Cap_Cons!$B$30:$B$38,Historical_Cap_Cons!E$30:E$38,0,0,1)/Thousands</f>
        <v>26609.491000000002</v>
      </c>
      <c r="L51" s="237">
        <f>_xlfn.XLOOKUP($A51,Historical_Cap_Cons!$B$30:$B$38,Historical_Cap_Cons!F$30:F$38,0,0,1)/Thousands</f>
        <v>24192.47</v>
      </c>
      <c r="M51" s="99">
        <f>_xlfn.XLOOKUP($A51,Historical_Cap_Cons!$B$30:$B$38,Historical_Cap_Cons!G$30:G$38,0,0,1)/Thousands</f>
        <v>30182.985000000001</v>
      </c>
      <c r="N51" s="99">
        <f>_xlfn.XLOOKUP($A51,Historical_Cap_Cons!$B$30:$B$38,Historical_Cap_Cons!H$30:H$38,0,0,1)/Thousands</f>
        <v>38035.239000000001</v>
      </c>
      <c r="O51" s="99">
        <f>Capex_Fcast_Total!T19</f>
        <v>38499.962282338929</v>
      </c>
      <c r="P51" s="99">
        <f>Capex_Fcast_Total!U19</f>
        <v>39025.752945120184</v>
      </c>
    </row>
    <row r="52" spans="1:22" x14ac:dyDescent="0.3">
      <c r="A52">
        <v>1013</v>
      </c>
      <c r="B52" t="s">
        <v>84</v>
      </c>
      <c r="C52" s="108">
        <v>0</v>
      </c>
      <c r="D52" s="108">
        <v>0</v>
      </c>
      <c r="E52" s="108">
        <v>0</v>
      </c>
      <c r="F52" s="111">
        <v>0</v>
      </c>
      <c r="G52" s="108">
        <v>36.246000000000002</v>
      </c>
      <c r="H52" s="108">
        <v>100</v>
      </c>
      <c r="I52" s="108">
        <v>53.142000000000003</v>
      </c>
      <c r="J52" s="99">
        <f>_xlfn.XLOOKUP($A52,Historical_Cap_Cons!$B$30:$B$38,Historical_Cap_Cons!D$30:D$38,0,0,1)/Thousands</f>
        <v>2.3410000000000002</v>
      </c>
      <c r="K52" s="99">
        <f>_xlfn.XLOOKUP($A52,Historical_Cap_Cons!$B$30:$B$38,Historical_Cap_Cons!E$30:E$38,0,0,1)/Thousands</f>
        <v>18.553999999999998</v>
      </c>
      <c r="L52" s="237">
        <f>_xlfn.XLOOKUP($A52,Historical_Cap_Cons!$B$30:$B$38,Historical_Cap_Cons!F$30:F$38,0,0,1)/Thousands</f>
        <v>5.89</v>
      </c>
      <c r="M52" s="99">
        <f>_xlfn.XLOOKUP($A52,Historical_Cap_Cons!$B$30:$B$38,Historical_Cap_Cons!G$30:G$38,0,0,1)/Thousands</f>
        <v>9.0399999999999991</v>
      </c>
      <c r="N52" s="99">
        <f>_xlfn.XLOOKUP($A52,Historical_Cap_Cons!$B$30:$B$38,Historical_Cap_Cons!H$30:H$38,0,0,1)/Thousands</f>
        <v>0</v>
      </c>
      <c r="O52" s="99">
        <f>Capex_Fcast_Total!T20</f>
        <v>0</v>
      </c>
      <c r="P52" s="99">
        <f>Capex_Fcast_Total!U20</f>
        <v>0</v>
      </c>
    </row>
    <row r="53" spans="1:22" x14ac:dyDescent="0.3">
      <c r="A53">
        <v>1014</v>
      </c>
      <c r="B53" t="s">
        <v>85</v>
      </c>
      <c r="C53" s="108">
        <v>1883.0830000000001</v>
      </c>
      <c r="D53" s="108">
        <v>2011.3150000000001</v>
      </c>
      <c r="E53" s="108">
        <v>966.62199999999996</v>
      </c>
      <c r="F53" s="111">
        <v>336.66300000000001</v>
      </c>
      <c r="G53" s="108">
        <v>4220.223</v>
      </c>
      <c r="H53" s="108">
        <v>3800.922</v>
      </c>
      <c r="I53" s="108">
        <v>8192.6890000000003</v>
      </c>
      <c r="J53" s="99">
        <f>_xlfn.XLOOKUP($A53,Historical_Cap_Cons!$B$30:$B$38,Historical_Cap_Cons!D$30:D$38,0,0,1)/Thousands</f>
        <v>3335.2660000000001</v>
      </c>
      <c r="K53" s="99">
        <f>_xlfn.XLOOKUP($A53,Historical_Cap_Cons!$B$30:$B$38,Historical_Cap_Cons!E$30:E$38,0,0,1)/Thousands</f>
        <v>6894.9629999999997</v>
      </c>
      <c r="L53" s="237">
        <f>_xlfn.XLOOKUP($A53,Historical_Cap_Cons!$B$30:$B$38,Historical_Cap_Cons!F$30:F$38,0,0,1)/Thousands</f>
        <v>2327.1480000000001</v>
      </c>
      <c r="M53" s="99">
        <f>_xlfn.XLOOKUP($A53,Historical_Cap_Cons!$B$30:$B$38,Historical_Cap_Cons!G$30:G$38,0,0,1)/Thousands</f>
        <v>5462.83</v>
      </c>
      <c r="N53" s="99">
        <f>_xlfn.XLOOKUP($A53,Historical_Cap_Cons!$B$30:$B$38,Historical_Cap_Cons!H$30:H$38,0,0,1)/Thousands</f>
        <v>5066.4830000000002</v>
      </c>
      <c r="O53" s="99">
        <f>Capex_Fcast_Total!T21</f>
        <v>5444.7923222772652</v>
      </c>
      <c r="P53" s="99">
        <f>Capex_Fcast_Total!U21</f>
        <v>5608.1360919455828</v>
      </c>
    </row>
    <row r="54" spans="1:22" x14ac:dyDescent="0.3">
      <c r="A54">
        <v>1018</v>
      </c>
      <c r="B54" t="s">
        <v>86</v>
      </c>
      <c r="C54" s="108">
        <v>690.28899999999999</v>
      </c>
      <c r="D54" s="108">
        <v>451.916</v>
      </c>
      <c r="E54" s="108">
        <v>16.942</v>
      </c>
      <c r="F54" s="111">
        <v>5.3360000000000003</v>
      </c>
      <c r="G54" s="108">
        <v>9.7089999999999996</v>
      </c>
      <c r="H54" s="108">
        <v>94.286000000000001</v>
      </c>
      <c r="I54" s="108">
        <v>197.267</v>
      </c>
      <c r="J54" s="99">
        <f>_xlfn.XLOOKUP($A54,Historical_Cap_Cons!$B$30:$B$38,Historical_Cap_Cons!D$30:D$38,0,0,1)/Thousands</f>
        <v>145.167</v>
      </c>
      <c r="K54" s="99">
        <f>_xlfn.XLOOKUP($A54,Historical_Cap_Cons!$B$30:$B$38,Historical_Cap_Cons!E$30:E$38,0,0,1)/Thousands</f>
        <v>106.876</v>
      </c>
      <c r="L54" s="237">
        <f>_xlfn.XLOOKUP($A54,Historical_Cap_Cons!$B$30:$B$38,Historical_Cap_Cons!F$30:F$38,0,0,1)/Thousands</f>
        <v>177.584</v>
      </c>
      <c r="M54" s="99">
        <f>_xlfn.XLOOKUP($A54,Historical_Cap_Cons!$B$30:$B$38,Historical_Cap_Cons!G$30:G$38,0,0,1)/Thousands</f>
        <v>196.57599999999999</v>
      </c>
      <c r="N54" s="99">
        <f>_xlfn.XLOOKUP($A54,Historical_Cap_Cons!$B$30:$B$38,Historical_Cap_Cons!H$30:H$38,0,0,1)/Thousands</f>
        <v>110.318</v>
      </c>
      <c r="O54" s="99">
        <f>Capex_Fcast_Total!T22</f>
        <v>0</v>
      </c>
      <c r="P54" s="99">
        <f>Capex_Fcast_Total!U22</f>
        <v>0</v>
      </c>
    </row>
    <row r="55" spans="1:22" x14ac:dyDescent="0.3">
      <c r="A55">
        <v>1019</v>
      </c>
      <c r="B55" t="s">
        <v>78</v>
      </c>
      <c r="C55" s="108">
        <v>0</v>
      </c>
      <c r="D55" s="108">
        <v>0</v>
      </c>
      <c r="E55" s="108">
        <v>1093.5170000000001</v>
      </c>
      <c r="F55" s="111">
        <v>417.21499999999997</v>
      </c>
      <c r="G55" s="108">
        <v>1026.4159999999999</v>
      </c>
      <c r="H55" s="108">
        <v>614.96900000000005</v>
      </c>
      <c r="I55" s="108">
        <v>2038.77</v>
      </c>
      <c r="J55" s="99">
        <f>_xlfn.XLOOKUP($A55,Historical_Cap_Cons!$B$30:$B$38,Historical_Cap_Cons!D$30:D$38,0,0,1)/Thousands</f>
        <v>1796.2139999999999</v>
      </c>
      <c r="K55" s="99">
        <f>_xlfn.XLOOKUP($A55,Historical_Cap_Cons!$B$30:$B$38,Historical_Cap_Cons!E$30:E$38,0,0,1)/Thousands</f>
        <v>2209.7739999999999</v>
      </c>
      <c r="L55" s="237">
        <f>_xlfn.XLOOKUP($A55,Historical_Cap_Cons!$B$30:$B$38,Historical_Cap_Cons!F$30:F$38,0,0,1)/Thousands</f>
        <v>1974.144</v>
      </c>
      <c r="M55" s="99">
        <f>_xlfn.XLOOKUP($A55,Historical_Cap_Cons!$B$30:$B$38,Historical_Cap_Cons!G$30:G$38,0,0,1)/Thousands</f>
        <v>3875.8209999999999</v>
      </c>
      <c r="N55" s="99">
        <f>_xlfn.XLOOKUP($A55,Historical_Cap_Cons!$B$30:$B$38,Historical_Cap_Cons!H$30:H$38,0,0,1)/Thousands</f>
        <v>2817.848</v>
      </c>
      <c r="O55" s="99">
        <f>Capex_Fcast_Total!T23</f>
        <v>3072.4116246807534</v>
      </c>
      <c r="P55" s="99">
        <f>Capex_Fcast_Total!U23</f>
        <v>3164.5839734211759</v>
      </c>
    </row>
    <row r="56" spans="1:22" x14ac:dyDescent="0.3">
      <c r="A56">
        <v>1015</v>
      </c>
      <c r="B56" t="s">
        <v>335</v>
      </c>
      <c r="C56" s="108">
        <v>0</v>
      </c>
      <c r="D56" s="108">
        <v>0</v>
      </c>
      <c r="E56" s="108">
        <v>19941.909299999999</v>
      </c>
      <c r="F56" s="111">
        <v>128.75</v>
      </c>
      <c r="G56" s="108">
        <v>0</v>
      </c>
      <c r="H56" s="108">
        <v>0</v>
      </c>
      <c r="I56" s="108">
        <v>0</v>
      </c>
      <c r="J56" s="99">
        <f>_xlfn.XLOOKUP($A56,Historical_Cap_Cons!$B$30:$B$38,Historical_Cap_Cons!D$30:D$38,0,0,1)/Thousands</f>
        <v>36.648000000000003</v>
      </c>
      <c r="K56" s="99">
        <f>_xlfn.XLOOKUP($A56,Historical_Cap_Cons!$B$30:$B$38,Historical_Cap_Cons!E$30:E$38,0,0,1)/Thousands</f>
        <v>36.648000000000003</v>
      </c>
      <c r="L56" s="237">
        <f>_xlfn.XLOOKUP($A56,Historical_Cap_Cons!$B$30:$B$38,Historical_Cap_Cons!F$30:F$38,0,0,1)/Thousands</f>
        <v>3300</v>
      </c>
      <c r="M56" s="99">
        <f>_xlfn.XLOOKUP($A56,Historical_Cap_Cons!$B$30:$B$38,Historical_Cap_Cons!G$30:G$38,0,0,1)/Thousands</f>
        <v>965.16521</v>
      </c>
      <c r="N56" s="99">
        <f>_xlfn.XLOOKUP($A56,Historical_Cap_Cons!$B$30:$B$38,Historical_Cap_Cons!H$30:H$38,0,0,1)/Thousands</f>
        <v>0</v>
      </c>
      <c r="O56" s="99">
        <f>Capex_Fcast_Total!T24</f>
        <v>5300.0000000000009</v>
      </c>
      <c r="P56" s="99">
        <f>Capex_Fcast_Total!U24</f>
        <v>0</v>
      </c>
    </row>
    <row r="57" spans="1:22" x14ac:dyDescent="0.3">
      <c r="A57">
        <v>1016</v>
      </c>
      <c r="B57" t="s">
        <v>88</v>
      </c>
      <c r="C57" s="108">
        <v>0</v>
      </c>
      <c r="D57" s="108">
        <v>0</v>
      </c>
      <c r="E57" s="108">
        <v>0</v>
      </c>
      <c r="F57" s="111">
        <v>0</v>
      </c>
      <c r="G57" s="108">
        <v>0</v>
      </c>
      <c r="H57" s="108">
        <v>0</v>
      </c>
      <c r="I57" s="108">
        <v>0</v>
      </c>
      <c r="J57" s="99">
        <f>_xlfn.XLOOKUP($A57,Historical_Cap_Cons!$B$30:$B$38,Historical_Cap_Cons!D$30:D$38,0,0,1)/Thousands</f>
        <v>0</v>
      </c>
      <c r="K57" s="99">
        <f>_xlfn.XLOOKUP($A57,Historical_Cap_Cons!$B$30:$B$38,Historical_Cap_Cons!E$30:E$38,0,0,1)/Thousands</f>
        <v>0</v>
      </c>
      <c r="L57" s="237">
        <f>_xlfn.XLOOKUP($A57,Historical_Cap_Cons!$B$30:$B$38,Historical_Cap_Cons!F$30:F$38,0,0,1)/Thousands</f>
        <v>0</v>
      </c>
      <c r="M57" s="99">
        <f>_xlfn.XLOOKUP($A57,Historical_Cap_Cons!$B$30:$B$38,Historical_Cap_Cons!G$30:G$38,0,0,1)/Thousands</f>
        <v>0</v>
      </c>
      <c r="N57" s="99">
        <f>_xlfn.XLOOKUP($A57,Historical_Cap_Cons!$B$30:$B$38,Historical_Cap_Cons!H$30:H$38,0,0,1)/Thousands</f>
        <v>0</v>
      </c>
      <c r="O57" s="99">
        <f>Capex_Fcast_Total!T25</f>
        <v>0</v>
      </c>
      <c r="P57" s="99">
        <f>Capex_Fcast_Total!U25</f>
        <v>0</v>
      </c>
    </row>
    <row r="58" spans="1:22" x14ac:dyDescent="0.3">
      <c r="A58">
        <v>1048</v>
      </c>
      <c r="B58" t="s">
        <v>236</v>
      </c>
      <c r="C58" s="109"/>
      <c r="D58" s="109"/>
      <c r="E58" s="109"/>
      <c r="F58" s="112"/>
      <c r="G58" s="109"/>
      <c r="H58" s="109"/>
      <c r="I58" s="109"/>
      <c r="J58" s="236">
        <f>_xlfn.XLOOKUP($A58,Historical_Cap_Cons!$B$30:$B$38,Historical_Cap_Cons!D$30:D$38,0,0,1)/Thousands</f>
        <v>0</v>
      </c>
      <c r="K58" s="236">
        <f>_xlfn.XLOOKUP($A58,Historical_Cap_Cons!$B$30:$B$38,Historical_Cap_Cons!E$30:E$38,0,0,1)/Thousands</f>
        <v>0</v>
      </c>
      <c r="L58" s="277">
        <f>_xlfn.XLOOKUP($A58,Historical_Cap_Cons!$B$30:$B$38,Historical_Cap_Cons!F$30:F$38,0,0,1)/Thousands</f>
        <v>0</v>
      </c>
      <c r="M58" s="236">
        <f>_xlfn.XLOOKUP($A58,Historical_Cap_Cons!$B$30:$B$38,Historical_Cap_Cons!G$30:G$38,0,0,1)/Thousands</f>
        <v>0</v>
      </c>
      <c r="N58" s="236">
        <f>_xlfn.XLOOKUP($A58,Historical_Cap_Cons!$B$30:$B$38,Historical_Cap_Cons!H$30:H$38,0,0,1)/Thousands</f>
        <v>0</v>
      </c>
      <c r="O58" s="236">
        <f>Capex_Fcast_Total!T26</f>
        <v>0</v>
      </c>
      <c r="P58" s="236">
        <f>Capex_Fcast_Total!U26</f>
        <v>0</v>
      </c>
    </row>
    <row r="59" spans="1:22" x14ac:dyDescent="0.3">
      <c r="B59" s="1" t="s">
        <v>360</v>
      </c>
      <c r="C59" s="110">
        <f t="shared" ref="C59:P59" si="71">SUM(C51:C58)</f>
        <v>2962.1398099999997</v>
      </c>
      <c r="D59" s="273">
        <f t="shared" si="71"/>
        <v>3069.6670000000004</v>
      </c>
      <c r="E59" s="110">
        <f t="shared" si="71"/>
        <v>22537.86506</v>
      </c>
      <c r="F59" s="113">
        <f t="shared" si="71"/>
        <v>1047.059</v>
      </c>
      <c r="G59" s="110">
        <f t="shared" si="71"/>
        <v>6443.4769999999999</v>
      </c>
      <c r="H59" s="110">
        <f t="shared" si="71"/>
        <v>28557.621999999999</v>
      </c>
      <c r="I59" s="110">
        <f t="shared" si="71"/>
        <v>46287.30971999999</v>
      </c>
      <c r="J59" s="110">
        <f t="shared" si="71"/>
        <v>32298.103000000003</v>
      </c>
      <c r="K59" s="110">
        <f t="shared" si="71"/>
        <v>35876.305999999997</v>
      </c>
      <c r="L59" s="113">
        <f t="shared" si="71"/>
        <v>31977.236000000001</v>
      </c>
      <c r="M59" s="110">
        <f t="shared" si="71"/>
        <v>40692.417210000007</v>
      </c>
      <c r="N59" s="110">
        <f t="shared" si="71"/>
        <v>46029.887999999999</v>
      </c>
      <c r="O59" s="110">
        <f t="shared" si="71"/>
        <v>52317.166229296949</v>
      </c>
      <c r="P59" s="110">
        <f t="shared" si="71"/>
        <v>47798.473010486945</v>
      </c>
    </row>
    <row r="60" spans="1:22" x14ac:dyDescent="0.3">
      <c r="C60" s="10"/>
      <c r="D60" s="10"/>
      <c r="E60" s="10"/>
      <c r="F60" s="72">
        <v>0</v>
      </c>
      <c r="G60" s="72">
        <v>0</v>
      </c>
      <c r="H60" s="72">
        <v>0</v>
      </c>
      <c r="I60" s="72">
        <v>0</v>
      </c>
      <c r="J60" s="72">
        <v>0</v>
      </c>
      <c r="K60" s="72"/>
      <c r="L60" s="72">
        <v>0</v>
      </c>
      <c r="M60" s="72">
        <v>0</v>
      </c>
      <c r="N60" s="72">
        <v>0</v>
      </c>
      <c r="O60" s="74">
        <f>O59-Capex_Fcast_Total!T27</f>
        <v>0</v>
      </c>
      <c r="P60" s="74">
        <f>P59-Capex_Fcast_Total!U27</f>
        <v>0</v>
      </c>
      <c r="R60" s="7"/>
      <c r="S60" s="7"/>
      <c r="T60" s="7"/>
    </row>
    <row r="61" spans="1:22" x14ac:dyDescent="0.3">
      <c r="B61" s="1" t="s">
        <v>177</v>
      </c>
      <c r="C61" s="3">
        <v>2013</v>
      </c>
      <c r="D61" s="3">
        <v>2014</v>
      </c>
      <c r="E61" s="3">
        <v>2015</v>
      </c>
      <c r="F61" s="75">
        <v>2016</v>
      </c>
      <c r="G61" s="3">
        <v>2017</v>
      </c>
      <c r="H61" s="3">
        <v>2018</v>
      </c>
      <c r="I61" s="3">
        <v>2019</v>
      </c>
      <c r="J61" s="3">
        <v>2020</v>
      </c>
      <c r="K61" s="3" t="s">
        <v>127</v>
      </c>
      <c r="L61" s="75" t="s">
        <v>163</v>
      </c>
      <c r="M61" s="3" t="s">
        <v>162</v>
      </c>
      <c r="N61" s="3" t="s">
        <v>161</v>
      </c>
      <c r="O61" s="3" t="s">
        <v>160</v>
      </c>
      <c r="P61" s="3" t="s">
        <v>159</v>
      </c>
      <c r="R61" s="7"/>
      <c r="S61" s="7"/>
      <c r="T61" s="7"/>
    </row>
    <row r="62" spans="1:22" x14ac:dyDescent="0.3">
      <c r="A62">
        <v>1012</v>
      </c>
      <c r="B62" t="s">
        <v>83</v>
      </c>
      <c r="C62" s="108">
        <f t="shared" ref="C62:I69" si="72">C18-C51</f>
        <v>1903.4223300000001</v>
      </c>
      <c r="D62" s="108">
        <f t="shared" si="72"/>
        <v>2066.8749699999998</v>
      </c>
      <c r="E62" s="108">
        <f t="shared" si="72"/>
        <v>2453.0372600000001</v>
      </c>
      <c r="F62" s="111">
        <f t="shared" si="72"/>
        <v>2140.8954600000002</v>
      </c>
      <c r="G62" s="108">
        <f t="shared" si="72"/>
        <v>2941.4721699999991</v>
      </c>
      <c r="H62" s="108">
        <f t="shared" si="72"/>
        <v>3030.9726900000023</v>
      </c>
      <c r="I62" s="108">
        <f t="shared" si="72"/>
        <v>2407.9747200000056</v>
      </c>
      <c r="J62" s="99">
        <f>_xlfn.XLOOKUP($A62,Historical_Cap_Cons!$B$4:$B$12,Historical_Cap_Cons!D$4:D$12,0,0,1)/Thousands</f>
        <v>1842.4482999999998</v>
      </c>
      <c r="K62" s="99">
        <f>_xlfn.XLOOKUP($A62,Historical_Cap_Cons!$B$4:$B$12,Historical_Cap_Cons!E$4:E$12,0,0,1)/Thousands</f>
        <v>1854.8511700000004</v>
      </c>
      <c r="L62" s="237">
        <f>_xlfn.XLOOKUP($A62,Historical_Cap_Cons!$B$4:$B$12,Historical_Cap_Cons!F$4:F$12,0,0,1)/Thousands</f>
        <v>1641.3568799999998</v>
      </c>
      <c r="M62" s="99">
        <f>_xlfn.XLOOKUP($A62,Historical_Cap_Cons!$B$4:$B$12,Historical_Cap_Cons!G$4:G$12,0,0,1)/Thousands</f>
        <v>1902.43803</v>
      </c>
      <c r="N62" s="99">
        <f>_xlfn.XLOOKUP($A62,Historical_Cap_Cons!$B$4:$B$12,Historical_Cap_Cons!H$4:H$12,0,0,1)/Thousands</f>
        <v>2393.04592</v>
      </c>
      <c r="O62" s="99">
        <f>AVERAGE($L73:$N73)*O40</f>
        <v>3071.2937771279094</v>
      </c>
      <c r="P62" s="99">
        <f t="shared" ref="P62:P66" si="73">AVERAGE($L73:$N73)*P40</f>
        <v>3149.7516738604104</v>
      </c>
      <c r="R62" s="361"/>
      <c r="S62" s="361"/>
      <c r="T62" s="361"/>
      <c r="U62" s="362"/>
      <c r="V62" s="361"/>
    </row>
    <row r="63" spans="1:22" x14ac:dyDescent="0.3">
      <c r="A63">
        <v>1013</v>
      </c>
      <c r="B63" t="s">
        <v>84</v>
      </c>
      <c r="C63" s="108">
        <f t="shared" si="72"/>
        <v>1936.22209</v>
      </c>
      <c r="D63" s="108">
        <f t="shared" si="72"/>
        <v>1877.19021</v>
      </c>
      <c r="E63" s="108">
        <f t="shared" si="72"/>
        <v>654.77161999999998</v>
      </c>
      <c r="F63" s="111">
        <f t="shared" si="72"/>
        <v>1841.6381399999996</v>
      </c>
      <c r="G63" s="108">
        <f t="shared" si="72"/>
        <v>3639.6056499999995</v>
      </c>
      <c r="H63" s="108">
        <f t="shared" si="72"/>
        <v>5195.525529999999</v>
      </c>
      <c r="I63" s="108">
        <f t="shared" si="72"/>
        <v>5497.6494000000002</v>
      </c>
      <c r="J63" s="99">
        <f>_xlfn.XLOOKUP($A63,Historical_Cap_Cons!$B$4:$B$12,Historical_Cap_Cons!D$4:D$12,0,0,1)/Thousands</f>
        <v>4968.4601900000007</v>
      </c>
      <c r="K63" s="99">
        <f>_xlfn.XLOOKUP($A63,Historical_Cap_Cons!$B$4:$B$12,Historical_Cap_Cons!E$4:E$12,0,0,1)/Thousands</f>
        <v>5553.2940699999999</v>
      </c>
      <c r="L63" s="237">
        <f>_xlfn.XLOOKUP($A63,Historical_Cap_Cons!$B$4:$B$12,Historical_Cap_Cons!F$4:F$12,0,0,1)/Thousands</f>
        <v>4996.9075799999991</v>
      </c>
      <c r="M63" s="99">
        <f>_xlfn.XLOOKUP($A63,Historical_Cap_Cons!$B$4:$B$12,Historical_Cap_Cons!G$4:G$12,0,0,1)/Thousands</f>
        <v>5255.6906399999998</v>
      </c>
      <c r="N63" s="99">
        <f>_xlfn.XLOOKUP($A63,Historical_Cap_Cons!$B$4:$B$12,Historical_Cap_Cons!H$4:H$12,0,0,1)/Thousands</f>
        <v>4830.1115899999995</v>
      </c>
      <c r="O63" s="99">
        <f t="shared" ref="O63:P66" si="74">AVERAGE($L74:$N74)*O41</f>
        <v>6206.3770111201275</v>
      </c>
      <c r="P63" s="99">
        <f t="shared" si="73"/>
        <v>6987.4136900621497</v>
      </c>
      <c r="R63" s="361"/>
      <c r="S63" s="361"/>
      <c r="T63" s="361"/>
      <c r="U63" s="362"/>
      <c r="V63" s="361"/>
    </row>
    <row r="64" spans="1:22" x14ac:dyDescent="0.3">
      <c r="A64">
        <v>1014</v>
      </c>
      <c r="B64" t="s">
        <v>85</v>
      </c>
      <c r="C64" s="108">
        <f t="shared" si="72"/>
        <v>3369.0362000000009</v>
      </c>
      <c r="D64" s="108">
        <f t="shared" si="72"/>
        <v>2448.24127</v>
      </c>
      <c r="E64" s="108">
        <f t="shared" si="72"/>
        <v>2276.7452000000003</v>
      </c>
      <c r="F64" s="111">
        <f t="shared" si="72"/>
        <v>4406.4466899999989</v>
      </c>
      <c r="G64" s="108">
        <f t="shared" si="72"/>
        <v>5658.4607899999992</v>
      </c>
      <c r="H64" s="108">
        <f t="shared" si="72"/>
        <v>5661.4387800000004</v>
      </c>
      <c r="I64" s="108">
        <f t="shared" si="72"/>
        <v>7370.5216600000003</v>
      </c>
      <c r="J64" s="99">
        <f>_xlfn.XLOOKUP($A64,Historical_Cap_Cons!$B$4:$B$12,Historical_Cap_Cons!D$4:D$12,0,0,1)/Thousands</f>
        <v>6207.5566200000003</v>
      </c>
      <c r="K64" s="99">
        <f>_xlfn.XLOOKUP($A64,Historical_Cap_Cons!$B$4:$B$12,Historical_Cap_Cons!E$4:E$12,0,0,1)/Thousands</f>
        <v>6233.6216299999996</v>
      </c>
      <c r="L64" s="237">
        <f>_xlfn.XLOOKUP($A64,Historical_Cap_Cons!$B$4:$B$12,Historical_Cap_Cons!F$4:F$12,0,0,1)/Thousands</f>
        <v>5374.5672200000008</v>
      </c>
      <c r="M64" s="99">
        <f>_xlfn.XLOOKUP($A64,Historical_Cap_Cons!$B$4:$B$12,Historical_Cap_Cons!G$4:G$12,0,0,1)/Thousands</f>
        <v>8793.9093999999986</v>
      </c>
      <c r="N64" s="99">
        <f>_xlfn.XLOOKUP($A64,Historical_Cap_Cons!$B$4:$B$12,Historical_Cap_Cons!H$4:H$12,0,0,1)/Thousands</f>
        <v>7431.700170000001</v>
      </c>
      <c r="O64" s="99">
        <f t="shared" si="74"/>
        <v>9818.2620115001846</v>
      </c>
      <c r="P64" s="99">
        <f t="shared" si="73"/>
        <v>8456.626320557436</v>
      </c>
      <c r="R64" s="361"/>
      <c r="S64" s="361"/>
      <c r="T64" s="361"/>
      <c r="U64" s="362"/>
      <c r="V64" s="361"/>
    </row>
    <row r="65" spans="1:22" x14ac:dyDescent="0.3">
      <c r="A65">
        <v>1018</v>
      </c>
      <c r="B65" t="s">
        <v>86</v>
      </c>
      <c r="C65" s="108">
        <f t="shared" si="72"/>
        <v>4556.4513600000009</v>
      </c>
      <c r="D65" s="108">
        <f t="shared" si="72"/>
        <v>6323.2983199999999</v>
      </c>
      <c r="E65" s="108">
        <f t="shared" si="72"/>
        <v>176.96199999999999</v>
      </c>
      <c r="F65" s="111">
        <f t="shared" si="72"/>
        <v>810.3508700000001</v>
      </c>
      <c r="G65" s="108">
        <f t="shared" si="72"/>
        <v>3197.7241100000001</v>
      </c>
      <c r="H65" s="108">
        <f t="shared" si="72"/>
        <v>3433.7036699999999</v>
      </c>
      <c r="I65" s="108">
        <f t="shared" si="72"/>
        <v>4045.9027300000007</v>
      </c>
      <c r="J65" s="99">
        <f>_xlfn.XLOOKUP($A65,Historical_Cap_Cons!$B$4:$B$12,Historical_Cap_Cons!D$4:D$12,0,0,1)/Thousands</f>
        <v>4235.9633700000004</v>
      </c>
      <c r="K65" s="99">
        <f>_xlfn.XLOOKUP($A65,Historical_Cap_Cons!$B$4:$B$12,Historical_Cap_Cons!E$4:E$12,0,0,1)/Thousands</f>
        <v>5678.36276</v>
      </c>
      <c r="L65" s="237">
        <f>_xlfn.XLOOKUP($A65,Historical_Cap_Cons!$B$4:$B$12,Historical_Cap_Cons!F$4:F$12,0,0,1)/Thousands</f>
        <v>5829.9338699999989</v>
      </c>
      <c r="M65" s="99">
        <f>_xlfn.XLOOKUP($A65,Historical_Cap_Cons!$B$4:$B$12,Historical_Cap_Cons!G$4:G$12,0,0,1)/Thousands</f>
        <v>5086.5892800000001</v>
      </c>
      <c r="N65" s="99">
        <f>_xlfn.XLOOKUP($A65,Historical_Cap_Cons!$B$4:$B$12,Historical_Cap_Cons!H$4:H$12,0,0,1)/Thousands</f>
        <v>5271.7725899999996</v>
      </c>
      <c r="O65" s="99">
        <f t="shared" si="74"/>
        <v>6645.5858964522986</v>
      </c>
      <c r="P65" s="99">
        <f t="shared" si="73"/>
        <v>7061.0838790532362</v>
      </c>
      <c r="R65" s="361"/>
      <c r="S65" s="361"/>
      <c r="T65" s="361"/>
      <c r="U65" s="362"/>
      <c r="V65" s="361"/>
    </row>
    <row r="66" spans="1:22" x14ac:dyDescent="0.3">
      <c r="A66">
        <v>1019</v>
      </c>
      <c r="B66" t="s">
        <v>78</v>
      </c>
      <c r="C66" s="108">
        <f t="shared" si="72"/>
        <v>0</v>
      </c>
      <c r="D66" s="108">
        <f t="shared" si="72"/>
        <v>0</v>
      </c>
      <c r="E66" s="108">
        <f t="shared" si="72"/>
        <v>4781.60275</v>
      </c>
      <c r="F66" s="111">
        <f t="shared" si="72"/>
        <v>3472.06583</v>
      </c>
      <c r="G66" s="108">
        <f t="shared" si="72"/>
        <v>3562.5261399999999</v>
      </c>
      <c r="H66" s="108">
        <f t="shared" si="72"/>
        <v>2428.6474199999993</v>
      </c>
      <c r="I66" s="108">
        <f t="shared" si="72"/>
        <v>2358.836859999999</v>
      </c>
      <c r="J66" s="99">
        <f>_xlfn.XLOOKUP($A66,Historical_Cap_Cons!$B$4:$B$12,Historical_Cap_Cons!D$4:D$12,0,0,1)/Thousands</f>
        <v>1618.5523800000003</v>
      </c>
      <c r="K66" s="99">
        <f>_xlfn.XLOOKUP($A66,Historical_Cap_Cons!$B$4:$B$12,Historical_Cap_Cons!E$4:E$12,0,0,1)/Thousands</f>
        <v>1312.5291</v>
      </c>
      <c r="L66" s="237">
        <f>_xlfn.XLOOKUP($A66,Historical_Cap_Cons!$B$4:$B$12,Historical_Cap_Cons!F$4:F$12,0,0,1)/Thousands</f>
        <v>1251.9633199999998</v>
      </c>
      <c r="M66" s="99">
        <f>_xlfn.XLOOKUP($A66,Historical_Cap_Cons!$B$4:$B$12,Historical_Cap_Cons!G$4:G$12,0,0,1)/Thousands</f>
        <v>937.3918000000001</v>
      </c>
      <c r="N66" s="99">
        <f>_xlfn.XLOOKUP($A66,Historical_Cap_Cons!$B$4:$B$12,Historical_Cap_Cons!H$4:H$12,0,0,1)/Thousands</f>
        <v>1524.4162699999999</v>
      </c>
      <c r="O66" s="99">
        <f t="shared" si="74"/>
        <v>1096.7579200705404</v>
      </c>
      <c r="P66" s="99">
        <f t="shared" si="73"/>
        <v>1611.2906837714654</v>
      </c>
      <c r="R66" s="361"/>
      <c r="S66" s="361"/>
      <c r="T66" s="361"/>
      <c r="U66" s="362"/>
      <c r="V66" s="361"/>
    </row>
    <row r="67" spans="1:22" x14ac:dyDescent="0.3">
      <c r="A67">
        <v>1015</v>
      </c>
      <c r="B67" t="s">
        <v>335</v>
      </c>
      <c r="C67" s="108">
        <f t="shared" si="72"/>
        <v>104.919</v>
      </c>
      <c r="D67" s="108">
        <f t="shared" si="72"/>
        <v>6866.64635</v>
      </c>
      <c r="E67" s="108">
        <f t="shared" si="72"/>
        <v>3847.0500200000024</v>
      </c>
      <c r="F67" s="111">
        <f t="shared" si="72"/>
        <v>5.5000000000000284</v>
      </c>
      <c r="G67" s="108">
        <f t="shared" si="72"/>
        <v>335.24520000000001</v>
      </c>
      <c r="H67" s="108">
        <f t="shared" si="72"/>
        <v>236.71700000000001</v>
      </c>
      <c r="I67" s="108">
        <f t="shared" si="72"/>
        <v>59.794150000000002</v>
      </c>
      <c r="J67" s="99">
        <f>_xlfn.XLOOKUP($A67,Historical_Cap_Cons!$B$4:$B$12,Historical_Cap_Cons!D$4:D$12,0,0,1)/Thousands</f>
        <v>5822.3575300000002</v>
      </c>
      <c r="K67" s="99">
        <f>_xlfn.XLOOKUP($A67,Historical_Cap_Cons!$B$4:$B$12,Historical_Cap_Cons!E$4:E$12,0,0,1)/Thousands</f>
        <v>7250.72145</v>
      </c>
      <c r="L67" s="237">
        <f>_xlfn.XLOOKUP($A67,Historical_Cap_Cons!$B$4:$B$12,Historical_Cap_Cons!F$4:F$12,0,0,1)/Thousands</f>
        <v>0</v>
      </c>
      <c r="M67" s="99">
        <f>_xlfn.XLOOKUP($A67,Historical_Cap_Cons!$B$4:$B$12,Historical_Cap_Cons!G$4:G$12,0,0,1)/Thousands</f>
        <v>186.27600000000001</v>
      </c>
      <c r="N67" s="99">
        <f>_xlfn.XLOOKUP($A67,Historical_Cap_Cons!$B$4:$B$12,Historical_Cap_Cons!H$4:H$12,0,0,1)/Thousands</f>
        <v>82.167249999999996</v>
      </c>
      <c r="O67" s="99">
        <f>AVERAGE($L75:$N75)*O45+4491.034</f>
        <v>4719.3555508107856</v>
      </c>
      <c r="P67" s="99">
        <f>AVERAGE($L75:$N75)*P45</f>
        <v>235.94246233578693</v>
      </c>
      <c r="R67" s="361"/>
      <c r="S67" s="361"/>
      <c r="T67" s="361"/>
      <c r="U67" s="362"/>
      <c r="V67" s="362"/>
    </row>
    <row r="68" spans="1:22" x14ac:dyDescent="0.3">
      <c r="A68">
        <v>1016</v>
      </c>
      <c r="B68" t="s">
        <v>88</v>
      </c>
      <c r="C68" s="108">
        <f t="shared" si="72"/>
        <v>7.99</v>
      </c>
      <c r="D68" s="108">
        <f t="shared" si="72"/>
        <v>2.2800000000000002</v>
      </c>
      <c r="E68" s="108">
        <f t="shared" si="72"/>
        <v>0.5</v>
      </c>
      <c r="F68" s="111">
        <f t="shared" si="72"/>
        <v>325.93799999999999</v>
      </c>
      <c r="G68" s="108">
        <f t="shared" si="72"/>
        <v>49.964730000000003</v>
      </c>
      <c r="H68" s="108">
        <f t="shared" si="72"/>
        <v>31.336099999999998</v>
      </c>
      <c r="I68" s="108">
        <f t="shared" si="72"/>
        <v>6.0510000000000002</v>
      </c>
      <c r="J68" s="99">
        <f>_xlfn.XLOOKUP($A68,Historical_Cap_Cons!$B$4:$B$12,Historical_Cap_Cons!D$4:D$12,0,0,1)/Thousands</f>
        <v>0.5</v>
      </c>
      <c r="K68" s="99">
        <f>_xlfn.XLOOKUP($A68,Historical_Cap_Cons!$B$4:$B$12,Historical_Cap_Cons!E$4:E$12,0,0,1)/Thousands</f>
        <v>0</v>
      </c>
      <c r="L68" s="237">
        <f>_xlfn.XLOOKUP($A68,Historical_Cap_Cons!$B$4:$B$12,Historical_Cap_Cons!F$4:F$12,0,0,1)/Thousands</f>
        <v>2.4</v>
      </c>
      <c r="M68" s="99">
        <f>_xlfn.XLOOKUP($A68,Historical_Cap_Cons!$B$4:$B$12,Historical_Cap_Cons!G$4:G$12,0,0,1)/Thousands</f>
        <v>3.073</v>
      </c>
      <c r="N68" s="99">
        <f>_xlfn.XLOOKUP($A68,Historical_Cap_Cons!$B$4:$B$12,Historical_Cap_Cons!H$4:H$12,0,0,1)/Thousands</f>
        <v>0</v>
      </c>
      <c r="O68" s="99">
        <v>0</v>
      </c>
      <c r="P68" s="99">
        <v>0</v>
      </c>
      <c r="R68" s="361"/>
      <c r="S68" s="361"/>
      <c r="T68" s="361"/>
      <c r="U68" s="362"/>
      <c r="V68" s="362"/>
    </row>
    <row r="69" spans="1:22" x14ac:dyDescent="0.3">
      <c r="A69">
        <v>1048</v>
      </c>
      <c r="B69" t="s">
        <v>236</v>
      </c>
      <c r="C69" s="109"/>
      <c r="D69" s="109"/>
      <c r="E69" s="109"/>
      <c r="F69" s="112"/>
      <c r="G69" s="109"/>
      <c r="H69" s="109"/>
      <c r="I69" s="109">
        <f t="shared" si="72"/>
        <v>0</v>
      </c>
      <c r="J69" s="236">
        <f>_xlfn.XLOOKUP($A69,Historical_Cap_Cons!$B$4:$B$12,Historical_Cap_Cons!D$4:D$12,0,0,1)/Thousands</f>
        <v>0</v>
      </c>
      <c r="K69" s="236">
        <f>_xlfn.XLOOKUP($A69,Historical_Cap_Cons!$B$4:$B$12,Historical_Cap_Cons!E$4:E$12,0,0,1)/Thousands</f>
        <v>0</v>
      </c>
      <c r="L69" s="277">
        <f>_xlfn.XLOOKUP($A69,Historical_Cap_Cons!$B$4:$B$12,Historical_Cap_Cons!F$4:F$12,0,0,1)/Thousands</f>
        <v>0</v>
      </c>
      <c r="M69" s="236">
        <f>_xlfn.XLOOKUP($A69,Historical_Cap_Cons!$B$4:$B$12,Historical_Cap_Cons!G$4:G$12,0,0,1)/Thousands</f>
        <v>0</v>
      </c>
      <c r="N69" s="236">
        <f>_xlfn.XLOOKUP($A69,Historical_Cap_Cons!$B$4:$B$12,Historical_Cap_Cons!H$4:H$12,0,0,1)/Thousands</f>
        <v>78.673000000000002</v>
      </c>
      <c r="O69" s="236">
        <v>13182.708977854867</v>
      </c>
      <c r="P69" s="236">
        <v>25959.90969437997</v>
      </c>
      <c r="R69" s="361"/>
      <c r="S69" s="361"/>
      <c r="T69" s="361"/>
      <c r="U69" s="362"/>
      <c r="V69" s="362"/>
    </row>
    <row r="70" spans="1:22" x14ac:dyDescent="0.3">
      <c r="B70" s="1" t="s">
        <v>359</v>
      </c>
      <c r="C70" s="110">
        <f t="shared" ref="C70:P70" si="75">SUM(C62:C69)</f>
        <v>11878.040980000002</v>
      </c>
      <c r="D70" s="273">
        <f t="shared" si="75"/>
        <v>19584.53112</v>
      </c>
      <c r="E70" s="110">
        <f t="shared" si="75"/>
        <v>14190.668850000002</v>
      </c>
      <c r="F70" s="113">
        <f t="shared" si="75"/>
        <v>13002.834989999999</v>
      </c>
      <c r="G70" s="110">
        <f t="shared" si="75"/>
        <v>19384.998790000001</v>
      </c>
      <c r="H70" s="110">
        <f t="shared" si="75"/>
        <v>20018.341190000003</v>
      </c>
      <c r="I70" s="110">
        <f t="shared" si="75"/>
        <v>21746.730520000008</v>
      </c>
      <c r="J70" s="110">
        <f t="shared" si="75"/>
        <v>24695.838390000004</v>
      </c>
      <c r="K70" s="110">
        <f t="shared" si="75"/>
        <v>27883.38018</v>
      </c>
      <c r="L70" s="113">
        <f t="shared" si="75"/>
        <v>19097.128869999997</v>
      </c>
      <c r="M70" s="110">
        <f t="shared" si="75"/>
        <v>22165.368150000002</v>
      </c>
      <c r="N70" s="110">
        <f t="shared" si="75"/>
        <v>21611.88679</v>
      </c>
      <c r="O70" s="110">
        <f t="shared" si="75"/>
        <v>44740.341144936712</v>
      </c>
      <c r="P70" s="110">
        <f t="shared" si="75"/>
        <v>53462.018404020462</v>
      </c>
      <c r="R70" s="110"/>
      <c r="S70" s="110"/>
      <c r="T70" s="110"/>
    </row>
    <row r="71" spans="1:22" x14ac:dyDescent="0.3">
      <c r="C71" s="74"/>
      <c r="D71" s="74"/>
      <c r="E71" s="74"/>
      <c r="F71" s="74">
        <v>0</v>
      </c>
      <c r="G71" s="74">
        <v>0</v>
      </c>
      <c r="H71" s="74">
        <v>0</v>
      </c>
      <c r="I71" s="74">
        <v>0</v>
      </c>
      <c r="J71" s="71">
        <f>J70-Historical_Cap_Cons!D13/Thousands</f>
        <v>0</v>
      </c>
      <c r="K71" s="71">
        <f>K70-Historical_Cap_Cons!E13/Thousands</f>
        <v>0</v>
      </c>
      <c r="L71" s="71">
        <f>L70-Historical_Cap_Cons!F13/Thousands</f>
        <v>0</v>
      </c>
      <c r="M71" s="71">
        <f>M70-Historical_Cap_Cons!G13/Thousands</f>
        <v>0</v>
      </c>
      <c r="N71" s="74">
        <f>N70-Historical_Cap_Cons!H13/Thousands</f>
        <v>0</v>
      </c>
      <c r="O71" s="74">
        <f>O70-Contr_Fcast!M18</f>
        <v>0</v>
      </c>
      <c r="P71" s="74">
        <f>P70-Contr_Fcast!N18</f>
        <v>0</v>
      </c>
      <c r="R71" s="74"/>
    </row>
    <row r="72" spans="1:22" x14ac:dyDescent="0.3">
      <c r="B72" s="30" t="s">
        <v>168</v>
      </c>
      <c r="C72" s="3">
        <v>2013</v>
      </c>
      <c r="D72" s="3">
        <v>2014</v>
      </c>
      <c r="E72" s="3">
        <v>2015</v>
      </c>
      <c r="F72" s="75">
        <v>2016</v>
      </c>
      <c r="G72" s="3">
        <v>2017</v>
      </c>
      <c r="H72" s="3">
        <v>2018</v>
      </c>
      <c r="I72" s="3">
        <v>2019</v>
      </c>
      <c r="J72" s="3">
        <v>2020</v>
      </c>
      <c r="K72" s="3" t="s">
        <v>127</v>
      </c>
      <c r="L72" s="75" t="s">
        <v>163</v>
      </c>
      <c r="M72" s="3" t="s">
        <v>162</v>
      </c>
      <c r="N72" s="3" t="s">
        <v>161</v>
      </c>
      <c r="O72" s="3" t="s">
        <v>160</v>
      </c>
      <c r="P72" s="3" t="s">
        <v>159</v>
      </c>
    </row>
    <row r="73" spans="1:22" x14ac:dyDescent="0.3">
      <c r="A73">
        <v>1012</v>
      </c>
      <c r="B73" t="s">
        <v>83</v>
      </c>
      <c r="C73" s="11">
        <f t="shared" ref="C73:C79" si="76">IF(C62=0,0,C62/C40)</f>
        <v>0.11708589437319797</v>
      </c>
      <c r="D73" s="11">
        <f t="shared" ref="D73:J73" si="77">IF(D62=0,0,D62/D40)</f>
        <v>0.14922484565735813</v>
      </c>
      <c r="E73" s="11">
        <f t="shared" si="77"/>
        <v>0.18458286318732742</v>
      </c>
      <c r="F73" s="78">
        <f t="shared" si="77"/>
        <v>7.6320195352792719E-2</v>
      </c>
      <c r="G73" s="11">
        <f t="shared" si="77"/>
        <v>0.12561569774287465</v>
      </c>
      <c r="H73" s="11">
        <f t="shared" si="77"/>
        <v>0.16388251387245734</v>
      </c>
      <c r="I73" s="11">
        <f t="shared" si="77"/>
        <v>0.17052725842794397</v>
      </c>
      <c r="J73" s="11">
        <f t="shared" si="77"/>
        <v>0.14671359179691235</v>
      </c>
      <c r="K73" s="11">
        <f t="shared" ref="K73" si="78">IF(K62=0,0,K62/K40)</f>
        <v>0.13825955885302846</v>
      </c>
      <c r="L73" s="78">
        <f t="shared" ref="L73:M73" si="79">IF(L62=0,0,L62/L40)</f>
        <v>0.15003319556511538</v>
      </c>
      <c r="M73" s="11">
        <f t="shared" si="79"/>
        <v>0.11318162824060725</v>
      </c>
      <c r="N73" s="11">
        <f t="shared" ref="N73:P73" si="80">IF(N62=0,0,N62/N40)</f>
        <v>0.11963995932559411</v>
      </c>
      <c r="O73" s="11">
        <f t="shared" si="80"/>
        <v>0.12761826104377225</v>
      </c>
      <c r="P73" s="11">
        <f t="shared" si="80"/>
        <v>0.12761826104377225</v>
      </c>
    </row>
    <row r="74" spans="1:22" x14ac:dyDescent="0.3">
      <c r="A74">
        <v>1013</v>
      </c>
      <c r="B74" t="s">
        <v>84</v>
      </c>
      <c r="C74" s="11">
        <f t="shared" si="76"/>
        <v>0.16203697217559596</v>
      </c>
      <c r="D74" s="11">
        <f t="shared" ref="D74:J79" si="81">IF(D63=0,0,D63/D41)</f>
        <v>0.13428957581689252</v>
      </c>
      <c r="E74" s="11">
        <f t="shared" si="81"/>
        <v>5.7449882143197864E-2</v>
      </c>
      <c r="F74" s="78">
        <f t="shared" si="81"/>
        <v>0.15179174166067255</v>
      </c>
      <c r="G74" s="11">
        <f t="shared" si="81"/>
        <v>0.31144032838298596</v>
      </c>
      <c r="H74" s="11">
        <f t="shared" si="81"/>
        <v>0.40376494459630813</v>
      </c>
      <c r="I74" s="11">
        <f t="shared" si="81"/>
        <v>0.50358791173881601</v>
      </c>
      <c r="J74" s="11">
        <f t="shared" si="81"/>
        <v>0.48582302225611063</v>
      </c>
      <c r="K74" s="11">
        <f t="shared" ref="K74" si="82">IF(K63=0,0,K63/K41)</f>
        <v>0.82170988887040186</v>
      </c>
      <c r="L74" s="78">
        <f t="shared" ref="L74:M74" si="83">IF(L63=0,0,L63/L41)</f>
        <v>0.60182603411070168</v>
      </c>
      <c r="M74" s="11">
        <f t="shared" si="83"/>
        <v>0.67102295317276939</v>
      </c>
      <c r="N74" s="11">
        <f t="shared" ref="N74:P74" si="84">IF(N63=0,0,N63/N41)</f>
        <v>0.54605078902736526</v>
      </c>
      <c r="O74" s="11">
        <f t="shared" si="84"/>
        <v>0.60629992543694555</v>
      </c>
      <c r="P74" s="11">
        <f t="shared" si="84"/>
        <v>0.60629992543694555</v>
      </c>
    </row>
    <row r="75" spans="1:22" x14ac:dyDescent="0.3">
      <c r="A75">
        <v>1014</v>
      </c>
      <c r="B75" t="s">
        <v>85</v>
      </c>
      <c r="C75" s="11">
        <f t="shared" si="76"/>
        <v>0.24969464485160145</v>
      </c>
      <c r="D75" s="11">
        <f t="shared" si="81"/>
        <v>0.18950236106231999</v>
      </c>
      <c r="E75" s="11">
        <f t="shared" si="81"/>
        <v>0.16066936194723599</v>
      </c>
      <c r="F75" s="78">
        <f t="shared" si="81"/>
        <v>0.29638998936522581</v>
      </c>
      <c r="G75" s="11">
        <f t="shared" si="81"/>
        <v>0.3246333873528881</v>
      </c>
      <c r="H75" s="11">
        <f t="shared" si="81"/>
        <v>0.21246427368714854</v>
      </c>
      <c r="I75" s="11">
        <f t="shared" si="81"/>
        <v>0.28071877121864147</v>
      </c>
      <c r="J75" s="11">
        <f t="shared" si="81"/>
        <v>0.26364563430837124</v>
      </c>
      <c r="K75" s="11">
        <f t="shared" ref="K75" si="85">IF(K64=0,0,K64/K42)</f>
        <v>0.26557068698747227</v>
      </c>
      <c r="L75" s="78">
        <f t="shared" ref="L75:M75" si="86">IF(L64=0,0,L64/L42)</f>
        <v>0.2664513028567766</v>
      </c>
      <c r="M75" s="11">
        <f t="shared" si="86"/>
        <v>0.25404450434859255</v>
      </c>
      <c r="N75" s="11">
        <f t="shared" ref="N75:P75" si="87">IF(N64=0,0,N64/N42)</f>
        <v>0.20452024088978332</v>
      </c>
      <c r="O75" s="11">
        <f t="shared" si="87"/>
        <v>0.24167201603171748</v>
      </c>
      <c r="P75" s="11">
        <f t="shared" si="87"/>
        <v>0.24167201603171748</v>
      </c>
    </row>
    <row r="76" spans="1:22" x14ac:dyDescent="0.3">
      <c r="A76">
        <v>1018</v>
      </c>
      <c r="B76" t="s">
        <v>86</v>
      </c>
      <c r="C76" s="11">
        <f t="shared" si="76"/>
        <v>0.38517754604249471</v>
      </c>
      <c r="D76" s="11">
        <f t="shared" si="81"/>
        <v>0.42953241039657453</v>
      </c>
      <c r="E76" s="11">
        <f t="shared" si="81"/>
        <v>2.4585121900680823E-2</v>
      </c>
      <c r="F76" s="78">
        <f t="shared" si="81"/>
        <v>0.25812649807255111</v>
      </c>
      <c r="G76" s="11">
        <f t="shared" si="81"/>
        <v>0.45947977492077857</v>
      </c>
      <c r="H76" s="11">
        <f t="shared" si="81"/>
        <v>0.4289918029962535</v>
      </c>
      <c r="I76" s="11">
        <f t="shared" si="81"/>
        <v>0.48094691390333899</v>
      </c>
      <c r="J76" s="11">
        <f t="shared" si="81"/>
        <v>0.60345786766351017</v>
      </c>
      <c r="K76" s="11">
        <f t="shared" ref="K76" si="88">IF(K65=0,0,K65/K43)</f>
        <v>0.66488420955935645</v>
      </c>
      <c r="L76" s="78">
        <f t="shared" ref="L76:M76" si="89">IF(L65=0,0,L65/L43)</f>
        <v>0.54443981326321189</v>
      </c>
      <c r="M76" s="11">
        <f t="shared" si="89"/>
        <v>0.52734844317637541</v>
      </c>
      <c r="N76" s="11">
        <f t="shared" ref="N76:P76" si="90">IF(N65=0,0,N65/N43)</f>
        <v>0.59268664943063576</v>
      </c>
      <c r="O76" s="11">
        <f t="shared" si="90"/>
        <v>0.55482496862340769</v>
      </c>
      <c r="P76" s="11">
        <f t="shared" si="90"/>
        <v>0.55482496862340769</v>
      </c>
    </row>
    <row r="77" spans="1:22" x14ac:dyDescent="0.3">
      <c r="A77">
        <v>1019</v>
      </c>
      <c r="B77" t="s">
        <v>78</v>
      </c>
      <c r="C77" s="11">
        <f t="shared" si="76"/>
        <v>0</v>
      </c>
      <c r="D77" s="11">
        <f t="shared" si="81"/>
        <v>0</v>
      </c>
      <c r="E77" s="11">
        <f t="shared" si="81"/>
        <v>0.55539178439621339</v>
      </c>
      <c r="F77" s="78">
        <f t="shared" si="81"/>
        <v>0.50648707439786234</v>
      </c>
      <c r="G77" s="11">
        <f t="shared" si="81"/>
        <v>0.64808306703589869</v>
      </c>
      <c r="H77" s="11">
        <f t="shared" si="81"/>
        <v>0.50751146701367578</v>
      </c>
      <c r="I77" s="11">
        <f t="shared" si="81"/>
        <v>0.56833259539361791</v>
      </c>
      <c r="J77" s="11">
        <f t="shared" si="81"/>
        <v>0.38401131943481542</v>
      </c>
      <c r="K77" s="11">
        <f t="shared" ref="K77" si="91">IF(K66=0,0,K66/K44)</f>
        <v>0.55902433867897505</v>
      </c>
      <c r="L77" s="78">
        <f t="shared" ref="L77:M77" si="92">IF(L66=0,0,L66/L44)</f>
        <v>0.85112739750888211</v>
      </c>
      <c r="M77" s="11">
        <f t="shared" si="92"/>
        <v>0.33874423256157882</v>
      </c>
      <c r="N77" s="11">
        <f t="shared" ref="N77:P77" si="93">IF(N66=0,0,N66/N44)</f>
        <v>0.46127030070335989</v>
      </c>
      <c r="O77" s="11">
        <f t="shared" si="93"/>
        <v>0.55038064359127359</v>
      </c>
      <c r="P77" s="11">
        <f t="shared" si="93"/>
        <v>0.55038064359127359</v>
      </c>
    </row>
    <row r="78" spans="1:22" x14ac:dyDescent="0.3">
      <c r="A78">
        <v>1015</v>
      </c>
      <c r="B78" t="s">
        <v>335</v>
      </c>
      <c r="C78" s="11">
        <f t="shared" si="76"/>
        <v>0.12945610176027672</v>
      </c>
      <c r="D78" s="11">
        <f t="shared" si="81"/>
        <v>1.0628032705207313</v>
      </c>
      <c r="E78" s="11">
        <f t="shared" si="81"/>
        <v>1.624182847895884</v>
      </c>
      <c r="F78" s="78">
        <f t="shared" si="81"/>
        <v>2.0517749176047977E-2</v>
      </c>
      <c r="G78" s="11">
        <f t="shared" si="81"/>
        <v>2.4845346382773523</v>
      </c>
      <c r="H78" s="11">
        <f t="shared" si="81"/>
        <v>1.7709831734216028</v>
      </c>
      <c r="I78" s="11">
        <f t="shared" si="81"/>
        <v>1.2326851301038251E-2</v>
      </c>
      <c r="J78" s="11">
        <f t="shared" si="81"/>
        <v>1.6483557583515969</v>
      </c>
      <c r="K78" s="11">
        <f t="shared" ref="K78" si="94">IF(K67=0,0,K67/K45)</f>
        <v>3.7868690870601527</v>
      </c>
      <c r="L78" s="78">
        <f t="shared" ref="L78:M78" si="95">IF(L67=0,0,L67/L45)</f>
        <v>0</v>
      </c>
      <c r="M78" s="11">
        <f t="shared" si="95"/>
        <v>0.15593169285234912</v>
      </c>
      <c r="N78" s="11">
        <f t="shared" ref="N78:P78" si="96">IF(N67=0,0,N67/N45)</f>
        <v>2.9692483157931802E-2</v>
      </c>
      <c r="O78" s="11">
        <f t="shared" si="96"/>
        <v>4.9953066904319483</v>
      </c>
      <c r="P78" s="11">
        <f t="shared" si="96"/>
        <v>0.24167201603171748</v>
      </c>
    </row>
    <row r="79" spans="1:22" x14ac:dyDescent="0.3">
      <c r="A79">
        <v>1016</v>
      </c>
      <c r="B79" t="s">
        <v>88</v>
      </c>
      <c r="C79" s="11">
        <f t="shared" si="76"/>
        <v>6.5193336428344085E-3</v>
      </c>
      <c r="D79" s="11">
        <f t="shared" si="81"/>
        <v>1.3748455650448917E-3</v>
      </c>
      <c r="E79" s="11">
        <f t="shared" si="81"/>
        <v>4.2473145679199E-4</v>
      </c>
      <c r="F79" s="78">
        <f t="shared" si="81"/>
        <v>0.26783730750666696</v>
      </c>
      <c r="G79" s="11">
        <f t="shared" si="81"/>
        <v>8.1145079106234128E-2</v>
      </c>
      <c r="H79" s="11">
        <f t="shared" si="81"/>
        <v>2.8099507436697743E-2</v>
      </c>
      <c r="I79" s="11">
        <f t="shared" si="81"/>
        <v>7.160487877360424E-3</v>
      </c>
      <c r="J79" s="11">
        <f t="shared" si="81"/>
        <v>1.2435652941871038E-3</v>
      </c>
      <c r="K79" s="11">
        <f t="shared" ref="K79" si="97">IF(K68=0,0,K68/K46)</f>
        <v>0</v>
      </c>
      <c r="L79" s="78">
        <f>IF(L68=0,0,L68/L46)</f>
        <v>3.6177947068172099E-3</v>
      </c>
      <c r="M79" s="11">
        <f>IF(M68=0,0,M68/M46)</f>
        <v>6.2681455981911834E-3</v>
      </c>
      <c r="N79" s="11">
        <f t="shared" ref="N79:P80" si="98">IF(N68=0,0,N68/N46)</f>
        <v>0</v>
      </c>
      <c r="O79" s="11">
        <f t="shared" si="98"/>
        <v>0</v>
      </c>
      <c r="P79" s="11">
        <f t="shared" si="98"/>
        <v>0</v>
      </c>
    </row>
    <row r="80" spans="1:22" x14ac:dyDescent="0.3">
      <c r="A80">
        <v>1048</v>
      </c>
      <c r="B80" t="s">
        <v>236</v>
      </c>
      <c r="C80" s="188"/>
      <c r="D80" s="188"/>
      <c r="E80" s="188"/>
      <c r="F80" s="313"/>
      <c r="G80" s="314"/>
      <c r="H80" s="314"/>
      <c r="I80" s="314"/>
      <c r="J80" s="314"/>
      <c r="K80" s="314"/>
      <c r="L80" s="264">
        <f>IF(L69=0,0,L69/L47)</f>
        <v>0</v>
      </c>
      <c r="M80" s="188">
        <f>IF(M69=0,0,M69/M47)</f>
        <v>0</v>
      </c>
      <c r="N80" s="188">
        <f t="shared" si="98"/>
        <v>6.4652673393345364E-2</v>
      </c>
      <c r="O80" s="188">
        <f t="shared" si="98"/>
        <v>0.912746417377444</v>
      </c>
      <c r="P80" s="188">
        <f t="shared" si="98"/>
        <v>0.80948466594815172</v>
      </c>
    </row>
    <row r="81" spans="2:16" x14ac:dyDescent="0.3">
      <c r="B81" s="1" t="s">
        <v>2</v>
      </c>
      <c r="C81" s="274">
        <f t="shared" ref="C81:K81" si="99">IF(C70=0,0,C70/C48)</f>
        <v>0.213772062935042</v>
      </c>
      <c r="D81" s="274">
        <f t="shared" si="99"/>
        <v>0.30798450979756065</v>
      </c>
      <c r="E81" s="274">
        <f t="shared" si="99"/>
        <v>0.2437821839233989</v>
      </c>
      <c r="F81" s="275">
        <f t="shared" si="99"/>
        <v>0.19544099081535754</v>
      </c>
      <c r="G81" s="274">
        <f t="shared" si="99"/>
        <v>0.29487256738232781</v>
      </c>
      <c r="H81" s="274">
        <f t="shared" si="99"/>
        <v>0.27784956463491506</v>
      </c>
      <c r="I81" s="274">
        <f t="shared" si="99"/>
        <v>0.31266770676266492</v>
      </c>
      <c r="J81" s="274">
        <f t="shared" si="99"/>
        <v>0.40156663188691305</v>
      </c>
      <c r="K81" s="274">
        <f t="shared" si="99"/>
        <v>0.49116089393428841</v>
      </c>
      <c r="L81" s="275">
        <f t="shared" ref="L81:M81" si="100">IF(L70=0,0,L70/L48)</f>
        <v>0.35972189296437329</v>
      </c>
      <c r="M81" s="274">
        <f t="shared" si="100"/>
        <v>0.29640000724419441</v>
      </c>
      <c r="N81" s="274">
        <f t="shared" ref="N81:P81" si="101">IF(N70=0,0,N70/N48)</f>
        <v>0.26445670302395402</v>
      </c>
      <c r="O81" s="274">
        <f t="shared" si="101"/>
        <v>0.42696283550730729</v>
      </c>
      <c r="P81" s="274">
        <f t="shared" si="101"/>
        <v>0.44301890861648918</v>
      </c>
    </row>
    <row r="83" spans="2:16" x14ac:dyDescent="0.3">
      <c r="L83" s="74"/>
    </row>
    <row r="84" spans="2:16" x14ac:dyDescent="0.3">
      <c r="L84" s="74"/>
    </row>
    <row r="87" spans="2:16" x14ac:dyDescent="0.3">
      <c r="J87" s="74"/>
      <c r="K87" s="74"/>
      <c r="L87" s="74"/>
      <c r="M87" s="74"/>
    </row>
  </sheetData>
  <hyperlinks>
    <hyperlink ref="B3" location="Contents!A1" display="Table of Contents" xr:uid="{00000000-0004-0000-0F00-000000000000}"/>
  </hyperlinks>
  <pageMargins left="0.7" right="0.7" top="0.75" bottom="0.75" header="0.3" footer="0.3"/>
  <pageSetup paperSize="9" orientation="portrait" r:id="rId1"/>
  <headerFooter>
    <oddFooter>&amp;C_x000D_&amp;1#&amp;"Century Gothic"&amp;7&amp;K7F7F7F BUSINESS USE 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41234-6262-472F-A88C-11809534FAD4}">
  <sheetPr>
    <tabColor theme="8" tint="-0.249977111117893"/>
  </sheetPr>
  <dimension ref="C3:C4"/>
  <sheetViews>
    <sheetView workbookViewId="0">
      <selection activeCell="M15" sqref="M15"/>
    </sheetView>
  </sheetViews>
  <sheetFormatPr defaultColWidth="9.109375" defaultRowHeight="14.65" x14ac:dyDescent="0.3"/>
  <cols>
    <col min="1" max="16384" width="9.109375" style="26"/>
  </cols>
  <sheetData>
    <row r="3" spans="3:3" ht="18.5" x14ac:dyDescent="0.35">
      <c r="C3" s="27" t="s">
        <v>443</v>
      </c>
    </row>
    <row r="4" spans="3:3" x14ac:dyDescent="0.3">
      <c r="C4" s="41" t="s">
        <v>54</v>
      </c>
    </row>
  </sheetData>
  <hyperlinks>
    <hyperlink ref="C4" location="Contents!A1" display="Table of Contents" xr:uid="{EB6C16EB-8B27-4150-8BF8-34E92ED07997}"/>
  </hyperlinks>
  <pageMargins left="0.7" right="0.7" top="0.75" bottom="0.75" header="0.3" footer="0.3"/>
  <headerFooter>
    <oddFooter>&amp;C_x000D_&amp;1#&amp;"Century Gothic"&amp;7&amp;K7F7F7F BUSINESS USE ONLY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596B9-5765-4751-94C4-610C0B3B27E6}">
  <sheetPr codeName="Sheet13"/>
  <dimension ref="B1:H22"/>
  <sheetViews>
    <sheetView zoomScale="85" zoomScaleNormal="85" workbookViewId="0">
      <pane xSplit="3" topLeftCell="D1" activePane="topRight" state="frozen"/>
      <selection pane="topRight" activeCell="B3" sqref="B3"/>
    </sheetView>
  </sheetViews>
  <sheetFormatPr defaultRowHeight="14.65" x14ac:dyDescent="0.3"/>
  <cols>
    <col min="1" max="1" width="3.44140625" customWidth="1"/>
    <col min="3" max="3" width="48.33203125" customWidth="1"/>
    <col min="4" max="4" width="39.109375" customWidth="1"/>
    <col min="8" max="8" width="8.5546875" customWidth="1"/>
  </cols>
  <sheetData>
    <row r="1" spans="2:8" x14ac:dyDescent="0.3">
      <c r="F1" s="523" t="s">
        <v>180</v>
      </c>
      <c r="G1" s="523"/>
    </row>
    <row r="2" spans="2:8" ht="18.5" x14ac:dyDescent="0.35">
      <c r="B2" s="39" t="s">
        <v>383</v>
      </c>
    </row>
    <row r="3" spans="2:8" x14ac:dyDescent="0.3">
      <c r="B3" s="40" t="s">
        <v>54</v>
      </c>
    </row>
    <row r="5" spans="2:8" ht="23.6" customHeight="1" x14ac:dyDescent="0.3">
      <c r="B5" s="20"/>
      <c r="E5" s="524"/>
      <c r="F5" s="525"/>
      <c r="G5" s="525"/>
      <c r="H5" s="526"/>
    </row>
    <row r="6" spans="2:8" ht="29.35" x14ac:dyDescent="0.3">
      <c r="B6" s="195" t="s">
        <v>18</v>
      </c>
      <c r="C6" s="196"/>
      <c r="D6" s="29" t="s">
        <v>201</v>
      </c>
      <c r="E6" s="464"/>
      <c r="F6" s="464"/>
      <c r="G6" s="464"/>
      <c r="H6" s="299" t="s">
        <v>269</v>
      </c>
    </row>
    <row r="7" spans="2:8" x14ac:dyDescent="0.3">
      <c r="B7" s="515">
        <v>1012</v>
      </c>
      <c r="C7" s="107" t="s">
        <v>83</v>
      </c>
      <c r="D7" s="300" t="s">
        <v>89</v>
      </c>
      <c r="E7" s="465"/>
      <c r="F7" s="465"/>
      <c r="G7" s="465"/>
      <c r="H7" s="301">
        <f t="shared" ref="H7:H20" si="0">SUM(E7:G7)</f>
        <v>0</v>
      </c>
    </row>
    <row r="8" spans="2:8" x14ac:dyDescent="0.3">
      <c r="B8" s="518"/>
      <c r="C8" s="107" t="s">
        <v>92</v>
      </c>
      <c r="D8" s="300" t="s">
        <v>113</v>
      </c>
      <c r="E8" s="465"/>
      <c r="F8" s="465"/>
      <c r="G8" s="465"/>
      <c r="H8" s="301">
        <f t="shared" si="0"/>
        <v>0</v>
      </c>
    </row>
    <row r="9" spans="2:8" x14ac:dyDescent="0.3">
      <c r="B9" s="518"/>
      <c r="C9" s="107" t="s">
        <v>121</v>
      </c>
      <c r="D9" s="300"/>
      <c r="E9" s="466"/>
      <c r="F9" s="466"/>
      <c r="G9" s="465"/>
      <c r="H9" s="301">
        <f t="shared" si="0"/>
        <v>0</v>
      </c>
    </row>
    <row r="10" spans="2:8" x14ac:dyDescent="0.3">
      <c r="B10" s="518"/>
      <c r="C10" s="107" t="s">
        <v>93</v>
      </c>
      <c r="D10" s="300"/>
      <c r="E10" s="465"/>
      <c r="F10" s="465"/>
      <c r="G10" s="465"/>
      <c r="H10" s="301">
        <f t="shared" si="0"/>
        <v>0</v>
      </c>
    </row>
    <row r="11" spans="2:8" x14ac:dyDescent="0.3">
      <c r="B11" s="518"/>
      <c r="C11" s="107" t="s">
        <v>271</v>
      </c>
      <c r="D11" s="300"/>
      <c r="E11" s="465"/>
      <c r="F11" s="465"/>
      <c r="G11" s="465"/>
      <c r="H11" s="301">
        <f t="shared" si="0"/>
        <v>0</v>
      </c>
    </row>
    <row r="12" spans="2:8" x14ac:dyDescent="0.3">
      <c r="B12" s="516"/>
      <c r="C12" s="107" t="s">
        <v>183</v>
      </c>
      <c r="D12" s="300"/>
      <c r="E12" s="466"/>
      <c r="F12" s="466"/>
      <c r="G12" s="465"/>
      <c r="H12" s="301">
        <f t="shared" si="0"/>
        <v>0</v>
      </c>
    </row>
    <row r="13" spans="2:8" x14ac:dyDescent="0.3">
      <c r="B13" s="95">
        <v>1013</v>
      </c>
      <c r="C13" s="81" t="s">
        <v>84</v>
      </c>
      <c r="D13" s="300"/>
      <c r="E13" s="465"/>
      <c r="F13" s="465"/>
      <c r="G13" s="465"/>
      <c r="H13" s="301">
        <f t="shared" si="0"/>
        <v>0</v>
      </c>
    </row>
    <row r="14" spans="2:8" x14ac:dyDescent="0.3">
      <c r="B14" s="515">
        <v>1014</v>
      </c>
      <c r="C14" s="81" t="s">
        <v>85</v>
      </c>
      <c r="D14" s="300"/>
      <c r="E14" s="465"/>
      <c r="F14" s="465"/>
      <c r="G14" s="465"/>
      <c r="H14" s="301">
        <f t="shared" si="0"/>
        <v>0</v>
      </c>
    </row>
    <row r="15" spans="2:8" x14ac:dyDescent="0.3">
      <c r="B15" s="516"/>
      <c r="C15" s="300" t="s">
        <v>179</v>
      </c>
      <c r="D15" s="300" t="s">
        <v>113</v>
      </c>
      <c r="E15" s="465"/>
      <c r="F15" s="465"/>
      <c r="G15" s="465"/>
      <c r="H15" s="301">
        <f t="shared" si="0"/>
        <v>0</v>
      </c>
    </row>
    <row r="16" spans="2:8" x14ac:dyDescent="0.3">
      <c r="B16" s="95">
        <v>1018</v>
      </c>
      <c r="C16" s="81" t="s">
        <v>86</v>
      </c>
      <c r="D16" s="81"/>
      <c r="E16" s="465"/>
      <c r="F16" s="465"/>
      <c r="G16" s="465"/>
      <c r="H16" s="301">
        <f t="shared" si="0"/>
        <v>0</v>
      </c>
    </row>
    <row r="17" spans="2:8" x14ac:dyDescent="0.3">
      <c r="B17" s="95">
        <v>1019</v>
      </c>
      <c r="C17" s="81" t="s">
        <v>78</v>
      </c>
      <c r="D17" s="300"/>
      <c r="E17" s="465"/>
      <c r="F17" s="465"/>
      <c r="G17" s="465"/>
      <c r="H17" s="301">
        <f t="shared" si="0"/>
        <v>0</v>
      </c>
    </row>
    <row r="18" spans="2:8" x14ac:dyDescent="0.3">
      <c r="B18" s="95"/>
      <c r="C18" s="81" t="s">
        <v>217</v>
      </c>
      <c r="D18" s="300" t="s">
        <v>113</v>
      </c>
      <c r="E18" s="465"/>
      <c r="F18" s="465"/>
      <c r="G18" s="465"/>
      <c r="H18" s="301">
        <f t="shared" si="0"/>
        <v>0</v>
      </c>
    </row>
    <row r="19" spans="2:8" x14ac:dyDescent="0.3">
      <c r="B19" s="95">
        <v>1015</v>
      </c>
      <c r="C19" s="81" t="s">
        <v>335</v>
      </c>
      <c r="D19" s="300"/>
      <c r="E19" s="465"/>
      <c r="F19" s="465"/>
      <c r="G19" s="465"/>
      <c r="H19" s="301">
        <f t="shared" si="0"/>
        <v>0</v>
      </c>
    </row>
    <row r="20" spans="2:8" x14ac:dyDescent="0.3">
      <c r="B20" s="95"/>
      <c r="C20" s="81" t="s">
        <v>245</v>
      </c>
      <c r="D20" s="300" t="s">
        <v>113</v>
      </c>
      <c r="E20" s="465"/>
      <c r="F20" s="465"/>
      <c r="G20" s="465"/>
      <c r="H20" s="301">
        <f t="shared" si="0"/>
        <v>0</v>
      </c>
    </row>
    <row r="21" spans="2:8" x14ac:dyDescent="0.3">
      <c r="B21" s="95">
        <v>1048</v>
      </c>
      <c r="C21" s="81" t="s">
        <v>236</v>
      </c>
      <c r="D21" s="300"/>
      <c r="E21" s="465"/>
      <c r="F21" s="465"/>
      <c r="G21" s="465"/>
      <c r="H21" s="301">
        <f t="shared" ref="H21" si="1">SUM(E21:G21)</f>
        <v>0</v>
      </c>
    </row>
    <row r="22" spans="2:8" x14ac:dyDescent="0.3">
      <c r="B22" s="95">
        <v>1016</v>
      </c>
      <c r="C22" s="81" t="s">
        <v>88</v>
      </c>
      <c r="D22" s="81"/>
      <c r="E22" s="465"/>
      <c r="F22" s="465"/>
      <c r="G22" s="465"/>
      <c r="H22" s="301">
        <f>SUM(E22:G22)</f>
        <v>0</v>
      </c>
    </row>
  </sheetData>
  <mergeCells count="4">
    <mergeCell ref="B14:B15"/>
    <mergeCell ref="B7:B12"/>
    <mergeCell ref="E5:H5"/>
    <mergeCell ref="F1:G1"/>
  </mergeCells>
  <hyperlinks>
    <hyperlink ref="B3" location="Contents!A1" display="Table of Contents" xr:uid="{4C9E5739-3CB8-40F6-A0C3-8B689FF799FE}"/>
  </hyperlinks>
  <pageMargins left="0.7" right="0.7" top="0.75" bottom="0.75" header="0.3" footer="0.3"/>
  <headerFooter>
    <oddFooter>&amp;C_x000D_&amp;1#&amp;"Century Gothic"&amp;7&amp;K7F7F7F BUSINESS USE ONLY</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E813-F50C-4256-8449-8B2C5EE4E5C4}">
  <sheetPr codeName="Sheet34"/>
  <dimension ref="B1:N34"/>
  <sheetViews>
    <sheetView zoomScale="85" zoomScaleNormal="85" workbookViewId="0">
      <selection activeCell="B3" sqref="B3"/>
    </sheetView>
  </sheetViews>
  <sheetFormatPr defaultRowHeight="14.65" x14ac:dyDescent="0.3"/>
  <cols>
    <col min="1" max="1" width="3.77734375" customWidth="1"/>
    <col min="2" max="2" width="56.21875" customWidth="1"/>
    <col min="3" max="5" width="9" bestFit="1" customWidth="1"/>
    <col min="6" max="6" width="9.88671875" bestFit="1" customWidth="1"/>
    <col min="7" max="13" width="8.33203125" customWidth="1"/>
  </cols>
  <sheetData>
    <row r="1" spans="2:14" x14ac:dyDescent="0.3">
      <c r="G1" s="523" t="s">
        <v>180</v>
      </c>
      <c r="H1" s="523"/>
    </row>
    <row r="2" spans="2:14" ht="18.5" x14ac:dyDescent="0.35">
      <c r="B2" s="39" t="s">
        <v>348</v>
      </c>
    </row>
    <row r="3" spans="2:14" x14ac:dyDescent="0.3">
      <c r="B3" s="40" t="s">
        <v>54</v>
      </c>
    </row>
    <row r="4" spans="2:14" x14ac:dyDescent="0.3">
      <c r="C4" s="530" t="s">
        <v>362</v>
      </c>
      <c r="D4" s="531"/>
      <c r="E4" s="531"/>
      <c r="F4" s="532"/>
      <c r="G4" s="527" t="s">
        <v>460</v>
      </c>
      <c r="H4" s="528"/>
      <c r="I4" s="528"/>
      <c r="J4" s="528"/>
      <c r="K4" s="528"/>
      <c r="L4" s="528"/>
      <c r="M4" s="529"/>
    </row>
    <row r="5" spans="2:14" x14ac:dyDescent="0.3">
      <c r="B5" s="1" t="s">
        <v>349</v>
      </c>
      <c r="C5" s="122" t="str">
        <f>Allocations!G50</f>
        <v>2020-21</v>
      </c>
      <c r="D5" s="119" t="str">
        <f>Allocations!H50</f>
        <v>2021-22</v>
      </c>
      <c r="E5" s="119" t="str">
        <f>Allocations!I50</f>
        <v>2022-23</v>
      </c>
      <c r="F5" s="370" t="str">
        <f>Allocations!J50</f>
        <v>2023-24</v>
      </c>
      <c r="G5" s="122" t="str">
        <f>Allocations!K50</f>
        <v>2024-25</v>
      </c>
      <c r="H5" s="119" t="str">
        <f>Allocations!L50</f>
        <v>2025-26</v>
      </c>
      <c r="I5" s="119" t="str">
        <f>Allocations!M50</f>
        <v>2026-27</v>
      </c>
      <c r="J5" s="119" t="str">
        <f>Allocations!N50</f>
        <v>2027–28</v>
      </c>
      <c r="K5" s="119" t="str">
        <f>Allocations!O50</f>
        <v>2028–29</v>
      </c>
      <c r="L5" s="119" t="str">
        <f>Allocations!P50</f>
        <v>2029–30</v>
      </c>
      <c r="M5" s="370" t="str">
        <f>Allocations!Q50</f>
        <v>2030–31</v>
      </c>
    </row>
    <row r="6" spans="2:14" x14ac:dyDescent="0.3">
      <c r="B6" t="s">
        <v>292</v>
      </c>
      <c r="C6" s="458"/>
      <c r="D6" s="459"/>
      <c r="E6" s="459"/>
      <c r="F6" s="460"/>
      <c r="G6" s="458"/>
      <c r="H6" s="459"/>
      <c r="I6" s="459"/>
      <c r="J6" s="459"/>
      <c r="K6" s="459"/>
      <c r="L6" s="459"/>
      <c r="M6" s="460"/>
    </row>
    <row r="7" spans="2:14" x14ac:dyDescent="0.3">
      <c r="B7" t="s">
        <v>364</v>
      </c>
      <c r="C7" s="182">
        <f>Connections!O11</f>
        <v>7442</v>
      </c>
      <c r="D7" s="10">
        <f>Connections!P11</f>
        <v>6985</v>
      </c>
      <c r="E7" s="10">
        <f>Connections!Q11</f>
        <v>8330</v>
      </c>
      <c r="F7" s="174">
        <f>Connections!R11</f>
        <v>9635</v>
      </c>
      <c r="G7" s="182">
        <f>0.7*G10</f>
        <v>9201.5874999999996</v>
      </c>
      <c r="H7" s="10">
        <f t="shared" ref="H7:M7" si="0">0.7*H10</f>
        <v>9201.5874999999996</v>
      </c>
      <c r="I7" s="10">
        <f t="shared" si="0"/>
        <v>9489.8958154683369</v>
      </c>
      <c r="J7" s="10">
        <f t="shared" si="0"/>
        <v>9480.1843774736135</v>
      </c>
      <c r="K7" s="10">
        <f t="shared" si="0"/>
        <v>9481.3983072229548</v>
      </c>
      <c r="L7" s="10">
        <f t="shared" si="0"/>
        <v>9489.2888505936644</v>
      </c>
      <c r="M7" s="174">
        <f t="shared" si="0"/>
        <v>9485.6470613456459</v>
      </c>
      <c r="N7" t="s">
        <v>363</v>
      </c>
    </row>
    <row r="8" spans="2:14" x14ac:dyDescent="0.3">
      <c r="B8" t="s">
        <v>284</v>
      </c>
      <c r="C8" s="461"/>
      <c r="D8" s="462"/>
      <c r="E8" s="462"/>
      <c r="F8" s="463"/>
      <c r="G8" s="461"/>
      <c r="H8" s="462"/>
      <c r="I8" s="462"/>
      <c r="J8" s="462"/>
      <c r="K8" s="462"/>
      <c r="L8" s="462"/>
      <c r="M8" s="463"/>
    </row>
    <row r="9" spans="2:14" x14ac:dyDescent="0.3">
      <c r="C9" s="76"/>
      <c r="F9" s="371"/>
      <c r="G9" s="76"/>
      <c r="M9" s="371"/>
    </row>
    <row r="10" spans="2:14" x14ac:dyDescent="0.3">
      <c r="B10" t="s">
        <v>291</v>
      </c>
      <c r="C10" s="182">
        <f>Connections!O35</f>
        <v>10705</v>
      </c>
      <c r="D10" s="10">
        <f>Connections!P35</f>
        <v>9652</v>
      </c>
      <c r="E10" s="10">
        <f>Connections!Q35</f>
        <v>11797</v>
      </c>
      <c r="F10" s="174">
        <f>Connections!R35</f>
        <v>13569</v>
      </c>
      <c r="G10" s="182">
        <f>Connections!S35</f>
        <v>13145.125</v>
      </c>
      <c r="H10" s="10">
        <f>Connections!T35</f>
        <v>13145.125</v>
      </c>
      <c r="I10" s="10">
        <f>Connections!U35</f>
        <v>13556.994022097624</v>
      </c>
      <c r="J10" s="10">
        <f>Connections!V35</f>
        <v>13543.120539248021</v>
      </c>
      <c r="K10" s="10">
        <f>Connections!W35</f>
        <v>13544.854724604222</v>
      </c>
      <c r="L10" s="10">
        <f>Connections!X35</f>
        <v>13556.126929419523</v>
      </c>
      <c r="M10" s="174">
        <f>Connections!Y35</f>
        <v>13550.924373350923</v>
      </c>
    </row>
    <row r="11" spans="2:14" x14ac:dyDescent="0.3">
      <c r="B11" t="s">
        <v>352</v>
      </c>
      <c r="C11" s="76"/>
      <c r="F11" s="371"/>
      <c r="G11" s="76"/>
      <c r="M11" s="371"/>
    </row>
    <row r="12" spans="2:14" x14ac:dyDescent="0.3">
      <c r="B12" s="49" t="s">
        <v>296</v>
      </c>
      <c r="C12" s="76"/>
      <c r="F12" s="174"/>
      <c r="G12" s="182">
        <f t="shared" ref="G12:M12" si="1">G$10*G16</f>
        <v>2629.0250000000001</v>
      </c>
      <c r="H12" s="10">
        <f t="shared" si="1"/>
        <v>2629.0250000000001</v>
      </c>
      <c r="I12" s="10">
        <f t="shared" si="1"/>
        <v>2711.3988044195248</v>
      </c>
      <c r="J12" s="10">
        <f t="shared" si="1"/>
        <v>2708.6241078496041</v>
      </c>
      <c r="K12" s="10">
        <f t="shared" si="1"/>
        <v>2708.9709449208444</v>
      </c>
      <c r="L12" s="10">
        <f t="shared" si="1"/>
        <v>2711.2253858839049</v>
      </c>
      <c r="M12" s="174">
        <f t="shared" si="1"/>
        <v>2710.1848746701849</v>
      </c>
    </row>
    <row r="13" spans="2:14" x14ac:dyDescent="0.3">
      <c r="B13" s="49" t="s">
        <v>294</v>
      </c>
      <c r="C13" s="76"/>
      <c r="F13" s="174"/>
      <c r="G13" s="182">
        <f t="shared" ref="G13:M13" si="2">G$10*G17</f>
        <v>10516.1</v>
      </c>
      <c r="H13" s="10">
        <f t="shared" si="2"/>
        <v>10516.1</v>
      </c>
      <c r="I13" s="10">
        <f t="shared" si="2"/>
        <v>10845.595217678099</v>
      </c>
      <c r="J13" s="10">
        <f t="shared" si="2"/>
        <v>10834.496431398416</v>
      </c>
      <c r="K13" s="10">
        <f t="shared" si="2"/>
        <v>10835.883779683378</v>
      </c>
      <c r="L13" s="10">
        <f t="shared" si="2"/>
        <v>10844.90154353562</v>
      </c>
      <c r="M13" s="174">
        <f t="shared" si="2"/>
        <v>10840.739498680739</v>
      </c>
    </row>
    <row r="14" spans="2:14" x14ac:dyDescent="0.3">
      <c r="C14" s="76"/>
      <c r="F14" s="371"/>
      <c r="G14" s="76"/>
      <c r="M14" s="371"/>
    </row>
    <row r="15" spans="2:14" x14ac:dyDescent="0.3">
      <c r="B15" t="s">
        <v>350</v>
      </c>
      <c r="C15" s="76"/>
      <c r="F15" s="371"/>
      <c r="G15" s="76"/>
      <c r="M15" s="371"/>
    </row>
    <row r="16" spans="2:14" x14ac:dyDescent="0.3">
      <c r="B16" s="49" t="s">
        <v>296</v>
      </c>
      <c r="C16" s="76"/>
      <c r="F16" s="372"/>
      <c r="G16" s="200">
        <f>Allocations!$D62</f>
        <v>0.2</v>
      </c>
      <c r="H16" s="21">
        <f>Allocations!$D62</f>
        <v>0.2</v>
      </c>
      <c r="I16" s="21">
        <f>Allocations!$D62</f>
        <v>0.2</v>
      </c>
      <c r="J16" s="21">
        <f>Allocations!$D62</f>
        <v>0.2</v>
      </c>
      <c r="K16" s="21">
        <f>Allocations!$D62</f>
        <v>0.2</v>
      </c>
      <c r="L16" s="21">
        <f>Allocations!$D62</f>
        <v>0.2</v>
      </c>
      <c r="M16" s="372">
        <f>Allocations!$D62</f>
        <v>0.2</v>
      </c>
    </row>
    <row r="17" spans="2:13" x14ac:dyDescent="0.3">
      <c r="B17" s="49" t="s">
        <v>294</v>
      </c>
      <c r="C17" s="76"/>
      <c r="F17" s="372"/>
      <c r="G17" s="200">
        <f>Allocations!$D63</f>
        <v>0.8</v>
      </c>
      <c r="H17" s="21">
        <f>Allocations!$D63</f>
        <v>0.8</v>
      </c>
      <c r="I17" s="21">
        <f>Allocations!$D63</f>
        <v>0.8</v>
      </c>
      <c r="J17" s="21">
        <f>Allocations!$D63</f>
        <v>0.8</v>
      </c>
      <c r="K17" s="21">
        <f>Allocations!$D63</f>
        <v>0.8</v>
      </c>
      <c r="L17" s="21">
        <f>Allocations!$D63</f>
        <v>0.8</v>
      </c>
      <c r="M17" s="372">
        <f>Allocations!$D63</f>
        <v>0.8</v>
      </c>
    </row>
    <row r="18" spans="2:13" x14ac:dyDescent="0.3">
      <c r="C18" s="76"/>
      <c r="F18" s="372"/>
      <c r="G18" s="200"/>
      <c r="H18" s="21"/>
      <c r="I18" s="21"/>
      <c r="J18" s="21"/>
      <c r="K18" s="21"/>
      <c r="L18" s="21"/>
      <c r="M18" s="372"/>
    </row>
    <row r="19" spans="2:13" x14ac:dyDescent="0.3">
      <c r="B19" t="s">
        <v>351</v>
      </c>
      <c r="C19" s="76"/>
      <c r="F19" s="371"/>
      <c r="G19" s="76"/>
      <c r="M19" s="371"/>
    </row>
    <row r="20" spans="2:13" x14ac:dyDescent="0.3">
      <c r="B20" s="49" t="s">
        <v>296</v>
      </c>
      <c r="C20" s="76"/>
      <c r="F20" s="372"/>
      <c r="G20" s="200">
        <v>0.85</v>
      </c>
      <c r="H20" s="21">
        <v>1</v>
      </c>
      <c r="I20" s="21">
        <v>1</v>
      </c>
      <c r="J20" s="21">
        <v>1</v>
      </c>
      <c r="K20" s="21">
        <v>1</v>
      </c>
      <c r="L20" s="21">
        <v>1</v>
      </c>
      <c r="M20" s="372">
        <v>1</v>
      </c>
    </row>
    <row r="21" spans="2:13" x14ac:dyDescent="0.3">
      <c r="B21" s="49" t="s">
        <v>294</v>
      </c>
      <c r="C21" s="76"/>
      <c r="F21" s="372"/>
      <c r="G21" s="369">
        <v>1.0102</v>
      </c>
      <c r="H21" s="21">
        <v>1</v>
      </c>
      <c r="I21" s="21">
        <v>1</v>
      </c>
      <c r="J21" s="21">
        <v>1</v>
      </c>
      <c r="K21" s="21">
        <v>1</v>
      </c>
      <c r="L21" s="21">
        <v>1</v>
      </c>
      <c r="M21" s="372">
        <v>1</v>
      </c>
    </row>
    <row r="22" spans="2:13" x14ac:dyDescent="0.3">
      <c r="C22" s="76"/>
      <c r="F22" s="373"/>
      <c r="G22" s="76"/>
      <c r="M22" s="371"/>
    </row>
    <row r="23" spans="2:13" x14ac:dyDescent="0.3">
      <c r="B23" s="1" t="s">
        <v>361</v>
      </c>
      <c r="C23" s="461"/>
      <c r="D23" s="462"/>
      <c r="E23" s="462"/>
      <c r="F23" s="463"/>
      <c r="G23" s="461"/>
      <c r="H23" s="462"/>
      <c r="I23" s="462"/>
      <c r="J23" s="462"/>
      <c r="K23" s="462"/>
      <c r="L23" s="462"/>
      <c r="M23" s="463"/>
    </row>
    <row r="24" spans="2:13" x14ac:dyDescent="0.3">
      <c r="C24" t="b">
        <f>C23=Capex_Fcast_Direct!N30</f>
        <v>1</v>
      </c>
      <c r="D24" t="b">
        <f>D23=Capex_Fcast_Direct!O30</f>
        <v>1</v>
      </c>
      <c r="E24" t="b">
        <f>E23=Capex_Fcast_Direct!P30</f>
        <v>1</v>
      </c>
      <c r="F24" t="b">
        <f>F23=Capex_Fcast_Direct!Q30</f>
        <v>1</v>
      </c>
    </row>
    <row r="27" spans="2:13" x14ac:dyDescent="0.3">
      <c r="G27" s="312"/>
    </row>
    <row r="28" spans="2:13" x14ac:dyDescent="0.3">
      <c r="G28" s="312"/>
    </row>
    <row r="30" spans="2:13" x14ac:dyDescent="0.3">
      <c r="G30" s="312"/>
    </row>
    <row r="31" spans="2:13" x14ac:dyDescent="0.3">
      <c r="G31" s="312"/>
    </row>
    <row r="32" spans="2:13" x14ac:dyDescent="0.3">
      <c r="G32" s="312"/>
    </row>
    <row r="34" spans="7:7" x14ac:dyDescent="0.3">
      <c r="G34" s="312"/>
    </row>
  </sheetData>
  <mergeCells count="3">
    <mergeCell ref="G1:H1"/>
    <mergeCell ref="G4:M4"/>
    <mergeCell ref="C4:F4"/>
  </mergeCells>
  <hyperlinks>
    <hyperlink ref="B3" location="Contents!A1" display="Table of Contents" xr:uid="{24920A8B-474F-4422-B25D-FF19D9E2742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C121"/>
  <sheetViews>
    <sheetView zoomScale="85" zoomScaleNormal="85" workbookViewId="0">
      <pane xSplit="2" ySplit="6" topLeftCell="Q7" activePane="bottomRight" state="frozen"/>
      <selection activeCell="O29" sqref="O29"/>
      <selection pane="topRight" activeCell="O29" sqref="O29"/>
      <selection pane="bottomLeft" activeCell="O29" sqref="O29"/>
      <selection pane="bottomRight" activeCell="Z3" sqref="Z3"/>
    </sheetView>
  </sheetViews>
  <sheetFormatPr defaultColWidth="9.109375" defaultRowHeight="14.65" outlineLevelCol="1" x14ac:dyDescent="0.3"/>
  <cols>
    <col min="1" max="1" width="7.5546875" customWidth="1"/>
    <col min="2" max="2" width="53.77734375" customWidth="1"/>
    <col min="3" max="5" width="12.44140625" customWidth="1" outlineLevel="1"/>
    <col min="6" max="6" width="12.44140625" customWidth="1" outlineLevel="1" collapsed="1"/>
    <col min="7" max="7" width="12.44140625" customWidth="1" outlineLevel="1"/>
    <col min="8" max="17" width="9.6640625" customWidth="1"/>
    <col min="18" max="18" width="10.88671875" customWidth="1"/>
    <col min="19" max="20" width="9.6640625" customWidth="1"/>
    <col min="21" max="22" width="9.88671875" customWidth="1"/>
    <col min="23" max="23" width="10.21875" bestFit="1" customWidth="1"/>
    <col min="24" max="24" width="10.44140625" bestFit="1" customWidth="1"/>
    <col min="25" max="25" width="10.6640625" bestFit="1" customWidth="1"/>
    <col min="26" max="26" width="10.44140625" bestFit="1" customWidth="1"/>
    <col min="27" max="27" width="10.6640625" bestFit="1" customWidth="1"/>
    <col min="28" max="30" width="10.44140625" bestFit="1" customWidth="1"/>
    <col min="31" max="31" width="11.109375" customWidth="1"/>
    <col min="32" max="33" width="8.77734375" bestFit="1" customWidth="1"/>
    <col min="34" max="34" width="9.109375" bestFit="1" customWidth="1"/>
    <col min="35" max="35" width="9.44140625" customWidth="1"/>
    <col min="36" max="37" width="9.88671875" bestFit="1" customWidth="1"/>
    <col min="38" max="42" width="9.88671875" customWidth="1"/>
    <col min="54" max="55" width="10.5546875" bestFit="1" customWidth="1"/>
  </cols>
  <sheetData>
    <row r="1" spans="1:55" ht="18.5" x14ac:dyDescent="0.35">
      <c r="B1" s="38" t="s">
        <v>23</v>
      </c>
      <c r="M1" s="56"/>
      <c r="P1" s="523" t="s">
        <v>180</v>
      </c>
      <c r="Q1" s="523"/>
      <c r="V1" s="233"/>
      <c r="W1" s="367" t="s">
        <v>161</v>
      </c>
      <c r="X1" s="367" t="s">
        <v>160</v>
      </c>
      <c r="Y1" s="367" t="s">
        <v>159</v>
      </c>
      <c r="Z1" s="367" t="s">
        <v>225</v>
      </c>
      <c r="AA1" s="367" t="s">
        <v>226</v>
      </c>
      <c r="AB1" s="367" t="s">
        <v>247</v>
      </c>
      <c r="AC1" s="367" t="s">
        <v>248</v>
      </c>
      <c r="AD1" s="367" t="s">
        <v>249</v>
      </c>
    </row>
    <row r="2" spans="1:55" x14ac:dyDescent="0.3">
      <c r="B2" s="40" t="s">
        <v>54</v>
      </c>
      <c r="F2" s="84"/>
      <c r="G2" s="18"/>
      <c r="H2" s="18"/>
      <c r="I2" s="18"/>
      <c r="J2" s="18"/>
      <c r="R2" s="12"/>
      <c r="S2" s="12"/>
      <c r="T2" s="12"/>
      <c r="U2" s="233"/>
      <c r="V2" s="80" t="s">
        <v>346</v>
      </c>
      <c r="W2" s="366">
        <f>Allocations!G46</f>
        <v>0.14118272372737342</v>
      </c>
      <c r="X2" s="364">
        <f>Allocations!H46</f>
        <v>0.1076</v>
      </c>
      <c r="Y2" s="364">
        <f>Allocations!I46</f>
        <v>0.1157</v>
      </c>
      <c r="Z2" s="366">
        <f>Allocations!J46</f>
        <v>8.7749907641103214E-2</v>
      </c>
      <c r="AA2" s="364">
        <f>Allocations!K46</f>
        <v>7.6529371495482987E-2</v>
      </c>
      <c r="AB2" s="364">
        <f>Allocations!L46</f>
        <v>6.9606064857935093E-2</v>
      </c>
      <c r="AC2" s="364">
        <f>Allocations!M46</f>
        <v>6.8448460003532982E-2</v>
      </c>
      <c r="AD2" s="365">
        <f>Allocations!N46</f>
        <v>6.7852052699625312E-2</v>
      </c>
      <c r="AF2" s="4"/>
      <c r="AG2" s="4"/>
      <c r="AH2" s="4"/>
      <c r="AI2" s="4"/>
      <c r="AJ2" s="4"/>
      <c r="AK2" s="4"/>
      <c r="AL2" s="4"/>
      <c r="AM2" s="4"/>
      <c r="AN2" s="4"/>
      <c r="AO2" s="4"/>
      <c r="AP2" s="4"/>
    </row>
    <row r="3" spans="1:55" x14ac:dyDescent="0.3">
      <c r="C3" s="5"/>
      <c r="D3" s="5"/>
      <c r="E3" s="5"/>
      <c r="F3" s="5"/>
      <c r="G3" s="5"/>
      <c r="V3" s="80" t="s">
        <v>346</v>
      </c>
      <c r="W3" s="256">
        <f t="shared" ref="W3:X3" si="0">W2</f>
        <v>0.14118272372737342</v>
      </c>
      <c r="X3" s="256">
        <f t="shared" si="0"/>
        <v>0.1076</v>
      </c>
      <c r="Y3" s="124">
        <f>Y2</f>
        <v>0.1157</v>
      </c>
      <c r="Z3" s="363">
        <v>8.7770492614889492E-2</v>
      </c>
      <c r="AA3" s="363">
        <v>7.6537060697840373E-2</v>
      </c>
      <c r="AB3" s="363">
        <v>6.9605591064256248E-2</v>
      </c>
      <c r="AC3" s="363">
        <v>6.8448249396294916E-2</v>
      </c>
      <c r="AD3" s="363">
        <v>6.7852343311352689E-2</v>
      </c>
      <c r="AG3" s="243"/>
      <c r="AJ3" s="25"/>
      <c r="AK3" s="25"/>
    </row>
    <row r="4" spans="1:55" x14ac:dyDescent="0.3">
      <c r="C4" s="235"/>
      <c r="D4" s="235"/>
      <c r="E4" s="235"/>
      <c r="F4" s="235"/>
      <c r="G4" s="235"/>
      <c r="AI4" s="30"/>
      <c r="AJ4" s="2"/>
      <c r="AK4" s="2"/>
    </row>
    <row r="5" spans="1:55" x14ac:dyDescent="0.3">
      <c r="B5" s="8" t="s">
        <v>40</v>
      </c>
      <c r="C5" s="533" t="s">
        <v>347</v>
      </c>
      <c r="D5" s="533"/>
      <c r="E5" s="533"/>
      <c r="F5" s="533"/>
      <c r="G5" s="533"/>
      <c r="H5" s="535" t="s">
        <v>253</v>
      </c>
      <c r="I5" s="535"/>
      <c r="J5" s="535"/>
      <c r="K5" s="535"/>
      <c r="L5" s="535"/>
      <c r="M5" s="535"/>
      <c r="N5" s="535"/>
      <c r="O5" s="535"/>
      <c r="P5" s="535"/>
      <c r="Q5" s="535"/>
      <c r="R5" s="534" t="s">
        <v>356</v>
      </c>
      <c r="S5" s="534"/>
      <c r="T5" s="534"/>
      <c r="U5" s="534"/>
      <c r="V5" s="534"/>
      <c r="W5" s="537" t="s">
        <v>345</v>
      </c>
      <c r="X5" s="537"/>
      <c r="Y5" s="537"/>
      <c r="Z5" s="537"/>
      <c r="AA5" s="537"/>
      <c r="AB5" s="537"/>
      <c r="AC5" s="537"/>
      <c r="AD5" s="537"/>
      <c r="AE5" s="7"/>
      <c r="AF5" s="536" t="s">
        <v>259</v>
      </c>
      <c r="AG5" s="536"/>
      <c r="AH5" s="536"/>
      <c r="AI5" s="536"/>
      <c r="AJ5" s="538" t="s">
        <v>283</v>
      </c>
      <c r="AK5" s="538"/>
      <c r="AL5" s="538"/>
      <c r="AM5" s="538"/>
      <c r="AN5" s="538"/>
      <c r="AO5" s="538"/>
      <c r="AP5" s="538"/>
    </row>
    <row r="6" spans="1:55" x14ac:dyDescent="0.3">
      <c r="C6" s="3" t="s">
        <v>10</v>
      </c>
      <c r="D6" s="3" t="s">
        <v>11</v>
      </c>
      <c r="E6" s="3" t="s">
        <v>12</v>
      </c>
      <c r="F6" s="3" t="s">
        <v>13</v>
      </c>
      <c r="G6" s="3" t="s">
        <v>14</v>
      </c>
      <c r="H6" s="3" t="s">
        <v>4</v>
      </c>
      <c r="I6" s="3" t="s">
        <v>5</v>
      </c>
      <c r="J6" s="3" t="s">
        <v>6</v>
      </c>
      <c r="K6" s="3" t="s">
        <v>7</v>
      </c>
      <c r="L6" s="3" t="s">
        <v>8</v>
      </c>
      <c r="M6" s="3" t="s">
        <v>9</v>
      </c>
      <c r="N6" s="3" t="s">
        <v>127</v>
      </c>
      <c r="O6" s="3" t="s">
        <v>163</v>
      </c>
      <c r="P6" s="3" t="s">
        <v>162</v>
      </c>
      <c r="Q6" s="3" t="s">
        <v>161</v>
      </c>
      <c r="R6" s="3" t="str">
        <f>Allocations!F50</f>
        <v>CY2020</v>
      </c>
      <c r="S6" s="3" t="str">
        <f>Allocations!G50</f>
        <v>2020-21</v>
      </c>
      <c r="T6" s="3" t="str">
        <f>Allocations!H50</f>
        <v>2021-22</v>
      </c>
      <c r="U6" s="3" t="str">
        <f>Allocations!I50</f>
        <v>2022-23</v>
      </c>
      <c r="V6" s="3" t="str">
        <f>Allocations!J50</f>
        <v>2023-24</v>
      </c>
      <c r="W6" s="3" t="str">
        <f>Allocations!J50</f>
        <v>2023-24</v>
      </c>
      <c r="X6" s="119" t="str">
        <f>Allocations!K50</f>
        <v>2024-25</v>
      </c>
      <c r="Y6" s="119" t="str">
        <f>Allocations!L50</f>
        <v>2025-26</v>
      </c>
      <c r="Z6" s="119" t="str">
        <f>Allocations!M50</f>
        <v>2026-27</v>
      </c>
      <c r="AA6" s="119" t="str">
        <f>Allocations!N50</f>
        <v>2027–28</v>
      </c>
      <c r="AB6" s="119" t="str">
        <f>Allocations!O50</f>
        <v>2028–29</v>
      </c>
      <c r="AC6" s="119" t="str">
        <f>Allocations!P50</f>
        <v>2029–30</v>
      </c>
      <c r="AD6" s="119" t="str">
        <f>Allocations!Q50</f>
        <v>2030–31</v>
      </c>
      <c r="AE6" s="3"/>
      <c r="AF6" s="119" t="str">
        <f>Allocations!G50</f>
        <v>2020-21</v>
      </c>
      <c r="AG6" s="119" t="str">
        <f>Allocations!H50</f>
        <v>2021-22</v>
      </c>
      <c r="AH6" s="119" t="str">
        <f>Allocations!I50</f>
        <v>2022-23</v>
      </c>
      <c r="AI6" s="119" t="str">
        <f>Allocations!J50</f>
        <v>2023-24</v>
      </c>
      <c r="AJ6" s="119" t="str">
        <f>Allocations!K50</f>
        <v>2024-25</v>
      </c>
      <c r="AK6" s="119" t="str">
        <f>Allocations!L50</f>
        <v>2025-26</v>
      </c>
      <c r="AL6" s="119" t="str">
        <f>Allocations!M50</f>
        <v>2026-27</v>
      </c>
      <c r="AM6" s="119" t="str">
        <f>Allocations!N50</f>
        <v>2027–28</v>
      </c>
      <c r="AN6" s="119" t="str">
        <f>Allocations!O50</f>
        <v>2028–29</v>
      </c>
      <c r="AO6" s="119" t="str">
        <f>Allocations!P50</f>
        <v>2029–30</v>
      </c>
      <c r="AP6" s="119" t="str">
        <f>Allocations!Q50</f>
        <v>2030–31</v>
      </c>
      <c r="AR6" s="119" t="str">
        <f>AI6</f>
        <v>2023-24</v>
      </c>
      <c r="AS6" s="119" t="str">
        <f t="shared" ref="AS6:AY6" si="1">AJ6</f>
        <v>2024-25</v>
      </c>
      <c r="AT6" s="119" t="str">
        <f t="shared" si="1"/>
        <v>2025-26</v>
      </c>
      <c r="AU6" s="119" t="str">
        <f t="shared" si="1"/>
        <v>2026-27</v>
      </c>
      <c r="AV6" s="119" t="str">
        <f t="shared" si="1"/>
        <v>2027–28</v>
      </c>
      <c r="AW6" s="119" t="str">
        <f t="shared" si="1"/>
        <v>2028–29</v>
      </c>
      <c r="AX6" s="119" t="str">
        <f t="shared" si="1"/>
        <v>2029–30</v>
      </c>
      <c r="AY6" s="119" t="str">
        <f t="shared" si="1"/>
        <v>2030–31</v>
      </c>
      <c r="AZ6" s="120"/>
    </row>
    <row r="7" spans="1:55" x14ac:dyDescent="0.3">
      <c r="B7" s="1" t="s">
        <v>344</v>
      </c>
      <c r="C7" s="7"/>
      <c r="D7" s="7"/>
      <c r="E7" s="7"/>
      <c r="F7" s="7"/>
      <c r="G7" s="7"/>
      <c r="H7" s="5">
        <v>1</v>
      </c>
      <c r="I7" s="5">
        <v>1</v>
      </c>
      <c r="J7" s="5">
        <v>1</v>
      </c>
      <c r="K7" s="5">
        <f>Escalation!I8</f>
        <v>1</v>
      </c>
      <c r="L7" s="5">
        <v>1</v>
      </c>
      <c r="M7" s="5">
        <v>1</v>
      </c>
      <c r="N7" s="5">
        <v>1</v>
      </c>
      <c r="O7" s="5">
        <v>1</v>
      </c>
      <c r="P7" s="5">
        <v>1</v>
      </c>
      <c r="Q7" s="5">
        <v>1</v>
      </c>
      <c r="R7" s="5">
        <f>Escalation!K11</f>
        <v>1.1393728222996515</v>
      </c>
      <c r="S7" s="5">
        <f>Escalation!L11</f>
        <v>1.1256454388984509</v>
      </c>
      <c r="T7" s="5">
        <f>Escalation!M11</f>
        <v>1.1160409556313993</v>
      </c>
      <c r="U7" s="5">
        <f>Escalation!N11</f>
        <v>1.0783182192910141</v>
      </c>
      <c r="V7" s="5">
        <f>Escalation!O11</f>
        <v>1</v>
      </c>
      <c r="W7" s="7"/>
      <c r="X7" s="7"/>
      <c r="Y7" s="7"/>
      <c r="Z7" s="7"/>
      <c r="AA7" s="7"/>
      <c r="AB7" s="7"/>
      <c r="AC7" s="7"/>
    </row>
    <row r="8" spans="1:55" x14ac:dyDescent="0.3">
      <c r="A8">
        <v>1012</v>
      </c>
      <c r="B8" t="s">
        <v>83</v>
      </c>
      <c r="C8" s="429"/>
      <c r="D8" s="429"/>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8"/>
      <c r="AK8" s="429"/>
      <c r="AL8" s="429"/>
      <c r="AM8" s="429"/>
      <c r="AN8" s="429"/>
      <c r="AO8" s="429"/>
      <c r="AP8" s="429"/>
      <c r="AR8" s="198">
        <f t="shared" ref="AR8:AR23" si="2">IF(ISERROR((AI8-W8)/W8),0,(AI8-W8)/W8)</f>
        <v>0</v>
      </c>
      <c r="AS8" s="198">
        <f t="shared" ref="AS8:AS23" si="3">IF(ISERROR((AJ8-X8)/X8),0,(AJ8-X8)/X8)</f>
        <v>0</v>
      </c>
      <c r="AT8" s="198">
        <f t="shared" ref="AT8:AT23" si="4">IF(ISERROR((AK8-Y8)/Y8),0,(AK8-Y8)/Y8)</f>
        <v>0</v>
      </c>
      <c r="AU8" s="198">
        <f t="shared" ref="AU8:AU23" si="5">IF(ISERROR((AL8-Z8)/Z8),0,(AL8-Z8)/Z8)</f>
        <v>0</v>
      </c>
      <c r="AV8" s="198">
        <f t="shared" ref="AV8:AV23" si="6">IF(ISERROR((AM8-AA8)/AA8),0,(AM8-AA8)/AA8)</f>
        <v>0</v>
      </c>
      <c r="AW8" s="198">
        <f t="shared" ref="AW8:AW23" si="7">IF(ISERROR((AN8-AB8)/AB8),0,(AN8-AB8)/AB8)</f>
        <v>0</v>
      </c>
      <c r="AX8" s="198">
        <f t="shared" ref="AX8:AX23" si="8">IF(ISERROR((AO8-AC8)/AC8),0,(AO8-AC8)/AC8)</f>
        <v>0</v>
      </c>
      <c r="AY8" s="198">
        <f t="shared" ref="AY8:AY23" si="9">IF(ISERROR((AP8-AD8)/AD8),0,(AP8-AD8)/AD8)</f>
        <v>0</v>
      </c>
      <c r="AZ8" s="12"/>
      <c r="BB8" s="15"/>
      <c r="BC8" s="15"/>
    </row>
    <row r="9" spans="1:55" x14ac:dyDescent="0.3">
      <c r="A9">
        <v>1012</v>
      </c>
      <c r="B9" s="49" t="s">
        <v>92</v>
      </c>
      <c r="C9" s="429"/>
      <c r="D9" s="429"/>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8"/>
      <c r="AK9" s="429"/>
      <c r="AL9" s="429"/>
      <c r="AM9" s="429"/>
      <c r="AN9" s="429"/>
      <c r="AO9" s="429"/>
      <c r="AP9" s="429"/>
      <c r="AR9" s="198">
        <f t="shared" si="2"/>
        <v>0</v>
      </c>
      <c r="AS9" s="198">
        <f t="shared" si="3"/>
        <v>0</v>
      </c>
      <c r="AT9" s="198">
        <f t="shared" si="4"/>
        <v>0</v>
      </c>
      <c r="AU9" s="198">
        <f t="shared" si="5"/>
        <v>0</v>
      </c>
      <c r="AV9" s="198">
        <f t="shared" si="6"/>
        <v>0</v>
      </c>
      <c r="AW9" s="198">
        <f t="shared" si="7"/>
        <v>0</v>
      </c>
      <c r="AX9" s="198">
        <f t="shared" si="8"/>
        <v>0</v>
      </c>
      <c r="AY9" s="198">
        <f t="shared" si="9"/>
        <v>0</v>
      </c>
      <c r="AZ9" s="12"/>
      <c r="BB9" s="15"/>
      <c r="BC9" s="15"/>
    </row>
    <row r="10" spans="1:55" x14ac:dyDescent="0.3">
      <c r="A10">
        <v>1012</v>
      </c>
      <c r="B10" s="49" t="s">
        <v>121</v>
      </c>
      <c r="C10" s="429"/>
      <c r="D10" s="429"/>
      <c r="E10" s="429"/>
      <c r="F10" s="429"/>
      <c r="G10" s="429"/>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28"/>
      <c r="AK10" s="429"/>
      <c r="AL10" s="429"/>
      <c r="AM10" s="429"/>
      <c r="AN10" s="429"/>
      <c r="AO10" s="429"/>
      <c r="AP10" s="429"/>
      <c r="AR10" s="198">
        <f t="shared" si="2"/>
        <v>0</v>
      </c>
      <c r="AS10" s="198">
        <f t="shared" si="3"/>
        <v>0</v>
      </c>
      <c r="AT10" s="198">
        <f t="shared" si="4"/>
        <v>0</v>
      </c>
      <c r="AU10" s="198">
        <f t="shared" si="5"/>
        <v>0</v>
      </c>
      <c r="AV10" s="198">
        <f t="shared" si="6"/>
        <v>0</v>
      </c>
      <c r="AW10" s="198">
        <f t="shared" si="7"/>
        <v>0</v>
      </c>
      <c r="AX10" s="198">
        <f t="shared" si="8"/>
        <v>0</v>
      </c>
      <c r="AY10" s="198">
        <f t="shared" si="9"/>
        <v>0</v>
      </c>
      <c r="AZ10" s="12"/>
      <c r="BB10" s="15"/>
      <c r="BC10" s="15"/>
    </row>
    <row r="11" spans="1:55" x14ac:dyDescent="0.3">
      <c r="A11">
        <v>1012</v>
      </c>
      <c r="B11" s="234" t="s">
        <v>278</v>
      </c>
      <c r="C11" s="429"/>
      <c r="D11" s="429"/>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8"/>
      <c r="AK11" s="429"/>
      <c r="AL11" s="429"/>
      <c r="AM11" s="429"/>
      <c r="AN11" s="429"/>
      <c r="AO11" s="429"/>
      <c r="AP11" s="429"/>
      <c r="AR11" s="198">
        <f t="shared" si="2"/>
        <v>0</v>
      </c>
      <c r="AS11" s="198">
        <f t="shared" si="3"/>
        <v>0</v>
      </c>
      <c r="AT11" s="198">
        <f t="shared" si="4"/>
        <v>0</v>
      </c>
      <c r="AU11" s="198">
        <f t="shared" si="5"/>
        <v>0</v>
      </c>
      <c r="AV11" s="198">
        <f t="shared" si="6"/>
        <v>0</v>
      </c>
      <c r="AW11" s="198">
        <f t="shared" si="7"/>
        <v>0</v>
      </c>
      <c r="AX11" s="198">
        <f t="shared" si="8"/>
        <v>0</v>
      </c>
      <c r="AY11" s="198">
        <f t="shared" si="9"/>
        <v>0</v>
      </c>
      <c r="AZ11" s="12"/>
      <c r="BB11" s="15"/>
      <c r="BC11" s="15"/>
    </row>
    <row r="12" spans="1:55" x14ac:dyDescent="0.3">
      <c r="A12">
        <v>1012</v>
      </c>
      <c r="B12" s="234" t="s">
        <v>277</v>
      </c>
      <c r="C12" s="429"/>
      <c r="D12" s="429"/>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8"/>
      <c r="AK12" s="429"/>
      <c r="AL12" s="429"/>
      <c r="AM12" s="429"/>
      <c r="AN12" s="429"/>
      <c r="AO12" s="429"/>
      <c r="AP12" s="429"/>
      <c r="AR12" s="198">
        <f t="shared" ref="AR12" si="10">IF(ISERROR((AI12-W12)/W12),0,(AI12-W12)/W12)</f>
        <v>0</v>
      </c>
      <c r="AS12" s="198">
        <f t="shared" ref="AS12" si="11">IF(ISERROR((AJ12-X12)/X12),0,(AJ12-X12)/X12)</f>
        <v>0</v>
      </c>
      <c r="AT12" s="198">
        <f t="shared" ref="AT12" si="12">IF(ISERROR((AK12-Y12)/Y12),0,(AK12-Y12)/Y12)</f>
        <v>0</v>
      </c>
      <c r="AU12" s="198">
        <f t="shared" ref="AU12" si="13">IF(ISERROR((AL12-Z12)/Z12),0,(AL12-Z12)/Z12)</f>
        <v>0</v>
      </c>
      <c r="AV12" s="198">
        <f t="shared" ref="AV12" si="14">IF(ISERROR((AM12-AA12)/AA12),0,(AM12-AA12)/AA12)</f>
        <v>0</v>
      </c>
      <c r="AW12" s="198">
        <f t="shared" ref="AW12" si="15">IF(ISERROR((AN12-AB12)/AB12),0,(AN12-AB12)/AB12)</f>
        <v>0</v>
      </c>
      <c r="AX12" s="198">
        <f t="shared" ref="AX12" si="16">IF(ISERROR((AO12-AC12)/AC12),0,(AO12-AC12)/AC12)</f>
        <v>0</v>
      </c>
      <c r="AY12" s="198">
        <f t="shared" ref="AY12" si="17">IF(ISERROR((AP12-AD12)/AD12),0,(AP12-AD12)/AD12)</f>
        <v>0</v>
      </c>
      <c r="AZ12" s="12"/>
      <c r="BB12" s="15"/>
      <c r="BC12" s="15"/>
    </row>
    <row r="13" spans="1:55" x14ac:dyDescent="0.3">
      <c r="A13">
        <v>1012</v>
      </c>
      <c r="B13" s="234" t="s">
        <v>279</v>
      </c>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8"/>
      <c r="AK13" s="429"/>
      <c r="AL13" s="429"/>
      <c r="AM13" s="429"/>
      <c r="AN13" s="429"/>
      <c r="AO13" s="429"/>
      <c r="AP13" s="429"/>
      <c r="AR13" s="198">
        <f t="shared" ref="AR13" si="18">IF(ISERROR((AI13-W13)/W13),0,(AI13-W13)/W13)</f>
        <v>0</v>
      </c>
      <c r="AS13" s="198">
        <f t="shared" ref="AS13" si="19">IF(ISERROR((AJ13-X13)/X13),0,(AJ13-X13)/X13)</f>
        <v>0</v>
      </c>
      <c r="AT13" s="198">
        <f t="shared" ref="AT13" si="20">IF(ISERROR((AK13-Y13)/Y13),0,(AK13-Y13)/Y13)</f>
        <v>0</v>
      </c>
      <c r="AU13" s="198">
        <f t="shared" ref="AU13" si="21">IF(ISERROR((AL13-Z13)/Z13),0,(AL13-Z13)/Z13)</f>
        <v>0</v>
      </c>
      <c r="AV13" s="198">
        <f t="shared" ref="AV13" si="22">IF(ISERROR((AM13-AA13)/AA13),0,(AM13-AA13)/AA13)</f>
        <v>0</v>
      </c>
      <c r="AW13" s="198">
        <f t="shared" ref="AW13" si="23">IF(ISERROR((AN13-AB13)/AB13),0,(AN13-AB13)/AB13)</f>
        <v>0</v>
      </c>
      <c r="AX13" s="198">
        <f t="shared" ref="AX13" si="24">IF(ISERROR((AO13-AC13)/AC13),0,(AO13-AC13)/AC13)</f>
        <v>0</v>
      </c>
      <c r="AY13" s="198">
        <f t="shared" ref="AY13" si="25">IF(ISERROR((AP13-AD13)/AD13),0,(AP13-AD13)/AD13)</f>
        <v>0</v>
      </c>
      <c r="AZ13" s="12"/>
      <c r="BB13" s="15"/>
      <c r="BC13" s="15"/>
    </row>
    <row r="14" spans="1:55" x14ac:dyDescent="0.3">
      <c r="A14">
        <v>1012</v>
      </c>
      <c r="B14" s="234" t="s">
        <v>183</v>
      </c>
      <c r="C14" s="429"/>
      <c r="D14" s="429"/>
      <c r="E14" s="429"/>
      <c r="F14" s="429"/>
      <c r="G14" s="429"/>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8"/>
      <c r="AK14" s="429"/>
      <c r="AL14" s="429"/>
      <c r="AM14" s="429"/>
      <c r="AN14" s="429"/>
      <c r="AO14" s="429"/>
      <c r="AP14" s="429"/>
      <c r="AR14" s="198">
        <f t="shared" si="2"/>
        <v>0</v>
      </c>
      <c r="AS14" s="198">
        <f t="shared" si="3"/>
        <v>0</v>
      </c>
      <c r="AT14" s="198">
        <f t="shared" si="4"/>
        <v>0</v>
      </c>
      <c r="AU14" s="198">
        <f t="shared" si="5"/>
        <v>0</v>
      </c>
      <c r="AV14" s="198">
        <f t="shared" si="6"/>
        <v>0</v>
      </c>
      <c r="AW14" s="198">
        <f t="shared" si="7"/>
        <v>0</v>
      </c>
      <c r="AX14" s="198">
        <f t="shared" si="8"/>
        <v>0</v>
      </c>
      <c r="AY14" s="198">
        <f t="shared" si="9"/>
        <v>0</v>
      </c>
      <c r="AZ14" s="232"/>
      <c r="BA14" s="2"/>
      <c r="BB14" s="15"/>
      <c r="BC14" s="15"/>
    </row>
    <row r="15" spans="1:55" x14ac:dyDescent="0.3">
      <c r="A15">
        <v>1013</v>
      </c>
      <c r="B15" t="s">
        <v>84</v>
      </c>
      <c r="C15" s="429"/>
      <c r="D15" s="429"/>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8"/>
      <c r="AK15" s="429"/>
      <c r="AL15" s="429"/>
      <c r="AM15" s="429"/>
      <c r="AN15" s="429"/>
      <c r="AO15" s="429"/>
      <c r="AP15" s="429"/>
      <c r="AR15" s="198">
        <f t="shared" si="2"/>
        <v>0</v>
      </c>
      <c r="AS15" s="198">
        <f t="shared" si="3"/>
        <v>0</v>
      </c>
      <c r="AT15" s="198">
        <f t="shared" si="4"/>
        <v>0</v>
      </c>
      <c r="AU15" s="198">
        <f t="shared" si="5"/>
        <v>0</v>
      </c>
      <c r="AV15" s="198">
        <f t="shared" si="6"/>
        <v>0</v>
      </c>
      <c r="AW15" s="198">
        <f t="shared" si="7"/>
        <v>0</v>
      </c>
      <c r="AX15" s="198">
        <f t="shared" si="8"/>
        <v>0</v>
      </c>
      <c r="AY15" s="198">
        <f t="shared" si="9"/>
        <v>0</v>
      </c>
      <c r="AZ15" s="12"/>
      <c r="BB15" s="15"/>
      <c r="BC15" s="15"/>
    </row>
    <row r="16" spans="1:55" x14ac:dyDescent="0.3">
      <c r="A16">
        <v>1014</v>
      </c>
      <c r="B16" t="s">
        <v>85</v>
      </c>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8"/>
      <c r="AK16" s="429"/>
      <c r="AL16" s="429"/>
      <c r="AM16" s="429"/>
      <c r="AN16" s="429"/>
      <c r="AO16" s="429"/>
      <c r="AP16" s="429"/>
      <c r="AR16" s="198">
        <f t="shared" si="2"/>
        <v>0</v>
      </c>
      <c r="AS16" s="198">
        <f t="shared" si="3"/>
        <v>0</v>
      </c>
      <c r="AT16" s="198">
        <f t="shared" si="4"/>
        <v>0</v>
      </c>
      <c r="AU16" s="198">
        <f t="shared" si="5"/>
        <v>0</v>
      </c>
      <c r="AV16" s="198">
        <f t="shared" si="6"/>
        <v>0</v>
      </c>
      <c r="AW16" s="198">
        <f t="shared" si="7"/>
        <v>0</v>
      </c>
      <c r="AX16" s="198">
        <f t="shared" si="8"/>
        <v>0</v>
      </c>
      <c r="AY16" s="198">
        <f t="shared" si="9"/>
        <v>0</v>
      </c>
      <c r="AZ16" s="12"/>
      <c r="BB16" s="15"/>
      <c r="BC16" s="15"/>
    </row>
    <row r="17" spans="1:55" x14ac:dyDescent="0.3">
      <c r="B17" s="49" t="s">
        <v>179</v>
      </c>
      <c r="C17" s="429"/>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8"/>
      <c r="AK17" s="429"/>
      <c r="AL17" s="429"/>
      <c r="AM17" s="429"/>
      <c r="AN17" s="429"/>
      <c r="AO17" s="429"/>
      <c r="AP17" s="429"/>
      <c r="AR17" s="198">
        <f t="shared" si="2"/>
        <v>0</v>
      </c>
      <c r="AS17" s="198">
        <f t="shared" si="3"/>
        <v>0</v>
      </c>
      <c r="AT17" s="198">
        <f t="shared" si="4"/>
        <v>0</v>
      </c>
      <c r="AU17" s="198">
        <f t="shared" si="5"/>
        <v>0</v>
      </c>
      <c r="AV17" s="198">
        <f t="shared" si="6"/>
        <v>0</v>
      </c>
      <c r="AW17" s="198">
        <f t="shared" si="7"/>
        <v>0</v>
      </c>
      <c r="AX17" s="198">
        <f t="shared" si="8"/>
        <v>0</v>
      </c>
      <c r="AY17" s="198">
        <f t="shared" si="9"/>
        <v>0</v>
      </c>
      <c r="AZ17" s="12"/>
      <c r="BB17" s="15"/>
      <c r="BC17" s="15"/>
    </row>
    <row r="18" spans="1:55" x14ac:dyDescent="0.3">
      <c r="A18">
        <v>1018</v>
      </c>
      <c r="B18" t="s">
        <v>86</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8"/>
      <c r="AK18" s="429"/>
      <c r="AL18" s="429"/>
      <c r="AM18" s="429"/>
      <c r="AN18" s="429"/>
      <c r="AO18" s="429"/>
      <c r="AP18" s="429"/>
      <c r="AR18" s="198">
        <f t="shared" si="2"/>
        <v>0</v>
      </c>
      <c r="AS18" s="198">
        <f t="shared" si="3"/>
        <v>0</v>
      </c>
      <c r="AT18" s="198">
        <f t="shared" si="4"/>
        <v>0</v>
      </c>
      <c r="AU18" s="198">
        <f t="shared" si="5"/>
        <v>0</v>
      </c>
      <c r="AV18" s="198">
        <f t="shared" si="6"/>
        <v>0</v>
      </c>
      <c r="AW18" s="198">
        <f t="shared" si="7"/>
        <v>0</v>
      </c>
      <c r="AX18" s="198">
        <f t="shared" si="8"/>
        <v>0</v>
      </c>
      <c r="AY18" s="198">
        <f t="shared" si="9"/>
        <v>0</v>
      </c>
      <c r="AZ18" s="12"/>
      <c r="BB18" s="15"/>
      <c r="BC18" s="15"/>
    </row>
    <row r="19" spans="1:55" x14ac:dyDescent="0.3">
      <c r="A19">
        <v>1019</v>
      </c>
      <c r="B19" t="s">
        <v>78</v>
      </c>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8"/>
      <c r="AK19" s="429"/>
      <c r="AL19" s="429"/>
      <c r="AM19" s="429"/>
      <c r="AN19" s="429"/>
      <c r="AO19" s="429"/>
      <c r="AP19" s="429"/>
      <c r="AR19" s="198">
        <f t="shared" si="2"/>
        <v>0</v>
      </c>
      <c r="AS19" s="198">
        <f t="shared" si="3"/>
        <v>0</v>
      </c>
      <c r="AT19" s="198">
        <f t="shared" si="4"/>
        <v>0</v>
      </c>
      <c r="AU19" s="198">
        <f t="shared" si="5"/>
        <v>0</v>
      </c>
      <c r="AV19" s="198">
        <f t="shared" si="6"/>
        <v>0</v>
      </c>
      <c r="AW19" s="198">
        <f t="shared" si="7"/>
        <v>0</v>
      </c>
      <c r="AX19" s="198">
        <f t="shared" si="8"/>
        <v>0</v>
      </c>
      <c r="AY19" s="198">
        <f t="shared" si="9"/>
        <v>0</v>
      </c>
      <c r="AZ19" s="12"/>
      <c r="BB19" s="4"/>
      <c r="BC19" s="4"/>
    </row>
    <row r="20" spans="1:55" x14ac:dyDescent="0.3">
      <c r="B20" s="49" t="s">
        <v>217</v>
      </c>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8"/>
      <c r="AK20" s="429"/>
      <c r="AL20" s="429"/>
      <c r="AM20" s="429"/>
      <c r="AN20" s="429"/>
      <c r="AO20" s="429"/>
      <c r="AP20" s="429"/>
      <c r="AR20" s="198">
        <f t="shared" si="2"/>
        <v>0</v>
      </c>
      <c r="AS20" s="198">
        <f t="shared" si="3"/>
        <v>0</v>
      </c>
      <c r="AT20" s="198">
        <f t="shared" si="4"/>
        <v>0</v>
      </c>
      <c r="AU20" s="198">
        <f t="shared" si="5"/>
        <v>0</v>
      </c>
      <c r="AV20" s="198">
        <f t="shared" si="6"/>
        <v>0</v>
      </c>
      <c r="AW20" s="198">
        <f t="shared" si="7"/>
        <v>0</v>
      </c>
      <c r="AX20" s="198">
        <f t="shared" si="8"/>
        <v>0</v>
      </c>
      <c r="AY20" s="198">
        <f t="shared" si="9"/>
        <v>0</v>
      </c>
      <c r="AZ20" s="198"/>
      <c r="BB20" s="4"/>
      <c r="BC20" s="4"/>
    </row>
    <row r="21" spans="1:55" x14ac:dyDescent="0.3">
      <c r="A21">
        <v>1015</v>
      </c>
      <c r="B21" t="s">
        <v>335</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8"/>
      <c r="AK21" s="429"/>
      <c r="AL21" s="429"/>
      <c r="AM21" s="429"/>
      <c r="AN21" s="429"/>
      <c r="AO21" s="429"/>
      <c r="AP21" s="429"/>
      <c r="AR21" s="198">
        <f t="shared" si="2"/>
        <v>0</v>
      </c>
      <c r="AS21" s="198">
        <f t="shared" si="3"/>
        <v>0</v>
      </c>
      <c r="AT21" s="198">
        <f t="shared" si="4"/>
        <v>0</v>
      </c>
      <c r="AU21" s="198">
        <f t="shared" si="5"/>
        <v>0</v>
      </c>
      <c r="AV21" s="198">
        <f t="shared" si="6"/>
        <v>0</v>
      </c>
      <c r="AW21" s="198">
        <f t="shared" si="7"/>
        <v>0</v>
      </c>
      <c r="AX21" s="198">
        <f t="shared" si="8"/>
        <v>0</v>
      </c>
      <c r="AY21" s="198">
        <f t="shared" si="9"/>
        <v>0</v>
      </c>
      <c r="AZ21" s="12"/>
      <c r="BB21" s="4"/>
      <c r="BC21" s="4"/>
    </row>
    <row r="22" spans="1:55" x14ac:dyDescent="0.3">
      <c r="B22" s="49" t="s">
        <v>245</v>
      </c>
      <c r="C22" s="429"/>
      <c r="D22" s="429"/>
      <c r="E22" s="429"/>
      <c r="F22" s="429"/>
      <c r="G22" s="429"/>
      <c r="H22" s="429"/>
      <c r="I22" s="429"/>
      <c r="J22" s="429"/>
      <c r="K22" s="429"/>
      <c r="L22" s="429"/>
      <c r="M22" s="429"/>
      <c r="N22" s="429"/>
      <c r="O22" s="429"/>
      <c r="P22" s="429"/>
      <c r="Q22" s="429"/>
      <c r="R22" s="429"/>
      <c r="S22" s="429"/>
      <c r="T22" s="429"/>
      <c r="U22" s="429"/>
      <c r="V22" s="429"/>
      <c r="W22" s="429"/>
      <c r="X22" s="429"/>
      <c r="Y22" s="429"/>
      <c r="Z22" s="429"/>
      <c r="AA22" s="429"/>
      <c r="AB22" s="429"/>
      <c r="AC22" s="429"/>
      <c r="AD22" s="429"/>
      <c r="AE22" s="429"/>
      <c r="AF22" s="429"/>
      <c r="AG22" s="429"/>
      <c r="AH22" s="429"/>
      <c r="AI22" s="429"/>
      <c r="AJ22" s="428"/>
      <c r="AK22" s="429"/>
      <c r="AL22" s="429"/>
      <c r="AM22" s="429"/>
      <c r="AN22" s="429"/>
      <c r="AO22" s="429"/>
      <c r="AP22" s="429"/>
      <c r="AR22" s="198">
        <f t="shared" si="2"/>
        <v>0</v>
      </c>
      <c r="AS22" s="198">
        <f t="shared" si="3"/>
        <v>0</v>
      </c>
      <c r="AT22" s="198">
        <f t="shared" si="4"/>
        <v>0</v>
      </c>
      <c r="AU22" s="198">
        <f t="shared" si="5"/>
        <v>0</v>
      </c>
      <c r="AV22" s="198">
        <f t="shared" si="6"/>
        <v>0</v>
      </c>
      <c r="AW22" s="198">
        <f t="shared" si="7"/>
        <v>0</v>
      </c>
      <c r="AX22" s="198">
        <f t="shared" si="8"/>
        <v>0</v>
      </c>
      <c r="AY22" s="198">
        <f t="shared" si="9"/>
        <v>0</v>
      </c>
      <c r="AZ22" s="12"/>
      <c r="BB22" s="4"/>
      <c r="BC22" s="4"/>
    </row>
    <row r="23" spans="1:55" x14ac:dyDescent="0.3">
      <c r="A23">
        <v>1048</v>
      </c>
      <c r="B23" t="s">
        <v>286</v>
      </c>
      <c r="C23" s="429"/>
      <c r="D23" s="429"/>
      <c r="E23" s="429"/>
      <c r="F23" s="429"/>
      <c r="G23" s="429"/>
      <c r="H23" s="429"/>
      <c r="I23" s="429"/>
      <c r="J23" s="429"/>
      <c r="K23" s="429"/>
      <c r="L23" s="429"/>
      <c r="M23" s="429"/>
      <c r="N23" s="429"/>
      <c r="O23" s="429"/>
      <c r="P23" s="429"/>
      <c r="Q23" s="429"/>
      <c r="R23" s="429"/>
      <c r="S23" s="429"/>
      <c r="T23" s="429"/>
      <c r="U23" s="429"/>
      <c r="V23" s="429"/>
      <c r="W23" s="443"/>
      <c r="X23" s="443"/>
      <c r="Y23" s="443"/>
      <c r="Z23" s="443"/>
      <c r="AA23" s="443"/>
      <c r="AB23" s="443"/>
      <c r="AC23" s="443"/>
      <c r="AD23" s="443"/>
      <c r="AE23" s="429"/>
      <c r="AF23" s="429"/>
      <c r="AG23" s="429"/>
      <c r="AH23" s="444"/>
      <c r="AI23" s="429"/>
      <c r="AJ23" s="428"/>
      <c r="AK23" s="429"/>
      <c r="AL23" s="429"/>
      <c r="AM23" s="429"/>
      <c r="AN23" s="429"/>
      <c r="AO23" s="429"/>
      <c r="AP23" s="429"/>
      <c r="AR23" s="198">
        <f t="shared" si="2"/>
        <v>0</v>
      </c>
      <c r="AS23" s="198">
        <f t="shared" si="3"/>
        <v>0</v>
      </c>
      <c r="AT23" s="198">
        <f t="shared" si="4"/>
        <v>0</v>
      </c>
      <c r="AU23" s="198">
        <f t="shared" si="5"/>
        <v>0</v>
      </c>
      <c r="AV23" s="198">
        <f t="shared" si="6"/>
        <v>0</v>
      </c>
      <c r="AW23" s="198">
        <f t="shared" si="7"/>
        <v>0</v>
      </c>
      <c r="AX23" s="198">
        <f t="shared" si="8"/>
        <v>0</v>
      </c>
      <c r="AY23" s="198">
        <f t="shared" si="9"/>
        <v>0</v>
      </c>
      <c r="AZ23" s="12"/>
      <c r="BB23" s="4"/>
      <c r="BC23" s="4"/>
    </row>
    <row r="24" spans="1:55" x14ac:dyDescent="0.3">
      <c r="C24" s="445"/>
      <c r="D24" s="445"/>
      <c r="E24" s="445"/>
      <c r="F24" s="445"/>
      <c r="G24" s="445"/>
      <c r="H24" s="445"/>
      <c r="I24" s="445"/>
      <c r="J24" s="445"/>
      <c r="K24" s="445"/>
      <c r="L24" s="445"/>
      <c r="M24" s="445"/>
      <c r="N24" s="445"/>
      <c r="O24" s="445"/>
      <c r="P24" s="445"/>
      <c r="Q24" s="445"/>
      <c r="R24" s="429"/>
      <c r="S24" s="429"/>
      <c r="T24" s="429"/>
      <c r="U24" s="429"/>
      <c r="V24" s="429"/>
      <c r="W24" s="445"/>
      <c r="X24" s="445"/>
      <c r="Y24" s="445"/>
      <c r="Z24" s="445"/>
      <c r="AA24" s="445"/>
      <c r="AB24" s="445"/>
      <c r="AC24" s="445"/>
      <c r="AD24" s="445"/>
      <c r="AE24" s="429"/>
      <c r="AF24" s="445"/>
      <c r="AG24" s="445"/>
      <c r="AH24" s="445"/>
      <c r="AI24" s="446"/>
      <c r="AJ24" s="447"/>
      <c r="AK24" s="445"/>
      <c r="AL24" s="445"/>
      <c r="AM24" s="445"/>
      <c r="AN24" s="445"/>
      <c r="AO24" s="445"/>
      <c r="AP24" s="445"/>
      <c r="BB24" s="4"/>
      <c r="BC24" s="4"/>
    </row>
    <row r="25" spans="1:55" x14ac:dyDescent="0.3">
      <c r="B25" t="s">
        <v>61</v>
      </c>
      <c r="F25" s="25"/>
      <c r="H25" s="72">
        <f>H24-(Historical_Cost!E15-Historical_Cost!E13)</f>
        <v>0</v>
      </c>
      <c r="I25" s="72">
        <f>I24-(Historical_Cost!F15-Historical_Cost!F13)</f>
        <v>0</v>
      </c>
      <c r="J25" s="72">
        <f>J24-(Historical_Cost!G15-Historical_Cost!G13)</f>
        <v>0</v>
      </c>
      <c r="K25" s="72">
        <f>K24-(Historical_Cost!H15-Historical_Cost!H13)</f>
        <v>0</v>
      </c>
      <c r="L25" s="72">
        <f>L24-(Historical_Cost!I15-Historical_Cost!I13)</f>
        <v>0</v>
      </c>
      <c r="M25" s="71">
        <f>M24-(Historical_Cost!J15-Historical_Cost!J13)</f>
        <v>0</v>
      </c>
      <c r="N25" s="71">
        <f>N24-(Historical_Cost!K15-Historical_Cost!K13)</f>
        <v>0</v>
      </c>
      <c r="O25" s="71">
        <f>O24-(Historical_Cost!L15-Historical_Cost!L13)</f>
        <v>0</v>
      </c>
      <c r="P25" s="71">
        <f>P24-(Historical_Cost!M15-Historical_Cost!M13)</f>
        <v>0</v>
      </c>
      <c r="Q25" s="71">
        <f>Q24-(Historical_Cost!N15-Historical_Cost!N13)</f>
        <v>0</v>
      </c>
      <c r="AE25" s="281" t="s">
        <v>96</v>
      </c>
      <c r="AF25" s="448"/>
      <c r="AG25" s="448"/>
      <c r="AH25" s="448"/>
      <c r="AI25" s="448"/>
      <c r="AJ25" s="448"/>
      <c r="AK25" s="448"/>
      <c r="AL25" s="448"/>
      <c r="AM25" s="448"/>
      <c r="AN25" s="448"/>
      <c r="AO25" s="448"/>
      <c r="AP25" s="448"/>
    </row>
    <row r="26" spans="1:55" x14ac:dyDescent="0.3">
      <c r="F26" s="25"/>
      <c r="H26" s="535" t="s">
        <v>258</v>
      </c>
      <c r="I26" s="535"/>
      <c r="J26" s="535"/>
      <c r="K26" s="535"/>
      <c r="L26" s="535"/>
      <c r="M26" s="535"/>
      <c r="N26" s="535"/>
      <c r="O26" s="535"/>
      <c r="P26" s="535"/>
      <c r="Q26" s="535"/>
      <c r="R26" s="539" t="s">
        <v>281</v>
      </c>
      <c r="S26" s="539"/>
      <c r="T26" s="539"/>
      <c r="U26" s="539"/>
      <c r="V26" s="539"/>
      <c r="W26" s="537" t="s">
        <v>282</v>
      </c>
      <c r="X26" s="537"/>
      <c r="Y26" s="537"/>
      <c r="Z26" s="537"/>
      <c r="AA26" s="537"/>
      <c r="AB26" s="537"/>
      <c r="AC26" s="537"/>
      <c r="AD26" s="537"/>
      <c r="AE26" s="281"/>
      <c r="AF26" s="293"/>
      <c r="AG26" s="293"/>
      <c r="AH26" s="293"/>
      <c r="AI26" s="309"/>
      <c r="AJ26" s="309"/>
      <c r="AK26" s="309"/>
      <c r="AL26" s="309"/>
      <c r="AM26" s="309"/>
      <c r="AN26" s="309"/>
      <c r="AO26" s="309"/>
      <c r="AP26" s="309"/>
    </row>
    <row r="27" spans="1:55" ht="15.3" thickBot="1" x14ac:dyDescent="0.35">
      <c r="B27" s="1" t="s">
        <v>17</v>
      </c>
      <c r="C27" s="14"/>
      <c r="H27" s="3" t="str">
        <f t="shared" ref="H27:AD27" si="26">H6</f>
        <v>CY2015</v>
      </c>
      <c r="I27" s="3" t="str">
        <f t="shared" si="26"/>
        <v>CY2016</v>
      </c>
      <c r="J27" s="3" t="str">
        <f t="shared" si="26"/>
        <v>CY2017</v>
      </c>
      <c r="K27" s="3" t="str">
        <f t="shared" si="26"/>
        <v>CY2018</v>
      </c>
      <c r="L27" s="3" t="str">
        <f t="shared" si="26"/>
        <v>CY2019</v>
      </c>
      <c r="M27" s="3" t="str">
        <f t="shared" si="26"/>
        <v>CY2020</v>
      </c>
      <c r="N27" s="3" t="str">
        <f t="shared" si="26"/>
        <v>2020-21</v>
      </c>
      <c r="O27" s="3" t="str">
        <f t="shared" si="26"/>
        <v>2021-22</v>
      </c>
      <c r="P27" s="3" t="str">
        <f t="shared" si="26"/>
        <v>2022-23</v>
      </c>
      <c r="Q27" s="3" t="s">
        <v>161</v>
      </c>
      <c r="R27" s="3" t="str">
        <f t="shared" si="26"/>
        <v>CY2020</v>
      </c>
      <c r="S27" s="3" t="str">
        <f t="shared" si="26"/>
        <v>2020-21</v>
      </c>
      <c r="T27" s="3" t="str">
        <f t="shared" si="26"/>
        <v>2021-22</v>
      </c>
      <c r="U27" s="3" t="str">
        <f t="shared" si="26"/>
        <v>2022-23</v>
      </c>
      <c r="V27" s="3" t="str">
        <f t="shared" si="26"/>
        <v>2023-24</v>
      </c>
      <c r="W27" s="3" t="str">
        <f t="shared" si="26"/>
        <v>2023-24</v>
      </c>
      <c r="X27" s="3" t="str">
        <f t="shared" si="26"/>
        <v>2024-25</v>
      </c>
      <c r="Y27" s="3" t="str">
        <f t="shared" si="26"/>
        <v>2025-26</v>
      </c>
      <c r="Z27" s="3" t="str">
        <f t="shared" si="26"/>
        <v>2026-27</v>
      </c>
      <c r="AA27" s="3" t="str">
        <f t="shared" si="26"/>
        <v>2027–28</v>
      </c>
      <c r="AB27" s="3" t="str">
        <f t="shared" si="26"/>
        <v>2028–29</v>
      </c>
      <c r="AC27" s="3" t="str">
        <f t="shared" si="26"/>
        <v>2029–30</v>
      </c>
      <c r="AD27" s="3" t="str">
        <f t="shared" si="26"/>
        <v>2030–31</v>
      </c>
    </row>
    <row r="28" spans="1:55" x14ac:dyDescent="0.3">
      <c r="A28">
        <v>1012</v>
      </c>
      <c r="B28" t="s">
        <v>83</v>
      </c>
      <c r="C28" s="449"/>
      <c r="D28" s="449"/>
      <c r="E28" s="449"/>
      <c r="F28" s="449"/>
      <c r="G28" s="449"/>
      <c r="H28" s="449"/>
      <c r="I28" s="449"/>
      <c r="J28" s="449"/>
      <c r="K28" s="449"/>
      <c r="L28" s="449"/>
      <c r="M28" s="449"/>
      <c r="N28" s="449"/>
      <c r="O28" s="449"/>
      <c r="P28" s="450"/>
      <c r="Q28" s="449"/>
      <c r="R28" s="451"/>
      <c r="S28" s="451"/>
      <c r="T28" s="451"/>
      <c r="U28" s="451"/>
      <c r="V28" s="451"/>
      <c r="W28" s="452"/>
      <c r="X28" s="451"/>
      <c r="Y28" s="451"/>
      <c r="Z28" s="451"/>
      <c r="AA28" s="451"/>
      <c r="AB28" s="451"/>
      <c r="AC28" s="451"/>
      <c r="AD28" s="451"/>
      <c r="AE28" s="15"/>
      <c r="AF28" s="15"/>
      <c r="AG28" s="15"/>
      <c r="AH28" s="15"/>
      <c r="AI28" s="451"/>
      <c r="AJ28" s="451"/>
      <c r="AK28" s="451"/>
      <c r="AL28" s="451"/>
      <c r="AM28" s="451"/>
      <c r="AN28" s="451"/>
      <c r="AO28" s="451"/>
      <c r="AP28" s="451"/>
      <c r="AQ28" s="15"/>
      <c r="AR28" s="198">
        <f t="shared" ref="AR28:AR42" si="27">IF(ISERROR((AI28-W28)/W28),0,(AI28-W28)/W28)</f>
        <v>0</v>
      </c>
      <c r="AS28" s="198">
        <f t="shared" ref="AS28:AS42" si="28">IF(ISERROR((AJ28-X28)/X28),0,(AJ28-X28)/X28)</f>
        <v>0</v>
      </c>
      <c r="AT28" s="198">
        <f t="shared" ref="AT28:AT42" si="29">IF(ISERROR((AK28-Y28)/Y28),0,(AK28-Y28)/Y28)</f>
        <v>0</v>
      </c>
      <c r="AU28" s="198">
        <f t="shared" ref="AU28:AU42" si="30">IF(ISERROR((AL28-Z28)/Z28),0,(AL28-Z28)/Z28)</f>
        <v>0</v>
      </c>
      <c r="AV28" s="198">
        <f t="shared" ref="AV28:AV42" si="31">IF(ISERROR((AM28-AA28)/AA28),0,(AM28-AA28)/AA28)</f>
        <v>0</v>
      </c>
      <c r="AW28" s="198">
        <f t="shared" ref="AW28:AW42" si="32">IF(ISERROR((AN28-AB28)/AB28),0,(AN28-AB28)/AB28)</f>
        <v>0</v>
      </c>
      <c r="AX28" s="198">
        <f t="shared" ref="AX28:AX42" si="33">IF(ISERROR((AO28-AC28)/AC28),0,(AO28-AC28)/AC28)</f>
        <v>0</v>
      </c>
      <c r="AY28" s="198">
        <f t="shared" ref="AY28:AY42" si="34">IF(ISERROR((AP28-AD28)/AD28),0,(AP28-AD28)/AD28)</f>
        <v>0</v>
      </c>
      <c r="AZ28" s="12"/>
      <c r="BA28" s="4"/>
    </row>
    <row r="29" spans="1:55" x14ac:dyDescent="0.3">
      <c r="A29">
        <v>1012</v>
      </c>
      <c r="B29" t="s">
        <v>92</v>
      </c>
      <c r="C29" s="449"/>
      <c r="D29" s="449"/>
      <c r="E29" s="449"/>
      <c r="F29" s="449"/>
      <c r="G29" s="449"/>
      <c r="H29" s="449"/>
      <c r="I29" s="449"/>
      <c r="J29" s="449"/>
      <c r="K29" s="449"/>
      <c r="L29" s="449"/>
      <c r="M29" s="449"/>
      <c r="N29" s="449"/>
      <c r="O29" s="449"/>
      <c r="P29" s="449"/>
      <c r="Q29" s="449"/>
      <c r="R29" s="451"/>
      <c r="S29" s="451"/>
      <c r="T29" s="451"/>
      <c r="U29" s="451"/>
      <c r="V29" s="451"/>
      <c r="W29" s="453"/>
      <c r="X29" s="451"/>
      <c r="Y29" s="451"/>
      <c r="Z29" s="451"/>
      <c r="AA29" s="451"/>
      <c r="AB29" s="451"/>
      <c r="AC29" s="451"/>
      <c r="AD29" s="451"/>
      <c r="AE29" s="15"/>
      <c r="AF29" s="15"/>
      <c r="AG29" s="15"/>
      <c r="AH29" s="15"/>
      <c r="AI29" s="451"/>
      <c r="AJ29" s="451"/>
      <c r="AK29" s="451"/>
      <c r="AL29" s="451"/>
      <c r="AM29" s="451"/>
      <c r="AN29" s="451"/>
      <c r="AO29" s="451"/>
      <c r="AP29" s="451"/>
      <c r="AQ29" s="15"/>
      <c r="AR29" s="198">
        <f t="shared" si="27"/>
        <v>0</v>
      </c>
      <c r="AS29" s="198">
        <f t="shared" si="28"/>
        <v>0</v>
      </c>
      <c r="AT29" s="198">
        <f t="shared" si="29"/>
        <v>0</v>
      </c>
      <c r="AU29" s="198">
        <f t="shared" si="30"/>
        <v>0</v>
      </c>
      <c r="AV29" s="198">
        <f t="shared" si="31"/>
        <v>0</v>
      </c>
      <c r="AW29" s="198">
        <f t="shared" si="32"/>
        <v>0</v>
      </c>
      <c r="AX29" s="198">
        <f t="shared" si="33"/>
        <v>0</v>
      </c>
      <c r="AY29" s="198">
        <f t="shared" si="34"/>
        <v>0</v>
      </c>
      <c r="AZ29" s="12"/>
      <c r="BA29" s="4"/>
    </row>
    <row r="30" spans="1:55" x14ac:dyDescent="0.3">
      <c r="A30">
        <v>1012</v>
      </c>
      <c r="B30" t="s">
        <v>121</v>
      </c>
      <c r="C30" s="449"/>
      <c r="D30" s="449"/>
      <c r="E30" s="449"/>
      <c r="F30" s="449"/>
      <c r="G30" s="449"/>
      <c r="H30" s="449"/>
      <c r="I30" s="449"/>
      <c r="J30" s="449"/>
      <c r="K30" s="449"/>
      <c r="L30" s="449"/>
      <c r="M30" s="449"/>
      <c r="N30" s="449"/>
      <c r="O30" s="449"/>
      <c r="P30" s="449"/>
      <c r="Q30" s="449"/>
      <c r="R30" s="451"/>
      <c r="S30" s="451"/>
      <c r="T30" s="451"/>
      <c r="U30" s="451"/>
      <c r="V30" s="451"/>
      <c r="W30" s="453"/>
      <c r="X30" s="451"/>
      <c r="Y30" s="451"/>
      <c r="Z30" s="451"/>
      <c r="AA30" s="451"/>
      <c r="AB30" s="451"/>
      <c r="AC30" s="451"/>
      <c r="AD30" s="451"/>
      <c r="AE30" s="15"/>
      <c r="AF30" s="15"/>
      <c r="AG30" s="15"/>
      <c r="AH30" s="15"/>
      <c r="AI30" s="451"/>
      <c r="AJ30" s="451"/>
      <c r="AK30" s="451"/>
      <c r="AL30" s="451"/>
      <c r="AM30" s="451"/>
      <c r="AN30" s="451"/>
      <c r="AO30" s="451"/>
      <c r="AP30" s="451"/>
      <c r="AQ30" s="15"/>
      <c r="AR30" s="198">
        <f t="shared" si="27"/>
        <v>0</v>
      </c>
      <c r="AS30" s="198">
        <f t="shared" si="28"/>
        <v>0</v>
      </c>
      <c r="AT30" s="198">
        <f t="shared" si="29"/>
        <v>0</v>
      </c>
      <c r="AU30" s="198">
        <f t="shared" si="30"/>
        <v>0</v>
      </c>
      <c r="AV30" s="198">
        <f t="shared" si="31"/>
        <v>0</v>
      </c>
      <c r="AW30" s="198">
        <f t="shared" si="32"/>
        <v>0</v>
      </c>
      <c r="AX30" s="198">
        <f t="shared" si="33"/>
        <v>0</v>
      </c>
      <c r="AY30" s="198">
        <f t="shared" si="34"/>
        <v>0</v>
      </c>
      <c r="AZ30" s="12"/>
      <c r="BA30" s="4"/>
    </row>
    <row r="31" spans="1:55" x14ac:dyDescent="0.3">
      <c r="A31">
        <v>1012</v>
      </c>
      <c r="B31" s="14" t="s">
        <v>93</v>
      </c>
      <c r="C31" s="449"/>
      <c r="D31" s="449"/>
      <c r="E31" s="449"/>
      <c r="F31" s="449"/>
      <c r="G31" s="449"/>
      <c r="H31" s="449"/>
      <c r="I31" s="449"/>
      <c r="J31" s="449"/>
      <c r="K31" s="449"/>
      <c r="L31" s="449"/>
      <c r="M31" s="449"/>
      <c r="N31" s="449"/>
      <c r="O31" s="449"/>
      <c r="P31" s="449"/>
      <c r="Q31" s="449"/>
      <c r="R31" s="451"/>
      <c r="S31" s="451"/>
      <c r="T31" s="451"/>
      <c r="U31" s="451"/>
      <c r="V31" s="451"/>
      <c r="W31" s="453"/>
      <c r="X31" s="451"/>
      <c r="Y31" s="451"/>
      <c r="Z31" s="451"/>
      <c r="AA31" s="451"/>
      <c r="AB31" s="451"/>
      <c r="AC31" s="451"/>
      <c r="AD31" s="451"/>
      <c r="AE31" s="15"/>
      <c r="AF31" s="15"/>
      <c r="AG31" s="15"/>
      <c r="AH31" s="15"/>
      <c r="AI31" s="451"/>
      <c r="AJ31" s="451"/>
      <c r="AK31" s="451"/>
      <c r="AL31" s="451"/>
      <c r="AM31" s="451"/>
      <c r="AN31" s="451"/>
      <c r="AO31" s="451"/>
      <c r="AP31" s="451"/>
      <c r="AQ31" s="15"/>
      <c r="AR31" s="198">
        <f t="shared" si="27"/>
        <v>0</v>
      </c>
      <c r="AS31" s="198">
        <f t="shared" si="28"/>
        <v>0</v>
      </c>
      <c r="AT31" s="198">
        <f t="shared" si="29"/>
        <v>0</v>
      </c>
      <c r="AU31" s="198">
        <f t="shared" si="30"/>
        <v>0</v>
      </c>
      <c r="AV31" s="198">
        <f t="shared" si="31"/>
        <v>0</v>
      </c>
      <c r="AW31" s="198">
        <f t="shared" si="32"/>
        <v>0</v>
      </c>
      <c r="AX31" s="198">
        <f t="shared" si="33"/>
        <v>0</v>
      </c>
      <c r="AY31" s="198">
        <f t="shared" si="34"/>
        <v>0</v>
      </c>
      <c r="AZ31" s="12"/>
      <c r="BA31" s="4"/>
    </row>
    <row r="32" spans="1:55" x14ac:dyDescent="0.3">
      <c r="A32">
        <v>1012</v>
      </c>
      <c r="B32" s="14" t="s">
        <v>271</v>
      </c>
      <c r="C32" s="449"/>
      <c r="D32" s="449"/>
      <c r="E32" s="449"/>
      <c r="F32" s="449"/>
      <c r="G32" s="449"/>
      <c r="H32" s="449"/>
      <c r="I32" s="449"/>
      <c r="J32" s="449"/>
      <c r="K32" s="449"/>
      <c r="L32" s="449"/>
      <c r="M32" s="449"/>
      <c r="N32" s="449"/>
      <c r="O32" s="449"/>
      <c r="P32" s="449"/>
      <c r="Q32" s="449"/>
      <c r="R32" s="451"/>
      <c r="S32" s="451"/>
      <c r="T32" s="451"/>
      <c r="U32" s="451"/>
      <c r="V32" s="451"/>
      <c r="W32" s="454"/>
      <c r="X32" s="449"/>
      <c r="Y32" s="449"/>
      <c r="Z32" s="449"/>
      <c r="AA32" s="449"/>
      <c r="AB32" s="449"/>
      <c r="AC32" s="449"/>
      <c r="AD32" s="449"/>
      <c r="AE32" s="15"/>
      <c r="AF32" s="15"/>
      <c r="AG32" s="15"/>
      <c r="AH32" s="15"/>
      <c r="AI32" s="451"/>
      <c r="AJ32" s="451"/>
      <c r="AK32" s="451"/>
      <c r="AL32" s="451"/>
      <c r="AM32" s="451"/>
      <c r="AN32" s="451"/>
      <c r="AO32" s="451"/>
      <c r="AP32" s="451"/>
      <c r="AQ32" s="15"/>
      <c r="AR32" s="198">
        <f t="shared" ref="AR32:AR33" si="35">IF(ISERROR((AI32-W32)/W32),0,(AI32-W32)/W32)</f>
        <v>0</v>
      </c>
      <c r="AS32" s="198">
        <f t="shared" ref="AS32:AS33" si="36">IF(ISERROR((AJ32-X32)/X32),0,(AJ32-X32)/X32)</f>
        <v>0</v>
      </c>
      <c r="AT32" s="198">
        <f t="shared" ref="AT32:AT33" si="37">IF(ISERROR((AK32-Y32)/Y32),0,(AK32-Y32)/Y32)</f>
        <v>0</v>
      </c>
      <c r="AU32" s="198">
        <f t="shared" ref="AU32:AU33" si="38">IF(ISERROR((AL32-Z32)/Z32),0,(AL32-Z32)/Z32)</f>
        <v>0</v>
      </c>
      <c r="AV32" s="198">
        <f t="shared" ref="AV32:AV33" si="39">IF(ISERROR((AM32-AA32)/AA32),0,(AM32-AA32)/AA32)</f>
        <v>0</v>
      </c>
      <c r="AW32" s="198">
        <f t="shared" ref="AW32:AW33" si="40">IF(ISERROR((AN32-AB32)/AB32),0,(AN32-AB32)/AB32)</f>
        <v>0</v>
      </c>
      <c r="AX32" s="198">
        <f t="shared" ref="AX32:AX33" si="41">IF(ISERROR((AO32-AC32)/AC32),0,(AO32-AC32)/AC32)</f>
        <v>0</v>
      </c>
      <c r="AY32" s="198">
        <f t="shared" ref="AY32:AY33" si="42">IF(ISERROR((AP32-AD32)/AD32),0,(AP32-AD32)/AD32)</f>
        <v>0</v>
      </c>
      <c r="AZ32" s="12"/>
      <c r="BA32" s="4"/>
    </row>
    <row r="33" spans="1:55" x14ac:dyDescent="0.3">
      <c r="A33">
        <v>1012</v>
      </c>
      <c r="B33" s="14" t="s">
        <v>183</v>
      </c>
      <c r="C33" s="449"/>
      <c r="D33" s="449"/>
      <c r="E33" s="449"/>
      <c r="F33" s="449"/>
      <c r="G33" s="449"/>
      <c r="H33" s="449"/>
      <c r="I33" s="449"/>
      <c r="J33" s="449"/>
      <c r="K33" s="449"/>
      <c r="L33" s="449"/>
      <c r="M33" s="449"/>
      <c r="N33" s="449"/>
      <c r="O33" s="449"/>
      <c r="P33" s="450"/>
      <c r="Q33" s="450"/>
      <c r="R33" s="451"/>
      <c r="S33" s="451"/>
      <c r="T33" s="451"/>
      <c r="U33" s="451"/>
      <c r="V33" s="451"/>
      <c r="W33" s="453"/>
      <c r="X33" s="451"/>
      <c r="Y33" s="451"/>
      <c r="Z33" s="451"/>
      <c r="AA33" s="451"/>
      <c r="AB33" s="451"/>
      <c r="AC33" s="451"/>
      <c r="AD33" s="451"/>
      <c r="AE33" s="15"/>
      <c r="AF33" s="15"/>
      <c r="AG33" s="15"/>
      <c r="AH33" s="15"/>
      <c r="AI33" s="451"/>
      <c r="AJ33" s="451"/>
      <c r="AK33" s="451"/>
      <c r="AL33" s="451"/>
      <c r="AM33" s="451"/>
      <c r="AN33" s="451"/>
      <c r="AO33" s="451"/>
      <c r="AP33" s="451"/>
      <c r="AQ33" s="15"/>
      <c r="AR33" s="198">
        <f t="shared" si="35"/>
        <v>0</v>
      </c>
      <c r="AS33" s="198">
        <f t="shared" si="36"/>
        <v>0</v>
      </c>
      <c r="AT33" s="198">
        <f t="shared" si="37"/>
        <v>0</v>
      </c>
      <c r="AU33" s="198">
        <f t="shared" si="38"/>
        <v>0</v>
      </c>
      <c r="AV33" s="198">
        <f t="shared" si="39"/>
        <v>0</v>
      </c>
      <c r="AW33" s="198">
        <f t="shared" si="40"/>
        <v>0</v>
      </c>
      <c r="AX33" s="198">
        <f t="shared" si="41"/>
        <v>0</v>
      </c>
      <c r="AY33" s="198">
        <f t="shared" si="42"/>
        <v>0</v>
      </c>
      <c r="AZ33" s="12"/>
      <c r="BA33" s="4"/>
    </row>
    <row r="34" spans="1:55" x14ac:dyDescent="0.3">
      <c r="A34">
        <v>1013</v>
      </c>
      <c r="B34" t="s">
        <v>84</v>
      </c>
      <c r="C34" s="449"/>
      <c r="D34" s="449"/>
      <c r="E34" s="449"/>
      <c r="F34" s="449"/>
      <c r="G34" s="449"/>
      <c r="H34" s="449"/>
      <c r="I34" s="449"/>
      <c r="J34" s="449"/>
      <c r="K34" s="449"/>
      <c r="L34" s="449"/>
      <c r="M34" s="449"/>
      <c r="N34" s="449"/>
      <c r="O34" s="449"/>
      <c r="P34" s="449"/>
      <c r="Q34" s="449"/>
      <c r="R34" s="451"/>
      <c r="S34" s="451"/>
      <c r="T34" s="451"/>
      <c r="U34" s="451"/>
      <c r="V34" s="451"/>
      <c r="W34" s="453"/>
      <c r="X34" s="451"/>
      <c r="Y34" s="451"/>
      <c r="Z34" s="455"/>
      <c r="AA34" s="451"/>
      <c r="AB34" s="451"/>
      <c r="AC34" s="451"/>
      <c r="AD34" s="451"/>
      <c r="AE34" s="15"/>
      <c r="AF34" s="15"/>
      <c r="AG34" s="15"/>
      <c r="AH34" s="15"/>
      <c r="AI34" s="451"/>
      <c r="AJ34" s="451"/>
      <c r="AK34" s="451"/>
      <c r="AL34" s="451"/>
      <c r="AM34" s="451"/>
      <c r="AN34" s="451"/>
      <c r="AO34" s="451"/>
      <c r="AP34" s="451"/>
      <c r="AQ34" s="15"/>
      <c r="AR34" s="198">
        <f t="shared" si="27"/>
        <v>0</v>
      </c>
      <c r="AS34" s="198">
        <f t="shared" si="28"/>
        <v>0</v>
      </c>
      <c r="AT34" s="198">
        <f t="shared" si="29"/>
        <v>0</v>
      </c>
      <c r="AU34" s="198">
        <f t="shared" si="30"/>
        <v>0</v>
      </c>
      <c r="AV34" s="198">
        <f t="shared" si="31"/>
        <v>0</v>
      </c>
      <c r="AW34" s="198">
        <f t="shared" si="32"/>
        <v>0</v>
      </c>
      <c r="AX34" s="198">
        <f t="shared" si="33"/>
        <v>0</v>
      </c>
      <c r="AY34" s="198">
        <f t="shared" si="34"/>
        <v>0</v>
      </c>
      <c r="AZ34" s="12"/>
      <c r="BA34" s="4"/>
      <c r="BC34" s="6"/>
    </row>
    <row r="35" spans="1:55" x14ac:dyDescent="0.3">
      <c r="A35">
        <v>1014</v>
      </c>
      <c r="B35" t="s">
        <v>85</v>
      </c>
      <c r="C35" s="449"/>
      <c r="D35" s="449"/>
      <c r="E35" s="449"/>
      <c r="F35" s="449"/>
      <c r="G35" s="449"/>
      <c r="H35" s="449"/>
      <c r="I35" s="449"/>
      <c r="J35" s="449"/>
      <c r="K35" s="449"/>
      <c r="L35" s="449"/>
      <c r="M35" s="449"/>
      <c r="N35" s="449"/>
      <c r="O35" s="449"/>
      <c r="P35" s="449"/>
      <c r="Q35" s="449"/>
      <c r="R35" s="451"/>
      <c r="S35" s="451"/>
      <c r="T35" s="451"/>
      <c r="U35" s="451"/>
      <c r="V35" s="451"/>
      <c r="W35" s="453"/>
      <c r="X35" s="451"/>
      <c r="Y35" s="451"/>
      <c r="Z35" s="451"/>
      <c r="AA35" s="451"/>
      <c r="AB35" s="451"/>
      <c r="AC35" s="451"/>
      <c r="AD35" s="451"/>
      <c r="AE35" s="15"/>
      <c r="AF35" s="15"/>
      <c r="AG35" s="15"/>
      <c r="AH35" s="15"/>
      <c r="AI35" s="451"/>
      <c r="AJ35" s="451"/>
      <c r="AK35" s="451"/>
      <c r="AL35" s="451"/>
      <c r="AM35" s="451"/>
      <c r="AN35" s="451"/>
      <c r="AO35" s="451"/>
      <c r="AP35" s="451"/>
      <c r="AQ35" s="15"/>
      <c r="AR35" s="198">
        <f t="shared" si="27"/>
        <v>0</v>
      </c>
      <c r="AS35" s="198">
        <f t="shared" si="28"/>
        <v>0</v>
      </c>
      <c r="AT35" s="198">
        <f t="shared" si="29"/>
        <v>0</v>
      </c>
      <c r="AU35" s="198">
        <f t="shared" si="30"/>
        <v>0</v>
      </c>
      <c r="AV35" s="198">
        <f t="shared" si="31"/>
        <v>0</v>
      </c>
      <c r="AW35" s="198">
        <f t="shared" si="32"/>
        <v>0</v>
      </c>
      <c r="AX35" s="198">
        <f t="shared" si="33"/>
        <v>0</v>
      </c>
      <c r="AY35" s="198">
        <f t="shared" si="34"/>
        <v>0</v>
      </c>
      <c r="AZ35" s="12"/>
      <c r="BA35" s="4"/>
    </row>
    <row r="36" spans="1:55" x14ac:dyDescent="0.3">
      <c r="B36" t="s">
        <v>179</v>
      </c>
      <c r="C36" s="449"/>
      <c r="D36" s="449"/>
      <c r="E36" s="449"/>
      <c r="F36" s="449"/>
      <c r="G36" s="449"/>
      <c r="H36" s="449"/>
      <c r="I36" s="449"/>
      <c r="J36" s="449"/>
      <c r="K36" s="449"/>
      <c r="L36" s="449"/>
      <c r="M36" s="449"/>
      <c r="N36" s="449"/>
      <c r="O36" s="449"/>
      <c r="P36" s="449"/>
      <c r="Q36" s="449"/>
      <c r="R36" s="451"/>
      <c r="S36" s="451"/>
      <c r="T36" s="451"/>
      <c r="U36" s="451"/>
      <c r="V36" s="451"/>
      <c r="W36" s="453"/>
      <c r="X36" s="451"/>
      <c r="Y36" s="451"/>
      <c r="Z36" s="451"/>
      <c r="AA36" s="451"/>
      <c r="AB36" s="451"/>
      <c r="AC36" s="451"/>
      <c r="AD36" s="451"/>
      <c r="AE36" s="15"/>
      <c r="AF36" s="15"/>
      <c r="AG36" s="15"/>
      <c r="AH36" s="15"/>
      <c r="AI36" s="451"/>
      <c r="AJ36" s="451"/>
      <c r="AK36" s="451"/>
      <c r="AL36" s="451"/>
      <c r="AM36" s="451"/>
      <c r="AN36" s="451"/>
      <c r="AO36" s="451"/>
      <c r="AP36" s="451"/>
      <c r="AQ36" s="15"/>
      <c r="AR36" s="198">
        <f t="shared" si="27"/>
        <v>0</v>
      </c>
      <c r="AS36" s="198">
        <f t="shared" si="28"/>
        <v>0</v>
      </c>
      <c r="AT36" s="198">
        <f t="shared" si="29"/>
        <v>0</v>
      </c>
      <c r="AU36" s="198">
        <f t="shared" si="30"/>
        <v>0</v>
      </c>
      <c r="AV36" s="198">
        <f t="shared" si="31"/>
        <v>0</v>
      </c>
      <c r="AW36" s="198">
        <f t="shared" si="32"/>
        <v>0</v>
      </c>
      <c r="AX36" s="198">
        <f t="shared" si="33"/>
        <v>0</v>
      </c>
      <c r="AY36" s="198">
        <f t="shared" si="34"/>
        <v>0</v>
      </c>
      <c r="AZ36" s="12"/>
      <c r="BA36" s="4"/>
    </row>
    <row r="37" spans="1:55" x14ac:dyDescent="0.3">
      <c r="A37">
        <v>1018</v>
      </c>
      <c r="B37" t="s">
        <v>86</v>
      </c>
      <c r="C37" s="449"/>
      <c r="D37" s="449"/>
      <c r="E37" s="449"/>
      <c r="F37" s="449"/>
      <c r="G37" s="449"/>
      <c r="H37" s="449"/>
      <c r="I37" s="449"/>
      <c r="J37" s="449"/>
      <c r="K37" s="449"/>
      <c r="L37" s="449"/>
      <c r="M37" s="449"/>
      <c r="N37" s="449"/>
      <c r="O37" s="449"/>
      <c r="P37" s="449"/>
      <c r="Q37" s="449"/>
      <c r="R37" s="451"/>
      <c r="S37" s="451"/>
      <c r="T37" s="451"/>
      <c r="U37" s="451"/>
      <c r="V37" s="451"/>
      <c r="W37" s="453"/>
      <c r="X37" s="451"/>
      <c r="Y37" s="451"/>
      <c r="Z37" s="451"/>
      <c r="AA37" s="451"/>
      <c r="AB37" s="451"/>
      <c r="AC37" s="451"/>
      <c r="AD37" s="451"/>
      <c r="AE37" s="15"/>
      <c r="AF37" s="15"/>
      <c r="AG37" s="15"/>
      <c r="AH37" s="15"/>
      <c r="AI37" s="451"/>
      <c r="AJ37" s="451"/>
      <c r="AK37" s="451"/>
      <c r="AL37" s="451"/>
      <c r="AM37" s="451"/>
      <c r="AN37" s="451"/>
      <c r="AO37" s="451"/>
      <c r="AP37" s="451"/>
      <c r="AQ37" s="15"/>
      <c r="AR37" s="198">
        <f t="shared" si="27"/>
        <v>0</v>
      </c>
      <c r="AS37" s="198">
        <f t="shared" si="28"/>
        <v>0</v>
      </c>
      <c r="AT37" s="198">
        <f t="shared" si="29"/>
        <v>0</v>
      </c>
      <c r="AU37" s="198">
        <f t="shared" si="30"/>
        <v>0</v>
      </c>
      <c r="AV37" s="198">
        <f t="shared" si="31"/>
        <v>0</v>
      </c>
      <c r="AW37" s="198">
        <f t="shared" si="32"/>
        <v>0</v>
      </c>
      <c r="AX37" s="198">
        <f t="shared" si="33"/>
        <v>0</v>
      </c>
      <c r="AY37" s="198">
        <f t="shared" si="34"/>
        <v>0</v>
      </c>
      <c r="AZ37" s="12"/>
      <c r="BA37" s="4"/>
    </row>
    <row r="38" spans="1:55" x14ac:dyDescent="0.3">
      <c r="A38">
        <v>1019</v>
      </c>
      <c r="B38" t="s">
        <v>78</v>
      </c>
      <c r="C38" s="449"/>
      <c r="D38" s="449"/>
      <c r="E38" s="449"/>
      <c r="F38" s="449"/>
      <c r="G38" s="449"/>
      <c r="H38" s="449"/>
      <c r="I38" s="449"/>
      <c r="J38" s="449"/>
      <c r="K38" s="449"/>
      <c r="L38" s="449"/>
      <c r="M38" s="449"/>
      <c r="N38" s="449"/>
      <c r="O38" s="449"/>
      <c r="P38" s="449"/>
      <c r="Q38" s="449"/>
      <c r="R38" s="451"/>
      <c r="S38" s="451"/>
      <c r="T38" s="451"/>
      <c r="U38" s="451"/>
      <c r="V38" s="451"/>
      <c r="W38" s="453"/>
      <c r="X38" s="451"/>
      <c r="Y38" s="451"/>
      <c r="Z38" s="451"/>
      <c r="AA38" s="451"/>
      <c r="AB38" s="451"/>
      <c r="AC38" s="451"/>
      <c r="AD38" s="451"/>
      <c r="AE38" s="15"/>
      <c r="AF38" s="15"/>
      <c r="AG38" s="15"/>
      <c r="AH38" s="15"/>
      <c r="AI38" s="451"/>
      <c r="AJ38" s="451"/>
      <c r="AK38" s="451"/>
      <c r="AL38" s="451"/>
      <c r="AM38" s="451"/>
      <c r="AN38" s="451"/>
      <c r="AO38" s="451"/>
      <c r="AP38" s="451"/>
      <c r="AQ38" s="15"/>
      <c r="AR38" s="198">
        <f t="shared" si="27"/>
        <v>0</v>
      </c>
      <c r="AS38" s="198">
        <f t="shared" si="28"/>
        <v>0</v>
      </c>
      <c r="AT38" s="198">
        <f t="shared" si="29"/>
        <v>0</v>
      </c>
      <c r="AU38" s="198">
        <f t="shared" si="30"/>
        <v>0</v>
      </c>
      <c r="AV38" s="198">
        <f t="shared" si="31"/>
        <v>0</v>
      </c>
      <c r="AW38" s="198">
        <f t="shared" si="32"/>
        <v>0</v>
      </c>
      <c r="AX38" s="198">
        <f t="shared" si="33"/>
        <v>0</v>
      </c>
      <c r="AY38" s="198">
        <f t="shared" si="34"/>
        <v>0</v>
      </c>
      <c r="AZ38" s="12"/>
      <c r="BA38" s="4"/>
    </row>
    <row r="39" spans="1:55" ht="15.3" thickBot="1" x14ac:dyDescent="0.35">
      <c r="B39" s="49" t="s">
        <v>217</v>
      </c>
      <c r="C39" s="449"/>
      <c r="D39" s="449"/>
      <c r="E39" s="449"/>
      <c r="F39" s="449"/>
      <c r="G39" s="449"/>
      <c r="H39" s="449"/>
      <c r="I39" s="449"/>
      <c r="J39" s="449"/>
      <c r="K39" s="449"/>
      <c r="L39" s="449"/>
      <c r="M39" s="449"/>
      <c r="N39" s="449"/>
      <c r="O39" s="449"/>
      <c r="P39" s="449"/>
      <c r="Q39" s="449"/>
      <c r="R39" s="451"/>
      <c r="S39" s="451"/>
      <c r="T39" s="451"/>
      <c r="U39" s="451"/>
      <c r="V39" s="451"/>
      <c r="W39" s="456"/>
      <c r="X39" s="451"/>
      <c r="Y39" s="451"/>
      <c r="Z39" s="451"/>
      <c r="AA39" s="451"/>
      <c r="AB39" s="451"/>
      <c r="AC39" s="451"/>
      <c r="AD39" s="451"/>
      <c r="AE39" s="15"/>
      <c r="AF39" s="15"/>
      <c r="AG39" s="15"/>
      <c r="AH39" s="15"/>
      <c r="AI39" s="451"/>
      <c r="AJ39" s="451"/>
      <c r="AK39" s="451"/>
      <c r="AL39" s="451"/>
      <c r="AM39" s="451"/>
      <c r="AN39" s="451"/>
      <c r="AO39" s="451"/>
      <c r="AP39" s="451"/>
      <c r="AQ39" s="15"/>
      <c r="AR39" s="198">
        <f t="shared" si="27"/>
        <v>0</v>
      </c>
      <c r="AS39" s="198">
        <f t="shared" si="28"/>
        <v>0</v>
      </c>
      <c r="AT39" s="198">
        <f t="shared" si="29"/>
        <v>0</v>
      </c>
      <c r="AU39" s="198">
        <f t="shared" si="30"/>
        <v>0</v>
      </c>
      <c r="AV39" s="198">
        <f t="shared" si="31"/>
        <v>0</v>
      </c>
      <c r="AW39" s="198">
        <f t="shared" si="32"/>
        <v>0</v>
      </c>
      <c r="AX39" s="198">
        <f t="shared" si="33"/>
        <v>0</v>
      </c>
      <c r="AY39" s="198">
        <f t="shared" si="34"/>
        <v>0</v>
      </c>
      <c r="AZ39" s="12"/>
      <c r="BA39" s="4"/>
    </row>
    <row r="40" spans="1:55" x14ac:dyDescent="0.3">
      <c r="A40">
        <v>1015</v>
      </c>
      <c r="B40" t="s">
        <v>335</v>
      </c>
      <c r="C40" s="449"/>
      <c r="D40" s="449"/>
      <c r="E40" s="449"/>
      <c r="F40" s="449"/>
      <c r="G40" s="449"/>
      <c r="H40" s="449"/>
      <c r="I40" s="449"/>
      <c r="J40" s="449"/>
      <c r="K40" s="449"/>
      <c r="L40" s="449"/>
      <c r="M40" s="449"/>
      <c r="N40" s="449"/>
      <c r="O40" s="449"/>
      <c r="P40" s="449"/>
      <c r="Q40" s="449"/>
      <c r="R40" s="451"/>
      <c r="S40" s="451"/>
      <c r="T40" s="451"/>
      <c r="U40" s="451"/>
      <c r="V40" s="451"/>
      <c r="W40" s="451"/>
      <c r="X40" s="455"/>
      <c r="Y40" s="451"/>
      <c r="Z40" s="451"/>
      <c r="AA40" s="451"/>
      <c r="AB40" s="451"/>
      <c r="AC40" s="451"/>
      <c r="AD40" s="451"/>
      <c r="AE40" s="4"/>
      <c r="AF40" s="4"/>
      <c r="AG40" s="4"/>
      <c r="AH40" s="4"/>
      <c r="AI40" s="429"/>
      <c r="AJ40" s="429"/>
      <c r="AK40" s="429"/>
      <c r="AL40" s="429"/>
      <c r="AM40" s="429"/>
      <c r="AN40" s="429"/>
      <c r="AO40" s="429"/>
      <c r="AP40" s="429"/>
      <c r="AQ40" s="15"/>
      <c r="AR40" s="198">
        <f t="shared" si="27"/>
        <v>0</v>
      </c>
      <c r="AS40" s="198">
        <f t="shared" si="28"/>
        <v>0</v>
      </c>
      <c r="AT40" s="198">
        <f t="shared" si="29"/>
        <v>0</v>
      </c>
      <c r="AU40" s="198">
        <f t="shared" si="30"/>
        <v>0</v>
      </c>
      <c r="AV40" s="198">
        <f t="shared" si="31"/>
        <v>0</v>
      </c>
      <c r="AW40" s="198">
        <f t="shared" si="32"/>
        <v>0</v>
      </c>
      <c r="AX40" s="198">
        <f t="shared" si="33"/>
        <v>0</v>
      </c>
      <c r="AY40" s="198">
        <f t="shared" si="34"/>
        <v>0</v>
      </c>
      <c r="AZ40" s="12"/>
      <c r="BA40" s="4"/>
    </row>
    <row r="41" spans="1:55" x14ac:dyDescent="0.3">
      <c r="B41" t="s">
        <v>245</v>
      </c>
      <c r="G41" s="449"/>
      <c r="H41" s="449"/>
      <c r="I41" s="449"/>
      <c r="J41" s="449"/>
      <c r="K41" s="449"/>
      <c r="L41" s="449"/>
      <c r="M41" s="449"/>
      <c r="N41" s="449"/>
      <c r="O41" s="449"/>
      <c r="P41" s="449"/>
      <c r="Q41" s="449"/>
      <c r="R41" s="451"/>
      <c r="S41" s="451"/>
      <c r="T41" s="451"/>
      <c r="U41" s="451"/>
      <c r="V41" s="451"/>
      <c r="W41" s="451"/>
      <c r="X41" s="451"/>
      <c r="Y41" s="451"/>
      <c r="Z41" s="451"/>
      <c r="AA41" s="451"/>
      <c r="AB41" s="451"/>
      <c r="AC41" s="451"/>
      <c r="AD41" s="451"/>
      <c r="AI41" s="429"/>
      <c r="AJ41" s="429"/>
      <c r="AK41" s="429"/>
      <c r="AL41" s="429"/>
      <c r="AM41" s="429"/>
      <c r="AN41" s="429"/>
      <c r="AO41" s="429"/>
      <c r="AP41" s="429"/>
      <c r="AR41" s="198">
        <f t="shared" si="27"/>
        <v>0</v>
      </c>
      <c r="AS41" s="198">
        <f t="shared" si="28"/>
        <v>0</v>
      </c>
      <c r="AT41" s="198">
        <f t="shared" si="29"/>
        <v>0</v>
      </c>
      <c r="AU41" s="198">
        <f t="shared" si="30"/>
        <v>0</v>
      </c>
      <c r="AV41" s="198">
        <f t="shared" si="31"/>
        <v>0</v>
      </c>
      <c r="AW41" s="198">
        <f t="shared" si="32"/>
        <v>0</v>
      </c>
      <c r="AX41" s="198">
        <f t="shared" si="33"/>
        <v>0</v>
      </c>
      <c r="AY41" s="198">
        <f t="shared" si="34"/>
        <v>0</v>
      </c>
      <c r="BA41" s="4"/>
    </row>
    <row r="42" spans="1:55" x14ac:dyDescent="0.3">
      <c r="A42">
        <v>1048</v>
      </c>
      <c r="B42" t="s">
        <v>236</v>
      </c>
      <c r="M42" s="449"/>
      <c r="N42" s="449"/>
      <c r="O42" s="449"/>
      <c r="P42" s="449"/>
      <c r="Q42" s="449"/>
      <c r="R42" s="451"/>
      <c r="S42" s="451"/>
      <c r="T42" s="451"/>
      <c r="U42" s="451"/>
      <c r="V42" s="451"/>
      <c r="W42" s="451"/>
      <c r="X42" s="451"/>
      <c r="Y42" s="451"/>
      <c r="Z42" s="451"/>
      <c r="AA42" s="451"/>
      <c r="AB42" s="451"/>
      <c r="AC42" s="451"/>
      <c r="AD42" s="451"/>
      <c r="AI42" s="429"/>
      <c r="AJ42" s="429"/>
      <c r="AK42" s="429"/>
      <c r="AL42" s="429"/>
      <c r="AM42" s="429"/>
      <c r="AN42" s="429"/>
      <c r="AO42" s="429"/>
      <c r="AP42" s="429"/>
      <c r="AR42" s="198">
        <f t="shared" si="27"/>
        <v>0</v>
      </c>
      <c r="AS42" s="198">
        <f t="shared" si="28"/>
        <v>0</v>
      </c>
      <c r="AT42" s="198">
        <f t="shared" si="29"/>
        <v>0</v>
      </c>
      <c r="AU42" s="198">
        <f t="shared" si="30"/>
        <v>0</v>
      </c>
      <c r="AV42" s="198">
        <f t="shared" si="31"/>
        <v>0</v>
      </c>
      <c r="AW42" s="198">
        <f t="shared" si="32"/>
        <v>0</v>
      </c>
      <c r="AX42" s="198">
        <f t="shared" si="33"/>
        <v>0</v>
      </c>
      <c r="AY42" s="198">
        <f t="shared" si="34"/>
        <v>0</v>
      </c>
      <c r="BA42" s="4"/>
    </row>
    <row r="43" spans="1:55" x14ac:dyDescent="0.3">
      <c r="BA43" s="4"/>
    </row>
    <row r="44" spans="1:55" x14ac:dyDescent="0.3">
      <c r="B44" s="1" t="s">
        <v>254</v>
      </c>
      <c r="R44" s="25"/>
      <c r="BA44" s="4"/>
    </row>
    <row r="45" spans="1:55" x14ac:dyDescent="0.3">
      <c r="A45">
        <v>1012</v>
      </c>
      <c r="B45" t="s">
        <v>83</v>
      </c>
      <c r="R45" s="15"/>
      <c r="S45" s="15"/>
      <c r="T45" s="15"/>
      <c r="U45" s="15"/>
      <c r="V45" s="15"/>
      <c r="W45" s="451"/>
      <c r="X45" s="451"/>
      <c r="Y45" s="451"/>
      <c r="Z45" s="451"/>
      <c r="AA45" s="451"/>
      <c r="AB45" s="451"/>
      <c r="AC45" s="451"/>
      <c r="AD45" s="451"/>
      <c r="AE45" s="15"/>
      <c r="AF45" s="15"/>
      <c r="AG45" s="15"/>
      <c r="AH45" s="15"/>
      <c r="AI45" s="451"/>
      <c r="AJ45" s="451"/>
      <c r="AK45" s="451"/>
      <c r="AL45" s="451"/>
      <c r="AM45" s="451"/>
      <c r="AN45" s="451"/>
      <c r="AO45" s="451"/>
      <c r="AP45" s="451"/>
      <c r="AR45" s="198">
        <f t="shared" ref="AR45:AR59" si="43">IF(ISERROR((AI45-W45)/W45),0,(AI45-W45)/W45)</f>
        <v>0</v>
      </c>
      <c r="AS45" s="198">
        <f t="shared" ref="AS45:AS59" si="44">IF(ISERROR((AJ45-X45)/X45),0,(AJ45-X45)/X45)</f>
        <v>0</v>
      </c>
      <c r="AT45" s="198">
        <f t="shared" ref="AT45:AT59" si="45">IF(ISERROR((AK45-Y45)/Y45),0,(AK45-Y45)/Y45)</f>
        <v>0</v>
      </c>
      <c r="AU45" s="198">
        <f t="shared" ref="AU45:AU59" si="46">IF(ISERROR((AL45-Z45)/Z45),0,(AL45-Z45)/Z45)</f>
        <v>0</v>
      </c>
      <c r="AV45" s="198">
        <f t="shared" ref="AV45:AV59" si="47">IF(ISERROR((AM45-AA45)/AA45),0,(AM45-AA45)/AA45)</f>
        <v>0</v>
      </c>
      <c r="AW45" s="198">
        <f t="shared" ref="AW45:AW59" si="48">IF(ISERROR((AN45-AB45)/AB45),0,(AN45-AB45)/AB45)</f>
        <v>0</v>
      </c>
      <c r="AX45" s="198">
        <f t="shared" ref="AX45:AX59" si="49">IF(ISERROR((AO45-AC45)/AC45),0,(AO45-AC45)/AC45)</f>
        <v>0</v>
      </c>
      <c r="AY45" s="198">
        <f t="shared" ref="AY45:AY59" si="50">IF(ISERROR((AP45-AD45)/AD45),0,(AP45-AD45)/AD45)</f>
        <v>0</v>
      </c>
      <c r="AZ45" s="12"/>
      <c r="BA45" s="4"/>
    </row>
    <row r="46" spans="1:55" x14ac:dyDescent="0.3">
      <c r="A46">
        <v>1012</v>
      </c>
      <c r="B46" t="s">
        <v>92</v>
      </c>
      <c r="R46" s="15"/>
      <c r="S46" s="15"/>
      <c r="T46" s="15"/>
      <c r="U46" s="15"/>
      <c r="V46" s="15"/>
      <c r="W46" s="451"/>
      <c r="X46" s="451"/>
      <c r="Y46" s="451"/>
      <c r="Z46" s="451"/>
      <c r="AA46" s="451"/>
      <c r="AB46" s="451"/>
      <c r="AC46" s="451"/>
      <c r="AD46" s="451"/>
      <c r="AE46" s="15"/>
      <c r="AF46" s="15"/>
      <c r="AG46" s="15"/>
      <c r="AH46" s="15"/>
      <c r="AI46" s="451"/>
      <c r="AJ46" s="451"/>
      <c r="AK46" s="451"/>
      <c r="AL46" s="451"/>
      <c r="AM46" s="451"/>
      <c r="AN46" s="451"/>
      <c r="AO46" s="451"/>
      <c r="AP46" s="451"/>
      <c r="AR46" s="198">
        <f t="shared" si="43"/>
        <v>0</v>
      </c>
      <c r="AS46" s="198">
        <f t="shared" si="44"/>
        <v>0</v>
      </c>
      <c r="AT46" s="198">
        <f t="shared" si="45"/>
        <v>0</v>
      </c>
      <c r="AU46" s="198">
        <f t="shared" si="46"/>
        <v>0</v>
      </c>
      <c r="AV46" s="198">
        <f t="shared" si="47"/>
        <v>0</v>
      </c>
      <c r="AW46" s="198">
        <f t="shared" si="48"/>
        <v>0</v>
      </c>
      <c r="AX46" s="198">
        <f t="shared" si="49"/>
        <v>0</v>
      </c>
      <c r="AY46" s="198">
        <f t="shared" si="50"/>
        <v>0</v>
      </c>
      <c r="AZ46" s="12"/>
      <c r="BA46" s="4"/>
    </row>
    <row r="47" spans="1:55" x14ac:dyDescent="0.3">
      <c r="B47" t="s">
        <v>121</v>
      </c>
      <c r="R47" s="15"/>
      <c r="S47" s="15"/>
      <c r="T47" s="15"/>
      <c r="U47" s="15"/>
      <c r="V47" s="15"/>
      <c r="W47" s="451"/>
      <c r="X47" s="451"/>
      <c r="Y47" s="451"/>
      <c r="Z47" s="451"/>
      <c r="AA47" s="451"/>
      <c r="AB47" s="451"/>
      <c r="AC47" s="451"/>
      <c r="AD47" s="451"/>
      <c r="AE47" s="15"/>
      <c r="AF47" s="15"/>
      <c r="AG47" s="15"/>
      <c r="AH47" s="15"/>
      <c r="AI47" s="451"/>
      <c r="AJ47" s="451"/>
      <c r="AK47" s="451"/>
      <c r="AL47" s="451"/>
      <c r="AM47" s="451"/>
      <c r="AN47" s="451"/>
      <c r="AO47" s="451"/>
      <c r="AP47" s="451"/>
      <c r="AR47" s="198">
        <f t="shared" si="43"/>
        <v>0</v>
      </c>
      <c r="AS47" s="198">
        <f t="shared" si="44"/>
        <v>0</v>
      </c>
      <c r="AT47" s="198">
        <f t="shared" si="45"/>
        <v>0</v>
      </c>
      <c r="AU47" s="198">
        <f t="shared" si="46"/>
        <v>0</v>
      </c>
      <c r="AV47" s="198">
        <f t="shared" si="47"/>
        <v>0</v>
      </c>
      <c r="AW47" s="198">
        <f t="shared" si="48"/>
        <v>0</v>
      </c>
      <c r="AX47" s="198">
        <f t="shared" si="49"/>
        <v>0</v>
      </c>
      <c r="AY47" s="198">
        <f t="shared" si="50"/>
        <v>0</v>
      </c>
      <c r="AZ47" s="12"/>
      <c r="BA47" s="4"/>
    </row>
    <row r="48" spans="1:55" x14ac:dyDescent="0.3">
      <c r="B48" s="14" t="s">
        <v>93</v>
      </c>
      <c r="R48" s="15"/>
      <c r="S48" s="15"/>
      <c r="T48" s="15"/>
      <c r="U48" s="15"/>
      <c r="V48" s="15"/>
      <c r="W48" s="451"/>
      <c r="X48" s="451"/>
      <c r="Y48" s="451"/>
      <c r="Z48" s="451"/>
      <c r="AA48" s="451"/>
      <c r="AB48" s="451"/>
      <c r="AC48" s="451"/>
      <c r="AD48" s="451"/>
      <c r="AE48" s="15"/>
      <c r="AF48" s="15"/>
      <c r="AG48" s="15"/>
      <c r="AH48" s="15"/>
      <c r="AI48" s="451"/>
      <c r="AJ48" s="451"/>
      <c r="AK48" s="451"/>
      <c r="AL48" s="451"/>
      <c r="AM48" s="451"/>
      <c r="AN48" s="451"/>
      <c r="AO48" s="451"/>
      <c r="AP48" s="451"/>
      <c r="AR48" s="198">
        <f t="shared" si="43"/>
        <v>0</v>
      </c>
      <c r="AS48" s="198">
        <f t="shared" si="44"/>
        <v>0</v>
      </c>
      <c r="AT48" s="198">
        <f t="shared" si="45"/>
        <v>0</v>
      </c>
      <c r="AU48" s="198">
        <f t="shared" si="46"/>
        <v>0</v>
      </c>
      <c r="AV48" s="198">
        <f t="shared" si="47"/>
        <v>0</v>
      </c>
      <c r="AW48" s="198">
        <f t="shared" si="48"/>
        <v>0</v>
      </c>
      <c r="AX48" s="198">
        <f t="shared" si="49"/>
        <v>0</v>
      </c>
      <c r="AY48" s="198">
        <f t="shared" si="50"/>
        <v>0</v>
      </c>
      <c r="AZ48" s="12"/>
      <c r="BA48" s="4"/>
    </row>
    <row r="49" spans="1:53" x14ac:dyDescent="0.3">
      <c r="B49" s="14" t="s">
        <v>271</v>
      </c>
      <c r="R49" s="15"/>
      <c r="S49" s="15"/>
      <c r="T49" s="15"/>
      <c r="U49" s="15"/>
      <c r="V49" s="15"/>
      <c r="W49" s="451"/>
      <c r="X49" s="451"/>
      <c r="Y49" s="451"/>
      <c r="Z49" s="451"/>
      <c r="AA49" s="451"/>
      <c r="AB49" s="451"/>
      <c r="AC49" s="451"/>
      <c r="AD49" s="451"/>
      <c r="AE49" s="15"/>
      <c r="AF49" s="15"/>
      <c r="AG49" s="15"/>
      <c r="AH49" s="15"/>
      <c r="AI49" s="451"/>
      <c r="AJ49" s="451"/>
      <c r="AK49" s="451"/>
      <c r="AL49" s="451"/>
      <c r="AM49" s="451"/>
      <c r="AN49" s="451"/>
      <c r="AO49" s="451"/>
      <c r="AP49" s="451"/>
      <c r="AR49" s="198">
        <f t="shared" ref="AR49:AR50" si="51">IF(ISERROR((AI49-W49)/W49),0,(AI49-W49)/W49)</f>
        <v>0</v>
      </c>
      <c r="AS49" s="198">
        <f t="shared" ref="AS49:AS50" si="52">IF(ISERROR((AJ49-X49)/X49),0,(AJ49-X49)/X49)</f>
        <v>0</v>
      </c>
      <c r="AT49" s="198">
        <f t="shared" ref="AT49:AT50" si="53">IF(ISERROR((AK49-Y49)/Y49),0,(AK49-Y49)/Y49)</f>
        <v>0</v>
      </c>
      <c r="AU49" s="198">
        <f t="shared" ref="AU49:AU50" si="54">IF(ISERROR((AL49-Z49)/Z49),0,(AL49-Z49)/Z49)</f>
        <v>0</v>
      </c>
      <c r="AV49" s="198">
        <f t="shared" ref="AV49:AV50" si="55">IF(ISERROR((AM49-AA49)/AA49),0,(AM49-AA49)/AA49)</f>
        <v>0</v>
      </c>
      <c r="AW49" s="198">
        <f t="shared" ref="AW49:AW50" si="56">IF(ISERROR((AN49-AB49)/AB49),0,(AN49-AB49)/AB49)</f>
        <v>0</v>
      </c>
      <c r="AX49" s="198">
        <f t="shared" ref="AX49:AX50" si="57">IF(ISERROR((AO49-AC49)/AC49),0,(AO49-AC49)/AC49)</f>
        <v>0</v>
      </c>
      <c r="AY49" s="198">
        <f t="shared" ref="AY49:AY50" si="58">IF(ISERROR((AP49-AD49)/AD49),0,(AP49-AD49)/AD49)</f>
        <v>0</v>
      </c>
      <c r="AZ49" s="12"/>
      <c r="BA49" s="4"/>
    </row>
    <row r="50" spans="1:53" x14ac:dyDescent="0.3">
      <c r="B50" s="14" t="s">
        <v>183</v>
      </c>
      <c r="R50" s="15"/>
      <c r="S50" s="15"/>
      <c r="T50" s="15"/>
      <c r="U50" s="15"/>
      <c r="V50" s="15"/>
      <c r="W50" s="451"/>
      <c r="X50" s="451"/>
      <c r="Y50" s="451"/>
      <c r="Z50" s="451"/>
      <c r="AA50" s="451"/>
      <c r="AB50" s="451"/>
      <c r="AC50" s="451"/>
      <c r="AD50" s="451"/>
      <c r="AE50" s="15"/>
      <c r="AF50" s="15"/>
      <c r="AG50" s="15"/>
      <c r="AH50" s="15"/>
      <c r="AI50" s="451"/>
      <c r="AJ50" s="451"/>
      <c r="AK50" s="451"/>
      <c r="AL50" s="451"/>
      <c r="AM50" s="451"/>
      <c r="AN50" s="451"/>
      <c r="AO50" s="451"/>
      <c r="AP50" s="451"/>
      <c r="AR50" s="198">
        <f t="shared" si="51"/>
        <v>0</v>
      </c>
      <c r="AS50" s="198">
        <f t="shared" si="52"/>
        <v>0</v>
      </c>
      <c r="AT50" s="198">
        <f t="shared" si="53"/>
        <v>0</v>
      </c>
      <c r="AU50" s="198">
        <f t="shared" si="54"/>
        <v>0</v>
      </c>
      <c r="AV50" s="198">
        <f t="shared" si="55"/>
        <v>0</v>
      </c>
      <c r="AW50" s="198">
        <f t="shared" si="56"/>
        <v>0</v>
      </c>
      <c r="AX50" s="198">
        <f t="shared" si="57"/>
        <v>0</v>
      </c>
      <c r="AY50" s="198">
        <f t="shared" si="58"/>
        <v>0</v>
      </c>
      <c r="AZ50" s="12"/>
      <c r="BA50" s="4"/>
    </row>
    <row r="51" spans="1:53" x14ac:dyDescent="0.3">
      <c r="A51">
        <v>1013</v>
      </c>
      <c r="B51" t="s">
        <v>84</v>
      </c>
      <c r="R51" s="15"/>
      <c r="S51" s="15"/>
      <c r="T51" s="15"/>
      <c r="U51" s="15"/>
      <c r="V51" s="15"/>
      <c r="W51" s="451"/>
      <c r="X51" s="451"/>
      <c r="Y51" s="451"/>
      <c r="Z51" s="451"/>
      <c r="AA51" s="451"/>
      <c r="AB51" s="451"/>
      <c r="AC51" s="451"/>
      <c r="AD51" s="451"/>
      <c r="AE51" s="15"/>
      <c r="AF51" s="15"/>
      <c r="AG51" s="15"/>
      <c r="AH51" s="15"/>
      <c r="AI51" s="451"/>
      <c r="AJ51" s="451"/>
      <c r="AK51" s="451"/>
      <c r="AL51" s="451"/>
      <c r="AM51" s="451"/>
      <c r="AN51" s="451"/>
      <c r="AO51" s="451"/>
      <c r="AP51" s="451"/>
      <c r="AR51" s="198">
        <f t="shared" si="43"/>
        <v>0</v>
      </c>
      <c r="AS51" s="198">
        <f t="shared" si="44"/>
        <v>0</v>
      </c>
      <c r="AT51" s="198">
        <f t="shared" si="45"/>
        <v>0</v>
      </c>
      <c r="AU51" s="198">
        <f t="shared" si="46"/>
        <v>0</v>
      </c>
      <c r="AV51" s="198">
        <f t="shared" si="47"/>
        <v>0</v>
      </c>
      <c r="AW51" s="198">
        <f t="shared" si="48"/>
        <v>0</v>
      </c>
      <c r="AX51" s="198">
        <f t="shared" si="49"/>
        <v>0</v>
      </c>
      <c r="AY51" s="198">
        <f t="shared" si="50"/>
        <v>0</v>
      </c>
      <c r="AZ51" s="12"/>
      <c r="BA51" s="4"/>
    </row>
    <row r="52" spans="1:53" x14ac:dyDescent="0.3">
      <c r="A52">
        <v>1014</v>
      </c>
      <c r="B52" t="s">
        <v>85</v>
      </c>
      <c r="R52" s="15"/>
      <c r="S52" s="15"/>
      <c r="T52" s="15"/>
      <c r="U52" s="15"/>
      <c r="V52" s="15"/>
      <c r="W52" s="451"/>
      <c r="X52" s="451"/>
      <c r="Y52" s="451"/>
      <c r="Z52" s="451"/>
      <c r="AA52" s="451"/>
      <c r="AB52" s="451"/>
      <c r="AC52" s="451"/>
      <c r="AD52" s="451"/>
      <c r="AE52" s="15"/>
      <c r="AF52" s="15"/>
      <c r="AG52" s="15"/>
      <c r="AH52" s="15"/>
      <c r="AI52" s="451"/>
      <c r="AJ52" s="451"/>
      <c r="AK52" s="451"/>
      <c r="AL52" s="451"/>
      <c r="AM52" s="451"/>
      <c r="AN52" s="451"/>
      <c r="AO52" s="451"/>
      <c r="AP52" s="451"/>
      <c r="AR52" s="198">
        <f t="shared" si="43"/>
        <v>0</v>
      </c>
      <c r="AS52" s="198">
        <f t="shared" si="44"/>
        <v>0</v>
      </c>
      <c r="AT52" s="198">
        <f t="shared" si="45"/>
        <v>0</v>
      </c>
      <c r="AU52" s="198">
        <f t="shared" si="46"/>
        <v>0</v>
      </c>
      <c r="AV52" s="198">
        <f t="shared" si="47"/>
        <v>0</v>
      </c>
      <c r="AW52" s="198">
        <f t="shared" si="48"/>
        <v>0</v>
      </c>
      <c r="AX52" s="198">
        <f t="shared" si="49"/>
        <v>0</v>
      </c>
      <c r="AY52" s="198">
        <f t="shared" si="50"/>
        <v>0</v>
      </c>
      <c r="AZ52" s="12"/>
      <c r="BA52" s="4"/>
    </row>
    <row r="53" spans="1:53" x14ac:dyDescent="0.3">
      <c r="B53" t="s">
        <v>179</v>
      </c>
      <c r="R53" s="15"/>
      <c r="S53" s="15"/>
      <c r="T53" s="15"/>
      <c r="U53" s="15"/>
      <c r="V53" s="15"/>
      <c r="W53" s="451"/>
      <c r="X53" s="451"/>
      <c r="Y53" s="451"/>
      <c r="Z53" s="451"/>
      <c r="AA53" s="451"/>
      <c r="AB53" s="451"/>
      <c r="AC53" s="451"/>
      <c r="AD53" s="451"/>
      <c r="AE53" s="15"/>
      <c r="AF53" s="15"/>
      <c r="AG53" s="15"/>
      <c r="AH53" s="15"/>
      <c r="AI53" s="451"/>
      <c r="AJ53" s="451"/>
      <c r="AK53" s="451"/>
      <c r="AL53" s="451"/>
      <c r="AM53" s="451"/>
      <c r="AN53" s="451"/>
      <c r="AO53" s="451"/>
      <c r="AP53" s="451"/>
      <c r="AR53" s="198">
        <f t="shared" si="43"/>
        <v>0</v>
      </c>
      <c r="AS53" s="198">
        <f t="shared" si="44"/>
        <v>0</v>
      </c>
      <c r="AT53" s="198">
        <f t="shared" si="45"/>
        <v>0</v>
      </c>
      <c r="AU53" s="198">
        <f t="shared" si="46"/>
        <v>0</v>
      </c>
      <c r="AV53" s="198">
        <f t="shared" si="47"/>
        <v>0</v>
      </c>
      <c r="AW53" s="198">
        <f t="shared" si="48"/>
        <v>0</v>
      </c>
      <c r="AX53" s="198">
        <f t="shared" si="49"/>
        <v>0</v>
      </c>
      <c r="AY53" s="198">
        <f t="shared" si="50"/>
        <v>0</v>
      </c>
      <c r="AZ53" s="12"/>
      <c r="BA53" s="4"/>
    </row>
    <row r="54" spans="1:53" x14ac:dyDescent="0.3">
      <c r="A54">
        <v>1018</v>
      </c>
      <c r="B54" t="s">
        <v>86</v>
      </c>
      <c r="R54" s="15"/>
      <c r="S54" s="15"/>
      <c r="T54" s="15"/>
      <c r="U54" s="15"/>
      <c r="V54" s="15"/>
      <c r="W54" s="451"/>
      <c r="X54" s="451"/>
      <c r="Y54" s="451"/>
      <c r="Z54" s="451"/>
      <c r="AA54" s="451"/>
      <c r="AB54" s="451"/>
      <c r="AC54" s="451"/>
      <c r="AD54" s="451"/>
      <c r="AE54" s="15"/>
      <c r="AF54" s="15"/>
      <c r="AG54" s="15"/>
      <c r="AH54" s="15"/>
      <c r="AI54" s="451"/>
      <c r="AJ54" s="451"/>
      <c r="AK54" s="451"/>
      <c r="AL54" s="451"/>
      <c r="AM54" s="451"/>
      <c r="AN54" s="451"/>
      <c r="AO54" s="451"/>
      <c r="AP54" s="451"/>
      <c r="AR54" s="198">
        <f t="shared" si="43"/>
        <v>0</v>
      </c>
      <c r="AS54" s="198">
        <f t="shared" si="44"/>
        <v>0</v>
      </c>
      <c r="AT54" s="198">
        <f t="shared" si="45"/>
        <v>0</v>
      </c>
      <c r="AU54" s="198">
        <f t="shared" si="46"/>
        <v>0</v>
      </c>
      <c r="AV54" s="198">
        <f t="shared" si="47"/>
        <v>0</v>
      </c>
      <c r="AW54" s="198">
        <f t="shared" si="48"/>
        <v>0</v>
      </c>
      <c r="AX54" s="198">
        <f t="shared" si="49"/>
        <v>0</v>
      </c>
      <c r="AY54" s="198">
        <f t="shared" si="50"/>
        <v>0</v>
      </c>
      <c r="AZ54" s="12"/>
      <c r="BA54" s="4"/>
    </row>
    <row r="55" spans="1:53" x14ac:dyDescent="0.3">
      <c r="A55">
        <v>1019</v>
      </c>
      <c r="B55" t="s">
        <v>78</v>
      </c>
      <c r="R55" s="15"/>
      <c r="S55" s="15"/>
      <c r="T55" s="15"/>
      <c r="U55" s="15"/>
      <c r="V55" s="15"/>
      <c r="W55" s="451"/>
      <c r="X55" s="451"/>
      <c r="Y55" s="451"/>
      <c r="Z55" s="451"/>
      <c r="AA55" s="451"/>
      <c r="AB55" s="451"/>
      <c r="AC55" s="451"/>
      <c r="AD55" s="451"/>
      <c r="AE55" s="15"/>
      <c r="AF55" s="15"/>
      <c r="AG55" s="15"/>
      <c r="AH55" s="15"/>
      <c r="AI55" s="451"/>
      <c r="AJ55" s="451"/>
      <c r="AK55" s="451"/>
      <c r="AL55" s="451"/>
      <c r="AM55" s="451"/>
      <c r="AN55" s="451"/>
      <c r="AO55" s="451"/>
      <c r="AP55" s="451"/>
      <c r="AR55" s="198">
        <f t="shared" si="43"/>
        <v>0</v>
      </c>
      <c r="AS55" s="198">
        <f t="shared" si="44"/>
        <v>0</v>
      </c>
      <c r="AT55" s="198">
        <f t="shared" si="45"/>
        <v>0</v>
      </c>
      <c r="AU55" s="198">
        <f t="shared" si="46"/>
        <v>0</v>
      </c>
      <c r="AV55" s="198">
        <f t="shared" si="47"/>
        <v>0</v>
      </c>
      <c r="AW55" s="198">
        <f t="shared" si="48"/>
        <v>0</v>
      </c>
      <c r="AX55" s="198">
        <f t="shared" si="49"/>
        <v>0</v>
      </c>
      <c r="AY55" s="198">
        <f t="shared" si="50"/>
        <v>0</v>
      </c>
      <c r="AZ55" s="12"/>
      <c r="BA55" s="4"/>
    </row>
    <row r="56" spans="1:53" x14ac:dyDescent="0.3">
      <c r="B56" s="49" t="s">
        <v>217</v>
      </c>
      <c r="R56" s="15"/>
      <c r="S56" s="15"/>
      <c r="T56" s="15"/>
      <c r="U56" s="15"/>
      <c r="V56" s="15"/>
      <c r="W56" s="451"/>
      <c r="X56" s="451"/>
      <c r="Y56" s="451"/>
      <c r="Z56" s="451"/>
      <c r="AA56" s="451"/>
      <c r="AB56" s="451"/>
      <c r="AC56" s="451"/>
      <c r="AD56" s="451"/>
      <c r="AE56" s="15"/>
      <c r="AF56" s="15"/>
      <c r="AG56" s="15"/>
      <c r="AH56" s="15"/>
      <c r="AI56" s="451"/>
      <c r="AJ56" s="451"/>
      <c r="AK56" s="451"/>
      <c r="AL56" s="451"/>
      <c r="AM56" s="451"/>
      <c r="AN56" s="451"/>
      <c r="AO56" s="451"/>
      <c r="AP56" s="451"/>
      <c r="AR56" s="198">
        <f t="shared" si="43"/>
        <v>0</v>
      </c>
      <c r="AS56" s="198">
        <f t="shared" si="44"/>
        <v>0</v>
      </c>
      <c r="AT56" s="198">
        <f t="shared" si="45"/>
        <v>0</v>
      </c>
      <c r="AU56" s="198">
        <f t="shared" si="46"/>
        <v>0</v>
      </c>
      <c r="AV56" s="198">
        <f t="shared" si="47"/>
        <v>0</v>
      </c>
      <c r="AW56" s="198">
        <f t="shared" si="48"/>
        <v>0</v>
      </c>
      <c r="AX56" s="198">
        <f t="shared" si="49"/>
        <v>0</v>
      </c>
      <c r="AY56" s="198">
        <f t="shared" si="50"/>
        <v>0</v>
      </c>
      <c r="AZ56" s="12"/>
      <c r="BA56" s="4"/>
    </row>
    <row r="57" spans="1:53" x14ac:dyDescent="0.3">
      <c r="A57">
        <v>1015</v>
      </c>
      <c r="B57" t="s">
        <v>335</v>
      </c>
      <c r="R57" s="15"/>
      <c r="S57" s="15"/>
      <c r="T57" s="15"/>
      <c r="U57" s="15"/>
      <c r="V57" s="15"/>
      <c r="W57" s="451"/>
      <c r="X57" s="451"/>
      <c r="Y57" s="451"/>
      <c r="Z57" s="451"/>
      <c r="AA57" s="451"/>
      <c r="AB57" s="451"/>
      <c r="AC57" s="451"/>
      <c r="AD57" s="451"/>
      <c r="AE57" s="4"/>
      <c r="AF57" s="4"/>
      <c r="AG57" s="4"/>
      <c r="AH57" s="4"/>
      <c r="AI57" s="429"/>
      <c r="AJ57" s="429"/>
      <c r="AK57" s="429"/>
      <c r="AL57" s="429"/>
      <c r="AM57" s="429"/>
      <c r="AN57" s="429"/>
      <c r="AO57" s="429"/>
      <c r="AP57" s="429"/>
      <c r="AR57" s="198">
        <f t="shared" si="43"/>
        <v>0</v>
      </c>
      <c r="AS57" s="198">
        <f t="shared" si="44"/>
        <v>0</v>
      </c>
      <c r="AT57" s="198">
        <f t="shared" si="45"/>
        <v>0</v>
      </c>
      <c r="AU57" s="198">
        <f t="shared" si="46"/>
        <v>0</v>
      </c>
      <c r="AV57" s="198">
        <f t="shared" si="47"/>
        <v>0</v>
      </c>
      <c r="AW57" s="198">
        <f t="shared" si="48"/>
        <v>0</v>
      </c>
      <c r="AX57" s="198">
        <f t="shared" si="49"/>
        <v>0</v>
      </c>
      <c r="AY57" s="198">
        <f t="shared" si="50"/>
        <v>0</v>
      </c>
      <c r="AZ57" s="12"/>
      <c r="BA57" s="4"/>
    </row>
    <row r="58" spans="1:53" x14ac:dyDescent="0.3">
      <c r="B58" t="s">
        <v>245</v>
      </c>
      <c r="R58" s="15"/>
      <c r="S58" s="15"/>
      <c r="T58" s="15"/>
      <c r="U58" s="15"/>
      <c r="V58" s="15"/>
      <c r="W58" s="451"/>
      <c r="X58" s="451"/>
      <c r="Y58" s="451"/>
      <c r="Z58" s="451"/>
      <c r="AA58" s="451"/>
      <c r="AB58" s="451"/>
      <c r="AC58" s="451"/>
      <c r="AD58" s="451"/>
      <c r="AE58" s="4"/>
      <c r="AF58" s="4"/>
      <c r="AG58" s="4"/>
      <c r="AH58" s="4"/>
      <c r="AI58" s="429"/>
      <c r="AJ58" s="429"/>
      <c r="AK58" s="429"/>
      <c r="AL58" s="429"/>
      <c r="AM58" s="429"/>
      <c r="AN58" s="429"/>
      <c r="AO58" s="429"/>
      <c r="AP58" s="429"/>
      <c r="AR58" s="198">
        <f t="shared" si="43"/>
        <v>0</v>
      </c>
      <c r="AS58" s="198">
        <f t="shared" si="44"/>
        <v>0</v>
      </c>
      <c r="AT58" s="198">
        <f t="shared" si="45"/>
        <v>0</v>
      </c>
      <c r="AU58" s="198">
        <f t="shared" si="46"/>
        <v>0</v>
      </c>
      <c r="AV58" s="198">
        <f t="shared" si="47"/>
        <v>0</v>
      </c>
      <c r="AW58" s="198">
        <f t="shared" si="48"/>
        <v>0</v>
      </c>
      <c r="AX58" s="198">
        <f t="shared" si="49"/>
        <v>0</v>
      </c>
      <c r="AY58" s="198">
        <f t="shared" si="50"/>
        <v>0</v>
      </c>
      <c r="AZ58" s="12"/>
      <c r="BA58" s="4"/>
    </row>
    <row r="59" spans="1:53" x14ac:dyDescent="0.3">
      <c r="A59">
        <v>1048</v>
      </c>
      <c r="B59" t="s">
        <v>236</v>
      </c>
      <c r="R59" s="15"/>
      <c r="S59" s="15"/>
      <c r="T59" s="15"/>
      <c r="U59" s="15"/>
      <c r="V59" s="15"/>
      <c r="W59" s="451"/>
      <c r="X59" s="451"/>
      <c r="Y59" s="451"/>
      <c r="Z59" s="451"/>
      <c r="AA59" s="451"/>
      <c r="AB59" s="451"/>
      <c r="AC59" s="451"/>
      <c r="AD59" s="451"/>
      <c r="AE59" s="4"/>
      <c r="AF59" s="4"/>
      <c r="AG59" s="4"/>
      <c r="AH59" s="4"/>
      <c r="AI59" s="429"/>
      <c r="AJ59" s="429"/>
      <c r="AK59" s="429"/>
      <c r="AL59" s="429"/>
      <c r="AM59" s="429"/>
      <c r="AN59" s="429"/>
      <c r="AO59" s="429"/>
      <c r="AP59" s="429"/>
      <c r="AR59" s="198">
        <f t="shared" si="43"/>
        <v>0</v>
      </c>
      <c r="AS59" s="198">
        <f t="shared" si="44"/>
        <v>0</v>
      </c>
      <c r="AT59" s="198">
        <f t="shared" si="45"/>
        <v>0</v>
      </c>
      <c r="AU59" s="198">
        <f t="shared" si="46"/>
        <v>0</v>
      </c>
      <c r="AV59" s="198">
        <f t="shared" si="47"/>
        <v>0</v>
      </c>
      <c r="AW59" s="198">
        <f t="shared" si="48"/>
        <v>0</v>
      </c>
      <c r="AX59" s="198">
        <f t="shared" si="49"/>
        <v>0</v>
      </c>
      <c r="AY59" s="198">
        <f t="shared" si="50"/>
        <v>0</v>
      </c>
      <c r="AZ59" s="12"/>
      <c r="BA59" s="4"/>
    </row>
    <row r="60" spans="1:53" x14ac:dyDescent="0.3">
      <c r="BA60" s="4"/>
    </row>
    <row r="61" spans="1:53" x14ac:dyDescent="0.3">
      <c r="B61" s="1" t="s">
        <v>255</v>
      </c>
      <c r="BA61" s="4"/>
    </row>
    <row r="62" spans="1:53" x14ac:dyDescent="0.3">
      <c r="A62">
        <v>1012</v>
      </c>
      <c r="B62" t="s">
        <v>83</v>
      </c>
      <c r="R62" s="15"/>
      <c r="S62" s="15"/>
      <c r="T62" s="15"/>
      <c r="U62" s="15"/>
      <c r="V62" s="15"/>
      <c r="W62" s="451"/>
      <c r="X62" s="451"/>
      <c r="Y62" s="451"/>
      <c r="Z62" s="451"/>
      <c r="AA62" s="451"/>
      <c r="AB62" s="451"/>
      <c r="AC62" s="451"/>
      <c r="AD62" s="451"/>
      <c r="AE62" s="15"/>
      <c r="AF62" s="15"/>
      <c r="AG62" s="15"/>
      <c r="AH62" s="15"/>
      <c r="AI62" s="451"/>
      <c r="AJ62" s="451"/>
      <c r="AK62" s="451"/>
      <c r="AL62" s="451"/>
      <c r="AM62" s="451"/>
      <c r="AN62" s="451"/>
      <c r="AO62" s="451"/>
      <c r="AP62" s="451"/>
      <c r="AR62" s="198">
        <f t="shared" ref="AR62:AR76" si="59">IF(ISERROR((AI62-W62)/W62),0,(AI62-W62)/W62)</f>
        <v>0</v>
      </c>
      <c r="AS62" s="198">
        <f t="shared" ref="AS62:AS76" si="60">IF(ISERROR((AJ62-X62)/X62),0,(AJ62-X62)/X62)</f>
        <v>0</v>
      </c>
      <c r="AT62" s="198">
        <f t="shared" ref="AT62:AT76" si="61">IF(ISERROR((AK62-Y62)/Y62),0,(AK62-Y62)/Y62)</f>
        <v>0</v>
      </c>
      <c r="AU62" s="198">
        <f t="shared" ref="AU62:AU76" si="62">IF(ISERROR((AL62-Z62)/Z62),0,(AL62-Z62)/Z62)</f>
        <v>0</v>
      </c>
      <c r="AV62" s="198">
        <f t="shared" ref="AV62:AV76" si="63">IF(ISERROR((AM62-AA62)/AA62),0,(AM62-AA62)/AA62)</f>
        <v>0</v>
      </c>
      <c r="AW62" s="198">
        <f t="shared" ref="AW62:AW76" si="64">IF(ISERROR((AN62-AB62)/AB62),0,(AN62-AB62)/AB62)</f>
        <v>0</v>
      </c>
      <c r="AX62" s="198">
        <f t="shared" ref="AX62:AX76" si="65">IF(ISERROR((AO62-AC62)/AC62),0,(AO62-AC62)/AC62)</f>
        <v>0</v>
      </c>
      <c r="AY62" s="198">
        <f t="shared" ref="AY62:AY76" si="66">IF(ISERROR((AP62-AD62)/AD62),0,(AP62-AD62)/AD62)</f>
        <v>0</v>
      </c>
      <c r="AZ62" s="12"/>
      <c r="BA62" s="4"/>
    </row>
    <row r="63" spans="1:53" x14ac:dyDescent="0.3">
      <c r="A63">
        <v>1012</v>
      </c>
      <c r="B63" t="s">
        <v>92</v>
      </c>
      <c r="R63" s="15"/>
      <c r="S63" s="15"/>
      <c r="T63" s="15"/>
      <c r="U63" s="15"/>
      <c r="V63" s="15"/>
      <c r="W63" s="451"/>
      <c r="X63" s="451"/>
      <c r="Y63" s="451"/>
      <c r="Z63" s="451"/>
      <c r="AA63" s="451"/>
      <c r="AB63" s="451"/>
      <c r="AC63" s="451"/>
      <c r="AD63" s="451"/>
      <c r="AE63" s="15"/>
      <c r="AF63" s="15"/>
      <c r="AG63" s="15"/>
      <c r="AH63" s="15"/>
      <c r="AI63" s="451"/>
      <c r="AJ63" s="451"/>
      <c r="AK63" s="451"/>
      <c r="AL63" s="451"/>
      <c r="AM63" s="451"/>
      <c r="AN63" s="451"/>
      <c r="AO63" s="451"/>
      <c r="AP63" s="451"/>
      <c r="AR63" s="198">
        <f t="shared" si="59"/>
        <v>0</v>
      </c>
      <c r="AS63" s="198">
        <f t="shared" si="60"/>
        <v>0</v>
      </c>
      <c r="AT63" s="198">
        <f t="shared" si="61"/>
        <v>0</v>
      </c>
      <c r="AU63" s="198">
        <f t="shared" si="62"/>
        <v>0</v>
      </c>
      <c r="AV63" s="198">
        <f t="shared" si="63"/>
        <v>0</v>
      </c>
      <c r="AW63" s="198">
        <f t="shared" si="64"/>
        <v>0</v>
      </c>
      <c r="AX63" s="198">
        <f t="shared" si="65"/>
        <v>0</v>
      </c>
      <c r="AY63" s="198">
        <f t="shared" si="66"/>
        <v>0</v>
      </c>
      <c r="AZ63" s="12"/>
      <c r="BA63" s="4"/>
    </row>
    <row r="64" spans="1:53" x14ac:dyDescent="0.3">
      <c r="B64" t="s">
        <v>121</v>
      </c>
      <c r="R64" s="15"/>
      <c r="S64" s="15"/>
      <c r="T64" s="15"/>
      <c r="U64" s="15"/>
      <c r="V64" s="15"/>
      <c r="W64" s="451"/>
      <c r="X64" s="451"/>
      <c r="Y64" s="451"/>
      <c r="Z64" s="451"/>
      <c r="AA64" s="451"/>
      <c r="AB64" s="451"/>
      <c r="AC64" s="451"/>
      <c r="AD64" s="451"/>
      <c r="AE64" s="15"/>
      <c r="AF64" s="15"/>
      <c r="AG64" s="15"/>
      <c r="AH64" s="15"/>
      <c r="AI64" s="451"/>
      <c r="AJ64" s="451"/>
      <c r="AK64" s="451"/>
      <c r="AL64" s="451"/>
      <c r="AM64" s="451"/>
      <c r="AN64" s="451"/>
      <c r="AO64" s="451"/>
      <c r="AP64" s="451"/>
      <c r="AR64" s="198">
        <f t="shared" si="59"/>
        <v>0</v>
      </c>
      <c r="AS64" s="198">
        <f t="shared" si="60"/>
        <v>0</v>
      </c>
      <c r="AT64" s="198">
        <f t="shared" si="61"/>
        <v>0</v>
      </c>
      <c r="AU64" s="198">
        <f t="shared" si="62"/>
        <v>0</v>
      </c>
      <c r="AV64" s="198">
        <f t="shared" si="63"/>
        <v>0</v>
      </c>
      <c r="AW64" s="198">
        <f t="shared" si="64"/>
        <v>0</v>
      </c>
      <c r="AX64" s="198">
        <f t="shared" si="65"/>
        <v>0</v>
      </c>
      <c r="AY64" s="198">
        <f t="shared" si="66"/>
        <v>0</v>
      </c>
      <c r="AZ64" s="12"/>
      <c r="BA64" s="4"/>
    </row>
    <row r="65" spans="1:53" x14ac:dyDescent="0.3">
      <c r="B65" s="14" t="s">
        <v>93</v>
      </c>
      <c r="R65" s="15"/>
      <c r="S65" s="15"/>
      <c r="T65" s="15"/>
      <c r="U65" s="15"/>
      <c r="V65" s="15"/>
      <c r="W65" s="451"/>
      <c r="X65" s="451"/>
      <c r="Y65" s="451"/>
      <c r="Z65" s="451"/>
      <c r="AA65" s="451"/>
      <c r="AB65" s="451"/>
      <c r="AC65" s="451"/>
      <c r="AD65" s="451"/>
      <c r="AE65" s="15"/>
      <c r="AF65" s="15"/>
      <c r="AG65" s="15"/>
      <c r="AH65" s="15"/>
      <c r="AI65" s="451"/>
      <c r="AJ65" s="451"/>
      <c r="AK65" s="451"/>
      <c r="AL65" s="451"/>
      <c r="AM65" s="451"/>
      <c r="AN65" s="451"/>
      <c r="AO65" s="451"/>
      <c r="AP65" s="451"/>
      <c r="AR65" s="198">
        <f t="shared" si="59"/>
        <v>0</v>
      </c>
      <c r="AS65" s="198">
        <f t="shared" si="60"/>
        <v>0</v>
      </c>
      <c r="AT65" s="198">
        <f t="shared" si="61"/>
        <v>0</v>
      </c>
      <c r="AU65" s="198">
        <f t="shared" si="62"/>
        <v>0</v>
      </c>
      <c r="AV65" s="198">
        <f t="shared" si="63"/>
        <v>0</v>
      </c>
      <c r="AW65" s="198">
        <f t="shared" si="64"/>
        <v>0</v>
      </c>
      <c r="AX65" s="198">
        <f t="shared" si="65"/>
        <v>0</v>
      </c>
      <c r="AY65" s="198">
        <f t="shared" si="66"/>
        <v>0</v>
      </c>
      <c r="AZ65" s="12"/>
      <c r="BA65" s="4"/>
    </row>
    <row r="66" spans="1:53" x14ac:dyDescent="0.3">
      <c r="B66" s="14" t="s">
        <v>271</v>
      </c>
      <c r="R66" s="15"/>
      <c r="S66" s="15"/>
      <c r="T66" s="15"/>
      <c r="U66" s="15"/>
      <c r="V66" s="15"/>
      <c r="W66" s="451"/>
      <c r="X66" s="451"/>
      <c r="Y66" s="451"/>
      <c r="Z66" s="451"/>
      <c r="AA66" s="451"/>
      <c r="AB66" s="451"/>
      <c r="AC66" s="451"/>
      <c r="AD66" s="451"/>
      <c r="AE66" s="15"/>
      <c r="AF66" s="15"/>
      <c r="AG66" s="15"/>
      <c r="AH66" s="15"/>
      <c r="AI66" s="451"/>
      <c r="AJ66" s="451"/>
      <c r="AK66" s="451"/>
      <c r="AL66" s="451"/>
      <c r="AM66" s="451"/>
      <c r="AN66" s="451"/>
      <c r="AO66" s="451"/>
      <c r="AP66" s="451"/>
      <c r="AR66" s="198">
        <f t="shared" ref="AR66:AR67" si="67">IF(ISERROR((AI66-W66)/W66),0,(AI66-W66)/W66)</f>
        <v>0</v>
      </c>
      <c r="AS66" s="198">
        <f t="shared" ref="AS66:AS67" si="68">IF(ISERROR((AJ66-X66)/X66),0,(AJ66-X66)/X66)</f>
        <v>0</v>
      </c>
      <c r="AT66" s="198">
        <f t="shared" ref="AT66:AT67" si="69">IF(ISERROR((AK66-Y66)/Y66),0,(AK66-Y66)/Y66)</f>
        <v>0</v>
      </c>
      <c r="AU66" s="198">
        <f t="shared" ref="AU66:AU67" si="70">IF(ISERROR((AL66-Z66)/Z66),0,(AL66-Z66)/Z66)</f>
        <v>0</v>
      </c>
      <c r="AV66" s="198">
        <f t="shared" ref="AV66:AV67" si="71">IF(ISERROR((AM66-AA66)/AA66),0,(AM66-AA66)/AA66)</f>
        <v>0</v>
      </c>
      <c r="AW66" s="198">
        <f t="shared" ref="AW66:AW67" si="72">IF(ISERROR((AN66-AB66)/AB66),0,(AN66-AB66)/AB66)</f>
        <v>0</v>
      </c>
      <c r="AX66" s="198">
        <f t="shared" ref="AX66:AX67" si="73">IF(ISERROR((AO66-AC66)/AC66),0,(AO66-AC66)/AC66)</f>
        <v>0</v>
      </c>
      <c r="AY66" s="198">
        <f t="shared" ref="AY66:AY67" si="74">IF(ISERROR((AP66-AD66)/AD66),0,(AP66-AD66)/AD66)</f>
        <v>0</v>
      </c>
      <c r="AZ66" s="12"/>
      <c r="BA66" s="4"/>
    </row>
    <row r="67" spans="1:53" x14ac:dyDescent="0.3">
      <c r="B67" s="14" t="s">
        <v>183</v>
      </c>
      <c r="R67" s="15"/>
      <c r="S67" s="15"/>
      <c r="T67" s="15"/>
      <c r="U67" s="15"/>
      <c r="V67" s="15"/>
      <c r="W67" s="451"/>
      <c r="X67" s="451"/>
      <c r="Y67" s="451"/>
      <c r="Z67" s="451"/>
      <c r="AA67" s="451"/>
      <c r="AB67" s="451"/>
      <c r="AC67" s="451"/>
      <c r="AD67" s="451"/>
      <c r="AE67" s="15"/>
      <c r="AF67" s="15"/>
      <c r="AG67" s="15"/>
      <c r="AH67" s="15"/>
      <c r="AI67" s="451"/>
      <c r="AJ67" s="451"/>
      <c r="AK67" s="451"/>
      <c r="AL67" s="451"/>
      <c r="AM67" s="451"/>
      <c r="AN67" s="451"/>
      <c r="AO67" s="451"/>
      <c r="AP67" s="451"/>
      <c r="AR67" s="198">
        <f t="shared" si="67"/>
        <v>0</v>
      </c>
      <c r="AS67" s="198">
        <f t="shared" si="68"/>
        <v>0</v>
      </c>
      <c r="AT67" s="198">
        <f t="shared" si="69"/>
        <v>0</v>
      </c>
      <c r="AU67" s="198">
        <f t="shared" si="70"/>
        <v>0</v>
      </c>
      <c r="AV67" s="198">
        <f t="shared" si="71"/>
        <v>0</v>
      </c>
      <c r="AW67" s="198">
        <f t="shared" si="72"/>
        <v>0</v>
      </c>
      <c r="AX67" s="198">
        <f t="shared" si="73"/>
        <v>0</v>
      </c>
      <c r="AY67" s="198">
        <f t="shared" si="74"/>
        <v>0</v>
      </c>
      <c r="AZ67" s="12"/>
      <c r="BA67" s="4"/>
    </row>
    <row r="68" spans="1:53" x14ac:dyDescent="0.3">
      <c r="A68">
        <v>1013</v>
      </c>
      <c r="B68" t="s">
        <v>84</v>
      </c>
      <c r="R68" s="15"/>
      <c r="S68" s="15"/>
      <c r="T68" s="15"/>
      <c r="U68" s="15"/>
      <c r="V68" s="15"/>
      <c r="W68" s="451"/>
      <c r="X68" s="451"/>
      <c r="Y68" s="451"/>
      <c r="Z68" s="451"/>
      <c r="AA68" s="451"/>
      <c r="AB68" s="451"/>
      <c r="AC68" s="451"/>
      <c r="AD68" s="451"/>
      <c r="AE68" s="15"/>
      <c r="AF68" s="15"/>
      <c r="AG68" s="15"/>
      <c r="AH68" s="15"/>
      <c r="AI68" s="451"/>
      <c r="AJ68" s="451"/>
      <c r="AK68" s="451"/>
      <c r="AL68" s="451"/>
      <c r="AM68" s="451"/>
      <c r="AN68" s="451"/>
      <c r="AO68" s="451"/>
      <c r="AP68" s="451"/>
      <c r="AR68" s="198">
        <f t="shared" si="59"/>
        <v>0</v>
      </c>
      <c r="AS68" s="198">
        <f t="shared" si="60"/>
        <v>0</v>
      </c>
      <c r="AT68" s="198">
        <f t="shared" si="61"/>
        <v>0</v>
      </c>
      <c r="AU68" s="198">
        <f t="shared" si="62"/>
        <v>0</v>
      </c>
      <c r="AV68" s="198">
        <f t="shared" si="63"/>
        <v>0</v>
      </c>
      <c r="AW68" s="198">
        <f t="shared" si="64"/>
        <v>0</v>
      </c>
      <c r="AX68" s="198">
        <f t="shared" si="65"/>
        <v>0</v>
      </c>
      <c r="AY68" s="198">
        <f t="shared" si="66"/>
        <v>0</v>
      </c>
      <c r="AZ68" s="12"/>
      <c r="BA68" s="4"/>
    </row>
    <row r="69" spans="1:53" x14ac:dyDescent="0.3">
      <c r="A69">
        <v>1014</v>
      </c>
      <c r="B69" t="s">
        <v>85</v>
      </c>
      <c r="R69" s="15"/>
      <c r="S69" s="15"/>
      <c r="T69" s="15"/>
      <c r="U69" s="15"/>
      <c r="V69" s="15"/>
      <c r="W69" s="451"/>
      <c r="X69" s="451"/>
      <c r="Y69" s="451"/>
      <c r="Z69" s="451"/>
      <c r="AA69" s="451"/>
      <c r="AB69" s="451"/>
      <c r="AC69" s="451"/>
      <c r="AD69" s="451"/>
      <c r="AE69" s="15"/>
      <c r="AF69" s="15"/>
      <c r="AG69" s="15"/>
      <c r="AH69" s="15"/>
      <c r="AI69" s="451"/>
      <c r="AJ69" s="451"/>
      <c r="AK69" s="451"/>
      <c r="AL69" s="451"/>
      <c r="AM69" s="451"/>
      <c r="AN69" s="451"/>
      <c r="AO69" s="451"/>
      <c r="AP69" s="451"/>
      <c r="AR69" s="198">
        <f t="shared" si="59"/>
        <v>0</v>
      </c>
      <c r="AS69" s="198">
        <f t="shared" si="60"/>
        <v>0</v>
      </c>
      <c r="AT69" s="198">
        <f t="shared" si="61"/>
        <v>0</v>
      </c>
      <c r="AU69" s="198">
        <f t="shared" si="62"/>
        <v>0</v>
      </c>
      <c r="AV69" s="198">
        <f t="shared" si="63"/>
        <v>0</v>
      </c>
      <c r="AW69" s="198">
        <f t="shared" si="64"/>
        <v>0</v>
      </c>
      <c r="AX69" s="198">
        <f t="shared" si="65"/>
        <v>0</v>
      </c>
      <c r="AY69" s="198">
        <f t="shared" si="66"/>
        <v>0</v>
      </c>
      <c r="AZ69" s="12"/>
      <c r="BA69" s="4"/>
    </row>
    <row r="70" spans="1:53" x14ac:dyDescent="0.3">
      <c r="B70" t="s">
        <v>179</v>
      </c>
      <c r="R70" s="15"/>
      <c r="S70" s="15"/>
      <c r="T70" s="15"/>
      <c r="U70" s="15"/>
      <c r="V70" s="15"/>
      <c r="W70" s="451"/>
      <c r="X70" s="451"/>
      <c r="Y70" s="451"/>
      <c r="Z70" s="451"/>
      <c r="AA70" s="451"/>
      <c r="AB70" s="451"/>
      <c r="AC70" s="451"/>
      <c r="AD70" s="451"/>
      <c r="AE70" s="15"/>
      <c r="AF70" s="15"/>
      <c r="AG70" s="15"/>
      <c r="AH70" s="15"/>
      <c r="AI70" s="451"/>
      <c r="AJ70" s="451"/>
      <c r="AK70" s="451"/>
      <c r="AL70" s="451"/>
      <c r="AM70" s="451"/>
      <c r="AN70" s="451"/>
      <c r="AO70" s="451"/>
      <c r="AP70" s="451"/>
      <c r="AR70" s="198">
        <f t="shared" si="59"/>
        <v>0</v>
      </c>
      <c r="AS70" s="198">
        <f t="shared" si="60"/>
        <v>0</v>
      </c>
      <c r="AT70" s="198">
        <f t="shared" si="61"/>
        <v>0</v>
      </c>
      <c r="AU70" s="198">
        <f t="shared" si="62"/>
        <v>0</v>
      </c>
      <c r="AV70" s="198">
        <f t="shared" si="63"/>
        <v>0</v>
      </c>
      <c r="AW70" s="198">
        <f t="shared" si="64"/>
        <v>0</v>
      </c>
      <c r="AX70" s="198">
        <f t="shared" si="65"/>
        <v>0</v>
      </c>
      <c r="AY70" s="198">
        <f t="shared" si="66"/>
        <v>0</v>
      </c>
      <c r="AZ70" s="12"/>
      <c r="BA70" s="4"/>
    </row>
    <row r="71" spans="1:53" x14ac:dyDescent="0.3">
      <c r="A71">
        <v>1018</v>
      </c>
      <c r="B71" t="s">
        <v>86</v>
      </c>
      <c r="R71" s="15"/>
      <c r="S71" s="15"/>
      <c r="T71" s="15"/>
      <c r="U71" s="15"/>
      <c r="V71" s="15"/>
      <c r="W71" s="451"/>
      <c r="X71" s="451"/>
      <c r="Y71" s="451"/>
      <c r="Z71" s="451"/>
      <c r="AA71" s="451"/>
      <c r="AB71" s="451"/>
      <c r="AC71" s="451"/>
      <c r="AD71" s="451"/>
      <c r="AE71" s="15"/>
      <c r="AF71" s="15"/>
      <c r="AG71" s="15"/>
      <c r="AH71" s="15"/>
      <c r="AI71" s="451"/>
      <c r="AJ71" s="451"/>
      <c r="AK71" s="451"/>
      <c r="AL71" s="451"/>
      <c r="AM71" s="451"/>
      <c r="AN71" s="451"/>
      <c r="AO71" s="451"/>
      <c r="AP71" s="451"/>
      <c r="AR71" s="198">
        <f t="shared" si="59"/>
        <v>0</v>
      </c>
      <c r="AS71" s="198">
        <f t="shared" si="60"/>
        <v>0</v>
      </c>
      <c r="AT71" s="198">
        <f t="shared" si="61"/>
        <v>0</v>
      </c>
      <c r="AU71" s="198">
        <f t="shared" si="62"/>
        <v>0</v>
      </c>
      <c r="AV71" s="198">
        <f t="shared" si="63"/>
        <v>0</v>
      </c>
      <c r="AW71" s="198">
        <f t="shared" si="64"/>
        <v>0</v>
      </c>
      <c r="AX71" s="198">
        <f t="shared" si="65"/>
        <v>0</v>
      </c>
      <c r="AY71" s="198">
        <f t="shared" si="66"/>
        <v>0</v>
      </c>
      <c r="AZ71" s="12"/>
      <c r="BA71" s="4"/>
    </row>
    <row r="72" spans="1:53" x14ac:dyDescent="0.3">
      <c r="A72">
        <v>1019</v>
      </c>
      <c r="B72" t="s">
        <v>78</v>
      </c>
      <c r="R72" s="15"/>
      <c r="S72" s="15"/>
      <c r="T72" s="15"/>
      <c r="U72" s="15"/>
      <c r="V72" s="15"/>
      <c r="W72" s="451"/>
      <c r="X72" s="451"/>
      <c r="Y72" s="451"/>
      <c r="Z72" s="451"/>
      <c r="AA72" s="451"/>
      <c r="AB72" s="451"/>
      <c r="AC72" s="451"/>
      <c r="AD72" s="451"/>
      <c r="AE72" s="15"/>
      <c r="AF72" s="15"/>
      <c r="AG72" s="15"/>
      <c r="AH72" s="15"/>
      <c r="AI72" s="451"/>
      <c r="AJ72" s="451"/>
      <c r="AK72" s="451"/>
      <c r="AL72" s="451"/>
      <c r="AM72" s="451"/>
      <c r="AN72" s="451"/>
      <c r="AO72" s="451"/>
      <c r="AP72" s="451"/>
      <c r="AR72" s="198">
        <f t="shared" si="59"/>
        <v>0</v>
      </c>
      <c r="AS72" s="198">
        <f t="shared" si="60"/>
        <v>0</v>
      </c>
      <c r="AT72" s="198">
        <f t="shared" si="61"/>
        <v>0</v>
      </c>
      <c r="AU72" s="198">
        <f t="shared" si="62"/>
        <v>0</v>
      </c>
      <c r="AV72" s="198">
        <f t="shared" si="63"/>
        <v>0</v>
      </c>
      <c r="AW72" s="198">
        <f t="shared" si="64"/>
        <v>0</v>
      </c>
      <c r="AX72" s="198">
        <f t="shared" si="65"/>
        <v>0</v>
      </c>
      <c r="AY72" s="198">
        <f t="shared" si="66"/>
        <v>0</v>
      </c>
      <c r="AZ72" s="12"/>
      <c r="BA72" s="4"/>
    </row>
    <row r="73" spans="1:53" x14ac:dyDescent="0.3">
      <c r="B73" s="49" t="s">
        <v>217</v>
      </c>
      <c r="R73" s="15"/>
      <c r="S73" s="15"/>
      <c r="T73" s="15"/>
      <c r="U73" s="15"/>
      <c r="V73" s="15"/>
      <c r="W73" s="451"/>
      <c r="X73" s="451"/>
      <c r="Y73" s="451"/>
      <c r="Z73" s="451"/>
      <c r="AA73" s="451"/>
      <c r="AB73" s="451"/>
      <c r="AC73" s="451"/>
      <c r="AD73" s="451"/>
      <c r="AE73" s="15"/>
      <c r="AF73" s="15"/>
      <c r="AG73" s="15"/>
      <c r="AH73" s="15"/>
      <c r="AI73" s="451"/>
      <c r="AJ73" s="451"/>
      <c r="AK73" s="451"/>
      <c r="AL73" s="451"/>
      <c r="AM73" s="451"/>
      <c r="AN73" s="451"/>
      <c r="AO73" s="451"/>
      <c r="AP73" s="451"/>
      <c r="AR73" s="198">
        <f t="shared" si="59"/>
        <v>0</v>
      </c>
      <c r="AS73" s="198">
        <f t="shared" si="60"/>
        <v>0</v>
      </c>
      <c r="AT73" s="198">
        <f t="shared" si="61"/>
        <v>0</v>
      </c>
      <c r="AU73" s="198">
        <f t="shared" si="62"/>
        <v>0</v>
      </c>
      <c r="AV73" s="198">
        <f t="shared" si="63"/>
        <v>0</v>
      </c>
      <c r="AW73" s="198">
        <f t="shared" si="64"/>
        <v>0</v>
      </c>
      <c r="AX73" s="198">
        <f t="shared" si="65"/>
        <v>0</v>
      </c>
      <c r="AY73" s="198">
        <f t="shared" si="66"/>
        <v>0</v>
      </c>
      <c r="AZ73" s="12"/>
      <c r="BA73" s="4"/>
    </row>
    <row r="74" spans="1:53" x14ac:dyDescent="0.3">
      <c r="A74">
        <v>1015</v>
      </c>
      <c r="B74" t="s">
        <v>335</v>
      </c>
      <c r="R74" s="15"/>
      <c r="S74" s="15"/>
      <c r="T74" s="15"/>
      <c r="U74" s="15"/>
      <c r="V74" s="15"/>
      <c r="W74" s="451"/>
      <c r="X74" s="451"/>
      <c r="Y74" s="451"/>
      <c r="Z74" s="451"/>
      <c r="AA74" s="451"/>
      <c r="AB74" s="451"/>
      <c r="AC74" s="451"/>
      <c r="AD74" s="451"/>
      <c r="AE74" s="4"/>
      <c r="AF74" s="4"/>
      <c r="AG74" s="4"/>
      <c r="AH74" s="4"/>
      <c r="AI74" s="429"/>
      <c r="AJ74" s="429"/>
      <c r="AK74" s="429"/>
      <c r="AL74" s="429"/>
      <c r="AM74" s="429"/>
      <c r="AN74" s="429"/>
      <c r="AO74" s="429"/>
      <c r="AP74" s="429"/>
      <c r="AR74" s="198">
        <f t="shared" si="59"/>
        <v>0</v>
      </c>
      <c r="AS74" s="198">
        <f t="shared" si="60"/>
        <v>0</v>
      </c>
      <c r="AT74" s="198">
        <f t="shared" si="61"/>
        <v>0</v>
      </c>
      <c r="AU74" s="198">
        <f t="shared" si="62"/>
        <v>0</v>
      </c>
      <c r="AV74" s="198">
        <f t="shared" si="63"/>
        <v>0</v>
      </c>
      <c r="AW74" s="198">
        <f t="shared" si="64"/>
        <v>0</v>
      </c>
      <c r="AX74" s="198">
        <f t="shared" si="65"/>
        <v>0</v>
      </c>
      <c r="AY74" s="198">
        <f t="shared" si="66"/>
        <v>0</v>
      </c>
      <c r="AZ74" s="12"/>
      <c r="BA74" s="4"/>
    </row>
    <row r="75" spans="1:53" x14ac:dyDescent="0.3">
      <c r="B75" t="s">
        <v>245</v>
      </c>
      <c r="U75" s="15"/>
      <c r="V75" s="15"/>
      <c r="W75" s="451"/>
      <c r="X75" s="451"/>
      <c r="Y75" s="451"/>
      <c r="Z75" s="451"/>
      <c r="AA75" s="451"/>
      <c r="AB75" s="451"/>
      <c r="AC75" s="451"/>
      <c r="AD75" s="451"/>
      <c r="AI75" s="429"/>
      <c r="AJ75" s="429"/>
      <c r="AK75" s="429"/>
      <c r="AL75" s="429"/>
      <c r="AM75" s="429"/>
      <c r="AN75" s="429"/>
      <c r="AO75" s="429"/>
      <c r="AP75" s="429"/>
      <c r="AR75" s="198">
        <f t="shared" si="59"/>
        <v>0</v>
      </c>
      <c r="AS75" s="198">
        <f t="shared" si="60"/>
        <v>0</v>
      </c>
      <c r="AT75" s="198">
        <f t="shared" si="61"/>
        <v>0</v>
      </c>
      <c r="AU75" s="198">
        <f t="shared" si="62"/>
        <v>0</v>
      </c>
      <c r="AV75" s="198">
        <f t="shared" si="63"/>
        <v>0</v>
      </c>
      <c r="AW75" s="198">
        <f t="shared" si="64"/>
        <v>0</v>
      </c>
      <c r="AX75" s="198">
        <f t="shared" si="65"/>
        <v>0</v>
      </c>
      <c r="AY75" s="198">
        <f t="shared" si="66"/>
        <v>0</v>
      </c>
      <c r="BA75" s="4"/>
    </row>
    <row r="76" spans="1:53" x14ac:dyDescent="0.3">
      <c r="A76">
        <v>1048</v>
      </c>
      <c r="B76" t="s">
        <v>236</v>
      </c>
      <c r="U76" s="15"/>
      <c r="V76" s="15"/>
      <c r="W76" s="451"/>
      <c r="X76" s="451"/>
      <c r="Y76" s="451"/>
      <c r="Z76" s="451"/>
      <c r="AA76" s="451"/>
      <c r="AB76" s="451"/>
      <c r="AC76" s="451"/>
      <c r="AD76" s="451"/>
      <c r="AI76" s="429"/>
      <c r="AJ76" s="429"/>
      <c r="AK76" s="429"/>
      <c r="AL76" s="429"/>
      <c r="AM76" s="429"/>
      <c r="AN76" s="429"/>
      <c r="AO76" s="429"/>
      <c r="AP76" s="429"/>
      <c r="AR76" s="198">
        <f t="shared" si="59"/>
        <v>0</v>
      </c>
      <c r="AS76" s="198">
        <f t="shared" si="60"/>
        <v>0</v>
      </c>
      <c r="AT76" s="198">
        <f t="shared" si="61"/>
        <v>0</v>
      </c>
      <c r="AU76" s="198">
        <f t="shared" si="62"/>
        <v>0</v>
      </c>
      <c r="AV76" s="198">
        <f t="shared" si="63"/>
        <v>0</v>
      </c>
      <c r="AW76" s="198">
        <f t="shared" si="64"/>
        <v>0</v>
      </c>
      <c r="AX76" s="198">
        <f t="shared" si="65"/>
        <v>0</v>
      </c>
      <c r="AY76" s="198">
        <f t="shared" si="66"/>
        <v>0</v>
      </c>
      <c r="BA76" s="4"/>
    </row>
    <row r="77" spans="1:53" x14ac:dyDescent="0.3">
      <c r="BA77" s="4"/>
    </row>
    <row r="78" spans="1:53" x14ac:dyDescent="0.3">
      <c r="B78" s="1" t="s">
        <v>256</v>
      </c>
      <c r="BA78" s="4"/>
    </row>
    <row r="79" spans="1:53" x14ac:dyDescent="0.3">
      <c r="A79">
        <v>1012</v>
      </c>
      <c r="B79" t="s">
        <v>83</v>
      </c>
      <c r="R79" s="15"/>
      <c r="S79" s="15"/>
      <c r="T79" s="15"/>
      <c r="U79" s="15"/>
      <c r="V79" s="15"/>
      <c r="W79" s="451"/>
      <c r="X79" s="451"/>
      <c r="Y79" s="451"/>
      <c r="Z79" s="451"/>
      <c r="AA79" s="451"/>
      <c r="AB79" s="451"/>
      <c r="AC79" s="451"/>
      <c r="AD79" s="451"/>
      <c r="AE79" s="15"/>
      <c r="AF79" s="15"/>
      <c r="AG79" s="15"/>
      <c r="AH79" s="15"/>
      <c r="AI79" s="451"/>
      <c r="AJ79" s="451"/>
      <c r="AK79" s="451"/>
      <c r="AL79" s="451"/>
      <c r="AM79" s="451"/>
      <c r="AN79" s="451"/>
      <c r="AO79" s="451"/>
      <c r="AP79" s="451"/>
      <c r="AR79" s="198">
        <f t="shared" ref="AR79:AR93" si="75">IF(ISERROR((AI79-W79)/W79),0,(AI79-W79)/W79)</f>
        <v>0</v>
      </c>
      <c r="AS79" s="198">
        <f t="shared" ref="AS79:AS93" si="76">IF(ISERROR((AJ79-X79)/X79),0,(AJ79-X79)/X79)</f>
        <v>0</v>
      </c>
      <c r="AT79" s="198">
        <f t="shared" ref="AT79:AT93" si="77">IF(ISERROR((AK79-Y79)/Y79),0,(AK79-Y79)/Y79)</f>
        <v>0</v>
      </c>
      <c r="AU79" s="198">
        <f t="shared" ref="AU79:AU93" si="78">IF(ISERROR((AL79-Z79)/Z79),0,(AL79-Z79)/Z79)</f>
        <v>0</v>
      </c>
      <c r="AV79" s="198">
        <f t="shared" ref="AV79:AV93" si="79">IF(ISERROR((AM79-AA79)/AA79),0,(AM79-AA79)/AA79)</f>
        <v>0</v>
      </c>
      <c r="AW79" s="198">
        <f t="shared" ref="AW79:AW93" si="80">IF(ISERROR((AN79-AB79)/AB79),0,(AN79-AB79)/AB79)</f>
        <v>0</v>
      </c>
      <c r="AX79" s="198">
        <f t="shared" ref="AX79:AX93" si="81">IF(ISERROR((AO79-AC79)/AC79),0,(AO79-AC79)/AC79)</f>
        <v>0</v>
      </c>
      <c r="AY79" s="198">
        <f t="shared" ref="AY79:AY93" si="82">IF(ISERROR((AP79-AD79)/AD79),0,(AP79-AD79)/AD79)</f>
        <v>0</v>
      </c>
      <c r="AZ79" s="12"/>
      <c r="BA79" s="4"/>
    </row>
    <row r="80" spans="1:53" x14ac:dyDescent="0.3">
      <c r="A80">
        <v>1012</v>
      </c>
      <c r="B80" t="s">
        <v>92</v>
      </c>
      <c r="R80" s="15"/>
      <c r="S80" s="15"/>
      <c r="T80" s="15"/>
      <c r="U80" s="15"/>
      <c r="V80" s="15"/>
      <c r="W80" s="451"/>
      <c r="X80" s="451"/>
      <c r="Y80" s="451"/>
      <c r="Z80" s="451"/>
      <c r="AA80" s="451"/>
      <c r="AB80" s="451"/>
      <c r="AC80" s="451"/>
      <c r="AD80" s="451"/>
      <c r="AE80" s="15"/>
      <c r="AF80" s="15"/>
      <c r="AG80" s="15"/>
      <c r="AH80" s="15"/>
      <c r="AI80" s="451"/>
      <c r="AJ80" s="451"/>
      <c r="AK80" s="451"/>
      <c r="AL80" s="451"/>
      <c r="AM80" s="451"/>
      <c r="AN80" s="451"/>
      <c r="AO80" s="451"/>
      <c r="AP80" s="451"/>
      <c r="AR80" s="198">
        <f t="shared" si="75"/>
        <v>0</v>
      </c>
      <c r="AS80" s="198">
        <f t="shared" si="76"/>
        <v>0</v>
      </c>
      <c r="AT80" s="198">
        <f t="shared" si="77"/>
        <v>0</v>
      </c>
      <c r="AU80" s="198">
        <f t="shared" si="78"/>
        <v>0</v>
      </c>
      <c r="AV80" s="198">
        <f t="shared" si="79"/>
        <v>0</v>
      </c>
      <c r="AW80" s="198">
        <f t="shared" si="80"/>
        <v>0</v>
      </c>
      <c r="AX80" s="198">
        <f t="shared" si="81"/>
        <v>0</v>
      </c>
      <c r="AY80" s="198">
        <f t="shared" si="82"/>
        <v>0</v>
      </c>
      <c r="AZ80" s="12"/>
      <c r="BA80" s="4"/>
    </row>
    <row r="81" spans="1:53" x14ac:dyDescent="0.3">
      <c r="B81" t="s">
        <v>121</v>
      </c>
      <c r="R81" s="15"/>
      <c r="S81" s="15"/>
      <c r="T81" s="15"/>
      <c r="U81" s="15"/>
      <c r="V81" s="15"/>
      <c r="W81" s="451"/>
      <c r="X81" s="451"/>
      <c r="Y81" s="451"/>
      <c r="Z81" s="451"/>
      <c r="AA81" s="451"/>
      <c r="AB81" s="451"/>
      <c r="AC81" s="451"/>
      <c r="AD81" s="451"/>
      <c r="AE81" s="15"/>
      <c r="AF81" s="15"/>
      <c r="AG81" s="15"/>
      <c r="AH81" s="15"/>
      <c r="AI81" s="451"/>
      <c r="AJ81" s="451"/>
      <c r="AK81" s="451"/>
      <c r="AL81" s="451"/>
      <c r="AM81" s="451"/>
      <c r="AN81" s="451"/>
      <c r="AO81" s="451"/>
      <c r="AP81" s="451"/>
      <c r="AR81" s="198">
        <f t="shared" si="75"/>
        <v>0</v>
      </c>
      <c r="AS81" s="198">
        <f t="shared" si="76"/>
        <v>0</v>
      </c>
      <c r="AT81" s="198">
        <f t="shared" si="77"/>
        <v>0</v>
      </c>
      <c r="AU81" s="198">
        <f t="shared" si="78"/>
        <v>0</v>
      </c>
      <c r="AV81" s="198">
        <f t="shared" si="79"/>
        <v>0</v>
      </c>
      <c r="AW81" s="198">
        <f t="shared" si="80"/>
        <v>0</v>
      </c>
      <c r="AX81" s="198">
        <f t="shared" si="81"/>
        <v>0</v>
      </c>
      <c r="AY81" s="198">
        <f t="shared" si="82"/>
        <v>0</v>
      </c>
      <c r="AZ81" s="12"/>
      <c r="BA81" s="4"/>
    </row>
    <row r="82" spans="1:53" x14ac:dyDescent="0.3">
      <c r="B82" s="14" t="s">
        <v>93</v>
      </c>
      <c r="R82" s="15"/>
      <c r="S82" s="15"/>
      <c r="T82" s="15"/>
      <c r="U82" s="15"/>
      <c r="V82" s="15"/>
      <c r="W82" s="451"/>
      <c r="X82" s="451"/>
      <c r="Y82" s="451"/>
      <c r="Z82" s="451"/>
      <c r="AA82" s="451"/>
      <c r="AB82" s="451"/>
      <c r="AC82" s="451"/>
      <c r="AD82" s="451"/>
      <c r="AE82" s="15"/>
      <c r="AF82" s="15"/>
      <c r="AG82" s="15"/>
      <c r="AH82" s="15"/>
      <c r="AI82" s="451"/>
      <c r="AJ82" s="451"/>
      <c r="AK82" s="451"/>
      <c r="AL82" s="451"/>
      <c r="AM82" s="451"/>
      <c r="AN82" s="451"/>
      <c r="AO82" s="451"/>
      <c r="AP82" s="451"/>
      <c r="AR82" s="198">
        <f t="shared" si="75"/>
        <v>0</v>
      </c>
      <c r="AS82" s="198">
        <f t="shared" si="76"/>
        <v>0</v>
      </c>
      <c r="AT82" s="198">
        <f t="shared" si="77"/>
        <v>0</v>
      </c>
      <c r="AU82" s="198">
        <f t="shared" si="78"/>
        <v>0</v>
      </c>
      <c r="AV82" s="198">
        <f t="shared" si="79"/>
        <v>0</v>
      </c>
      <c r="AW82" s="198">
        <f t="shared" si="80"/>
        <v>0</v>
      </c>
      <c r="AX82" s="198">
        <f t="shared" si="81"/>
        <v>0</v>
      </c>
      <c r="AY82" s="198">
        <f t="shared" si="82"/>
        <v>0</v>
      </c>
      <c r="AZ82" s="12"/>
      <c r="BA82" s="4"/>
    </row>
    <row r="83" spans="1:53" x14ac:dyDescent="0.3">
      <c r="B83" s="14" t="s">
        <v>271</v>
      </c>
      <c r="R83" s="15"/>
      <c r="S83" s="15"/>
      <c r="T83" s="15"/>
      <c r="U83" s="15"/>
      <c r="V83" s="15"/>
      <c r="W83" s="451"/>
      <c r="X83" s="451"/>
      <c r="Y83" s="451"/>
      <c r="Z83" s="451"/>
      <c r="AA83" s="451"/>
      <c r="AB83" s="451"/>
      <c r="AC83" s="451"/>
      <c r="AD83" s="451"/>
      <c r="AE83" s="15"/>
      <c r="AF83" s="15"/>
      <c r="AG83" s="15"/>
      <c r="AH83" s="15"/>
      <c r="AI83" s="451"/>
      <c r="AJ83" s="451"/>
      <c r="AK83" s="451"/>
      <c r="AL83" s="451"/>
      <c r="AM83" s="451"/>
      <c r="AN83" s="451"/>
      <c r="AO83" s="451"/>
      <c r="AP83" s="451"/>
      <c r="AR83" s="198">
        <f t="shared" ref="AR83:AR84" si="83">IF(ISERROR((AI83-W83)/W83),0,(AI83-W83)/W83)</f>
        <v>0</v>
      </c>
      <c r="AS83" s="198">
        <f t="shared" ref="AS83:AS84" si="84">IF(ISERROR((AJ83-X83)/X83),0,(AJ83-X83)/X83)</f>
        <v>0</v>
      </c>
      <c r="AT83" s="198">
        <f t="shared" ref="AT83:AT84" si="85">IF(ISERROR((AK83-Y83)/Y83),0,(AK83-Y83)/Y83)</f>
        <v>0</v>
      </c>
      <c r="AU83" s="198">
        <f t="shared" ref="AU83:AU84" si="86">IF(ISERROR((AL83-Z83)/Z83),0,(AL83-Z83)/Z83)</f>
        <v>0</v>
      </c>
      <c r="AV83" s="198">
        <f t="shared" ref="AV83:AV84" si="87">IF(ISERROR((AM83-AA83)/AA83),0,(AM83-AA83)/AA83)</f>
        <v>0</v>
      </c>
      <c r="AW83" s="198">
        <f t="shared" ref="AW83:AW84" si="88">IF(ISERROR((AN83-AB83)/AB83),0,(AN83-AB83)/AB83)</f>
        <v>0</v>
      </c>
      <c r="AX83" s="198">
        <f t="shared" ref="AX83:AX84" si="89">IF(ISERROR((AO83-AC83)/AC83),0,(AO83-AC83)/AC83)</f>
        <v>0</v>
      </c>
      <c r="AY83" s="198">
        <f t="shared" ref="AY83:AY84" si="90">IF(ISERROR((AP83-AD83)/AD83),0,(AP83-AD83)/AD83)</f>
        <v>0</v>
      </c>
      <c r="AZ83" s="12"/>
      <c r="BA83" s="4"/>
    </row>
    <row r="84" spans="1:53" x14ac:dyDescent="0.3">
      <c r="B84" s="14" t="s">
        <v>183</v>
      </c>
      <c r="R84" s="15"/>
      <c r="S84" s="15"/>
      <c r="T84" s="15"/>
      <c r="U84" s="15"/>
      <c r="V84" s="15"/>
      <c r="W84" s="451"/>
      <c r="X84" s="451"/>
      <c r="Y84" s="451"/>
      <c r="Z84" s="451"/>
      <c r="AA84" s="451"/>
      <c r="AB84" s="451"/>
      <c r="AC84" s="451"/>
      <c r="AD84" s="451"/>
      <c r="AE84" s="15"/>
      <c r="AF84" s="15"/>
      <c r="AG84" s="15"/>
      <c r="AH84" s="15"/>
      <c r="AI84" s="451"/>
      <c r="AJ84" s="451"/>
      <c r="AK84" s="451"/>
      <c r="AL84" s="451"/>
      <c r="AM84" s="451"/>
      <c r="AN84" s="451"/>
      <c r="AO84" s="451"/>
      <c r="AP84" s="451"/>
      <c r="AR84" s="198">
        <f t="shared" si="83"/>
        <v>0</v>
      </c>
      <c r="AS84" s="198">
        <f t="shared" si="84"/>
        <v>0</v>
      </c>
      <c r="AT84" s="198">
        <f t="shared" si="85"/>
        <v>0</v>
      </c>
      <c r="AU84" s="198">
        <f t="shared" si="86"/>
        <v>0</v>
      </c>
      <c r="AV84" s="198">
        <f t="shared" si="87"/>
        <v>0</v>
      </c>
      <c r="AW84" s="198">
        <f t="shared" si="88"/>
        <v>0</v>
      </c>
      <c r="AX84" s="198">
        <f t="shared" si="89"/>
        <v>0</v>
      </c>
      <c r="AY84" s="198">
        <f t="shared" si="90"/>
        <v>0</v>
      </c>
      <c r="AZ84" s="12"/>
      <c r="BA84" s="4"/>
    </row>
    <row r="85" spans="1:53" x14ac:dyDescent="0.3">
      <c r="A85">
        <v>1013</v>
      </c>
      <c r="B85" t="s">
        <v>84</v>
      </c>
      <c r="R85" s="15"/>
      <c r="S85" s="15"/>
      <c r="T85" s="15"/>
      <c r="U85" s="15"/>
      <c r="V85" s="15"/>
      <c r="W85" s="451"/>
      <c r="X85" s="451"/>
      <c r="Y85" s="451"/>
      <c r="Z85" s="451"/>
      <c r="AA85" s="451"/>
      <c r="AB85" s="451"/>
      <c r="AC85" s="451"/>
      <c r="AD85" s="451"/>
      <c r="AE85" s="15"/>
      <c r="AF85" s="15"/>
      <c r="AG85" s="15"/>
      <c r="AH85" s="15"/>
      <c r="AI85" s="451"/>
      <c r="AJ85" s="451"/>
      <c r="AK85" s="451"/>
      <c r="AL85" s="451"/>
      <c r="AM85" s="451"/>
      <c r="AN85" s="451"/>
      <c r="AO85" s="451"/>
      <c r="AP85" s="451"/>
      <c r="AR85" s="198">
        <f t="shared" si="75"/>
        <v>0</v>
      </c>
      <c r="AS85" s="198">
        <f t="shared" si="76"/>
        <v>0</v>
      </c>
      <c r="AT85" s="198">
        <f t="shared" si="77"/>
        <v>0</v>
      </c>
      <c r="AU85" s="198">
        <f t="shared" si="78"/>
        <v>0</v>
      </c>
      <c r="AV85" s="198">
        <f t="shared" si="79"/>
        <v>0</v>
      </c>
      <c r="AW85" s="198">
        <f t="shared" si="80"/>
        <v>0</v>
      </c>
      <c r="AX85" s="198">
        <f t="shared" si="81"/>
        <v>0</v>
      </c>
      <c r="AY85" s="198">
        <f t="shared" si="82"/>
        <v>0</v>
      </c>
      <c r="AZ85" s="12"/>
      <c r="BA85" s="4"/>
    </row>
    <row r="86" spans="1:53" x14ac:dyDescent="0.3">
      <c r="A86">
        <v>1014</v>
      </c>
      <c r="B86" t="s">
        <v>85</v>
      </c>
      <c r="R86" s="15"/>
      <c r="S86" s="15"/>
      <c r="T86" s="15"/>
      <c r="U86" s="15"/>
      <c r="V86" s="15"/>
      <c r="W86" s="451"/>
      <c r="X86" s="451"/>
      <c r="Y86" s="451"/>
      <c r="Z86" s="451"/>
      <c r="AA86" s="451"/>
      <c r="AB86" s="451"/>
      <c r="AC86" s="451"/>
      <c r="AD86" s="451"/>
      <c r="AE86" s="15"/>
      <c r="AF86" s="15"/>
      <c r="AG86" s="15"/>
      <c r="AH86" s="15"/>
      <c r="AI86" s="451"/>
      <c r="AJ86" s="451"/>
      <c r="AK86" s="451"/>
      <c r="AL86" s="451"/>
      <c r="AM86" s="451"/>
      <c r="AN86" s="451"/>
      <c r="AO86" s="451"/>
      <c r="AP86" s="451"/>
      <c r="AR86" s="198">
        <f t="shared" si="75"/>
        <v>0</v>
      </c>
      <c r="AS86" s="198">
        <f t="shared" si="76"/>
        <v>0</v>
      </c>
      <c r="AT86" s="198">
        <f t="shared" si="77"/>
        <v>0</v>
      </c>
      <c r="AU86" s="198">
        <f t="shared" si="78"/>
        <v>0</v>
      </c>
      <c r="AV86" s="198">
        <f t="shared" si="79"/>
        <v>0</v>
      </c>
      <c r="AW86" s="198">
        <f t="shared" si="80"/>
        <v>0</v>
      </c>
      <c r="AX86" s="198">
        <f t="shared" si="81"/>
        <v>0</v>
      </c>
      <c r="AY86" s="198">
        <f t="shared" si="82"/>
        <v>0</v>
      </c>
      <c r="AZ86" s="12"/>
      <c r="BA86" s="4"/>
    </row>
    <row r="87" spans="1:53" x14ac:dyDescent="0.3">
      <c r="B87" t="s">
        <v>179</v>
      </c>
      <c r="R87" s="15"/>
      <c r="S87" s="15"/>
      <c r="T87" s="15"/>
      <c r="U87" s="15"/>
      <c r="V87" s="15"/>
      <c r="W87" s="451"/>
      <c r="X87" s="451"/>
      <c r="Y87" s="451"/>
      <c r="Z87" s="451"/>
      <c r="AA87" s="451"/>
      <c r="AB87" s="451"/>
      <c r="AC87" s="451"/>
      <c r="AD87" s="451"/>
      <c r="AE87" s="15"/>
      <c r="AF87" s="15"/>
      <c r="AG87" s="15"/>
      <c r="AH87" s="15"/>
      <c r="AI87" s="451"/>
      <c r="AJ87" s="451"/>
      <c r="AK87" s="451"/>
      <c r="AL87" s="451"/>
      <c r="AM87" s="451"/>
      <c r="AN87" s="451"/>
      <c r="AO87" s="451"/>
      <c r="AP87" s="451"/>
      <c r="AR87" s="198">
        <f t="shared" si="75"/>
        <v>0</v>
      </c>
      <c r="AS87" s="198">
        <f t="shared" si="76"/>
        <v>0</v>
      </c>
      <c r="AT87" s="198">
        <f t="shared" si="77"/>
        <v>0</v>
      </c>
      <c r="AU87" s="198">
        <f t="shared" si="78"/>
        <v>0</v>
      </c>
      <c r="AV87" s="198">
        <f t="shared" si="79"/>
        <v>0</v>
      </c>
      <c r="AW87" s="198">
        <f t="shared" si="80"/>
        <v>0</v>
      </c>
      <c r="AX87" s="198">
        <f t="shared" si="81"/>
        <v>0</v>
      </c>
      <c r="AY87" s="198">
        <f t="shared" si="82"/>
        <v>0</v>
      </c>
      <c r="AZ87" s="12"/>
      <c r="BA87" s="4"/>
    </row>
    <row r="88" spans="1:53" x14ac:dyDescent="0.3">
      <c r="A88">
        <v>1018</v>
      </c>
      <c r="B88" t="s">
        <v>86</v>
      </c>
      <c r="R88" s="15"/>
      <c r="S88" s="15"/>
      <c r="T88" s="15"/>
      <c r="U88" s="15"/>
      <c r="V88" s="15"/>
      <c r="W88" s="451"/>
      <c r="X88" s="451"/>
      <c r="Y88" s="451"/>
      <c r="Z88" s="451"/>
      <c r="AA88" s="451"/>
      <c r="AB88" s="451"/>
      <c r="AC88" s="451"/>
      <c r="AD88" s="451"/>
      <c r="AE88" s="15"/>
      <c r="AF88" s="15"/>
      <c r="AG88" s="15"/>
      <c r="AH88" s="15"/>
      <c r="AI88" s="451"/>
      <c r="AJ88" s="451"/>
      <c r="AK88" s="451"/>
      <c r="AL88" s="451"/>
      <c r="AM88" s="451"/>
      <c r="AN88" s="451"/>
      <c r="AO88" s="451"/>
      <c r="AP88" s="451"/>
      <c r="AR88" s="198">
        <f t="shared" si="75"/>
        <v>0</v>
      </c>
      <c r="AS88" s="198">
        <f t="shared" si="76"/>
        <v>0</v>
      </c>
      <c r="AT88" s="198">
        <f t="shared" si="77"/>
        <v>0</v>
      </c>
      <c r="AU88" s="198">
        <f t="shared" si="78"/>
        <v>0</v>
      </c>
      <c r="AV88" s="198">
        <f t="shared" si="79"/>
        <v>0</v>
      </c>
      <c r="AW88" s="198">
        <f t="shared" si="80"/>
        <v>0</v>
      </c>
      <c r="AX88" s="198">
        <f t="shared" si="81"/>
        <v>0</v>
      </c>
      <c r="AY88" s="198">
        <f t="shared" si="82"/>
        <v>0</v>
      </c>
      <c r="AZ88" s="12"/>
      <c r="BA88" s="4"/>
    </row>
    <row r="89" spans="1:53" x14ac:dyDescent="0.3">
      <c r="A89">
        <v>1019</v>
      </c>
      <c r="B89" t="s">
        <v>78</v>
      </c>
      <c r="R89" s="15"/>
      <c r="S89" s="15"/>
      <c r="T89" s="15"/>
      <c r="U89" s="15"/>
      <c r="V89" s="15"/>
      <c r="W89" s="451"/>
      <c r="X89" s="451"/>
      <c r="Y89" s="451"/>
      <c r="Z89" s="451"/>
      <c r="AA89" s="451"/>
      <c r="AB89" s="451"/>
      <c r="AC89" s="451"/>
      <c r="AD89" s="451"/>
      <c r="AE89" s="15"/>
      <c r="AF89" s="15"/>
      <c r="AG89" s="15"/>
      <c r="AH89" s="15"/>
      <c r="AI89" s="451"/>
      <c r="AJ89" s="451"/>
      <c r="AK89" s="451"/>
      <c r="AL89" s="451"/>
      <c r="AM89" s="451"/>
      <c r="AN89" s="451"/>
      <c r="AO89" s="451"/>
      <c r="AP89" s="451"/>
      <c r="AR89" s="198">
        <f t="shared" si="75"/>
        <v>0</v>
      </c>
      <c r="AS89" s="198">
        <f t="shared" si="76"/>
        <v>0</v>
      </c>
      <c r="AT89" s="198">
        <f t="shared" si="77"/>
        <v>0</v>
      </c>
      <c r="AU89" s="198">
        <f t="shared" si="78"/>
        <v>0</v>
      </c>
      <c r="AV89" s="198">
        <f t="shared" si="79"/>
        <v>0</v>
      </c>
      <c r="AW89" s="198">
        <f t="shared" si="80"/>
        <v>0</v>
      </c>
      <c r="AX89" s="198">
        <f t="shared" si="81"/>
        <v>0</v>
      </c>
      <c r="AY89" s="198">
        <f t="shared" si="82"/>
        <v>0</v>
      </c>
      <c r="AZ89" s="12"/>
      <c r="BA89" s="4"/>
    </row>
    <row r="90" spans="1:53" x14ac:dyDescent="0.3">
      <c r="B90" s="49" t="s">
        <v>217</v>
      </c>
      <c r="R90" s="15"/>
      <c r="S90" s="15"/>
      <c r="T90" s="15"/>
      <c r="U90" s="15"/>
      <c r="V90" s="15"/>
      <c r="W90" s="451"/>
      <c r="X90" s="451"/>
      <c r="Y90" s="451"/>
      <c r="Z90" s="451"/>
      <c r="AA90" s="451"/>
      <c r="AB90" s="451"/>
      <c r="AC90" s="451"/>
      <c r="AD90" s="451"/>
      <c r="AE90" s="15"/>
      <c r="AF90" s="15"/>
      <c r="AG90" s="15"/>
      <c r="AH90" s="15"/>
      <c r="AI90" s="451"/>
      <c r="AJ90" s="451"/>
      <c r="AK90" s="451"/>
      <c r="AL90" s="451"/>
      <c r="AM90" s="451"/>
      <c r="AN90" s="451"/>
      <c r="AO90" s="451"/>
      <c r="AP90" s="451"/>
      <c r="AR90" s="198">
        <f t="shared" si="75"/>
        <v>0</v>
      </c>
      <c r="AS90" s="198">
        <f t="shared" si="76"/>
        <v>0</v>
      </c>
      <c r="AT90" s="198">
        <f t="shared" si="77"/>
        <v>0</v>
      </c>
      <c r="AU90" s="198">
        <f t="shared" si="78"/>
        <v>0</v>
      </c>
      <c r="AV90" s="198">
        <f t="shared" si="79"/>
        <v>0</v>
      </c>
      <c r="AW90" s="198">
        <f t="shared" si="80"/>
        <v>0</v>
      </c>
      <c r="AX90" s="198">
        <f t="shared" si="81"/>
        <v>0</v>
      </c>
      <c r="AY90" s="198">
        <f t="shared" si="82"/>
        <v>0</v>
      </c>
      <c r="AZ90" s="12"/>
      <c r="BA90" s="4"/>
    </row>
    <row r="91" spans="1:53" x14ac:dyDescent="0.3">
      <c r="A91">
        <v>1015</v>
      </c>
      <c r="B91" t="s">
        <v>335</v>
      </c>
      <c r="R91" s="15"/>
      <c r="S91" s="15"/>
      <c r="T91" s="15"/>
      <c r="U91" s="15"/>
      <c r="V91" s="15"/>
      <c r="W91" s="451"/>
      <c r="X91" s="451"/>
      <c r="Y91" s="451"/>
      <c r="Z91" s="451"/>
      <c r="AA91" s="451"/>
      <c r="AB91" s="451"/>
      <c r="AC91" s="451"/>
      <c r="AD91" s="451"/>
      <c r="AE91" s="4"/>
      <c r="AF91" s="4"/>
      <c r="AG91" s="4"/>
      <c r="AH91" s="4"/>
      <c r="AI91" s="429"/>
      <c r="AJ91" s="429"/>
      <c r="AK91" s="429"/>
      <c r="AL91" s="429"/>
      <c r="AM91" s="429"/>
      <c r="AN91" s="429"/>
      <c r="AO91" s="429"/>
      <c r="AP91" s="429"/>
      <c r="AR91" s="198">
        <f t="shared" si="75"/>
        <v>0</v>
      </c>
      <c r="AS91" s="198">
        <f t="shared" si="76"/>
        <v>0</v>
      </c>
      <c r="AT91" s="198">
        <f t="shared" si="77"/>
        <v>0</v>
      </c>
      <c r="AU91" s="198">
        <f t="shared" si="78"/>
        <v>0</v>
      </c>
      <c r="AV91" s="198">
        <f t="shared" si="79"/>
        <v>0</v>
      </c>
      <c r="AW91" s="198">
        <f t="shared" si="80"/>
        <v>0</v>
      </c>
      <c r="AX91" s="198">
        <f t="shared" si="81"/>
        <v>0</v>
      </c>
      <c r="AY91" s="198">
        <f t="shared" si="82"/>
        <v>0</v>
      </c>
      <c r="AZ91" s="12"/>
      <c r="BA91" s="4"/>
    </row>
    <row r="92" spans="1:53" x14ac:dyDescent="0.3">
      <c r="B92" t="s">
        <v>245</v>
      </c>
      <c r="U92" s="15"/>
      <c r="V92" s="15"/>
      <c r="W92" s="451"/>
      <c r="X92" s="451"/>
      <c r="Y92" s="451"/>
      <c r="Z92" s="451"/>
      <c r="AA92" s="451"/>
      <c r="AB92" s="451"/>
      <c r="AC92" s="451"/>
      <c r="AD92" s="451"/>
      <c r="AI92" s="429"/>
      <c r="AJ92" s="429"/>
      <c r="AK92" s="429"/>
      <c r="AL92" s="429"/>
      <c r="AM92" s="429"/>
      <c r="AN92" s="429"/>
      <c r="AO92" s="429"/>
      <c r="AP92" s="429"/>
      <c r="AR92" s="198">
        <f t="shared" si="75"/>
        <v>0</v>
      </c>
      <c r="AS92" s="198">
        <f t="shared" si="76"/>
        <v>0</v>
      </c>
      <c r="AT92" s="198">
        <f t="shared" si="77"/>
        <v>0</v>
      </c>
      <c r="AU92" s="198">
        <f t="shared" si="78"/>
        <v>0</v>
      </c>
      <c r="AV92" s="198">
        <f t="shared" si="79"/>
        <v>0</v>
      </c>
      <c r="AW92" s="198">
        <f t="shared" si="80"/>
        <v>0</v>
      </c>
      <c r="AX92" s="198">
        <f t="shared" si="81"/>
        <v>0</v>
      </c>
      <c r="AY92" s="198">
        <f t="shared" si="82"/>
        <v>0</v>
      </c>
      <c r="BA92" s="4"/>
    </row>
    <row r="93" spans="1:53" x14ac:dyDescent="0.3">
      <c r="A93">
        <v>1048</v>
      </c>
      <c r="B93" t="s">
        <v>236</v>
      </c>
      <c r="U93" s="15"/>
      <c r="V93" s="15"/>
      <c r="W93" s="451"/>
      <c r="X93" s="451"/>
      <c r="Y93" s="451"/>
      <c r="Z93" s="451"/>
      <c r="AA93" s="451"/>
      <c r="AB93" s="451"/>
      <c r="AC93" s="451"/>
      <c r="AD93" s="451"/>
      <c r="AI93" s="429"/>
      <c r="AJ93" s="429"/>
      <c r="AK93" s="429"/>
      <c r="AL93" s="429"/>
      <c r="AM93" s="429"/>
      <c r="AN93" s="429"/>
      <c r="AO93" s="429"/>
      <c r="AP93" s="429"/>
      <c r="AR93" s="198">
        <f t="shared" si="75"/>
        <v>0</v>
      </c>
      <c r="AS93" s="198">
        <f t="shared" si="76"/>
        <v>0</v>
      </c>
      <c r="AT93" s="198">
        <f t="shared" si="77"/>
        <v>0</v>
      </c>
      <c r="AU93" s="198">
        <f t="shared" si="78"/>
        <v>0</v>
      </c>
      <c r="AV93" s="198">
        <f t="shared" si="79"/>
        <v>0</v>
      </c>
      <c r="AW93" s="198">
        <f t="shared" si="80"/>
        <v>0</v>
      </c>
      <c r="AX93" s="198">
        <f t="shared" si="81"/>
        <v>0</v>
      </c>
      <c r="AY93" s="198">
        <f t="shared" si="82"/>
        <v>0</v>
      </c>
      <c r="BA93" s="4"/>
    </row>
    <row r="94" spans="1:53" x14ac:dyDescent="0.3">
      <c r="BA94" s="4"/>
    </row>
    <row r="95" spans="1:53" x14ac:dyDescent="0.3">
      <c r="B95" s="1" t="s">
        <v>257</v>
      </c>
      <c r="BA95" s="4"/>
    </row>
    <row r="96" spans="1:53" x14ac:dyDescent="0.3">
      <c r="A96">
        <v>1012</v>
      </c>
      <c r="B96" t="s">
        <v>83</v>
      </c>
      <c r="R96" s="15"/>
      <c r="S96" s="15"/>
      <c r="T96" s="15"/>
      <c r="U96" s="15"/>
      <c r="V96" s="15"/>
      <c r="W96" s="451"/>
      <c r="X96" s="451"/>
      <c r="Y96" s="451"/>
      <c r="Z96" s="451"/>
      <c r="AA96" s="451"/>
      <c r="AB96" s="451"/>
      <c r="AC96" s="451"/>
      <c r="AD96" s="451"/>
      <c r="AE96" s="15"/>
      <c r="AF96" s="15"/>
      <c r="AG96" s="15"/>
      <c r="AH96" s="15"/>
      <c r="AI96" s="451"/>
      <c r="AJ96" s="451"/>
      <c r="AK96" s="451"/>
      <c r="AL96" s="451"/>
      <c r="AM96" s="451"/>
      <c r="AN96" s="451"/>
      <c r="AO96" s="451"/>
      <c r="AP96" s="451"/>
      <c r="AR96" s="198">
        <f t="shared" ref="AR96:AR110" si="91">IF(ISERROR((AI96-W96)/W96),0,(AI96-W96)/W96)</f>
        <v>0</v>
      </c>
      <c r="AS96" s="198">
        <f t="shared" ref="AS96:AS110" si="92">IF(ISERROR((AJ96-X96)/X96),0,(AJ96-X96)/X96)</f>
        <v>0</v>
      </c>
      <c r="AT96" s="198">
        <f t="shared" ref="AT96:AT110" si="93">IF(ISERROR((AK96-Y96)/Y96),0,(AK96-Y96)/Y96)</f>
        <v>0</v>
      </c>
      <c r="AU96" s="198">
        <f t="shared" ref="AU96:AU110" si="94">IF(ISERROR((AL96-Z96)/Z96),0,(AL96-Z96)/Z96)</f>
        <v>0</v>
      </c>
      <c r="AV96" s="198">
        <f t="shared" ref="AV96:AV110" si="95">IF(ISERROR((AM96-AA96)/AA96),0,(AM96-AA96)/AA96)</f>
        <v>0</v>
      </c>
      <c r="AW96" s="198">
        <f t="shared" ref="AW96:AW110" si="96">IF(ISERROR((AN96-AB96)/AB96),0,(AN96-AB96)/AB96)</f>
        <v>0</v>
      </c>
      <c r="AX96" s="198">
        <f t="shared" ref="AX96:AX110" si="97">IF(ISERROR((AO96-AC96)/AC96),0,(AO96-AC96)/AC96)</f>
        <v>0</v>
      </c>
      <c r="AY96" s="198">
        <f t="shared" ref="AY96:AY110" si="98">IF(ISERROR((AP96-AD96)/AD96),0,(AP96-AD96)/AD96)</f>
        <v>0</v>
      </c>
      <c r="AZ96" s="12"/>
      <c r="BA96" s="4"/>
    </row>
    <row r="97" spans="1:53" x14ac:dyDescent="0.3">
      <c r="A97">
        <v>1012</v>
      </c>
      <c r="B97" t="s">
        <v>92</v>
      </c>
      <c r="R97" s="15"/>
      <c r="S97" s="15"/>
      <c r="T97" s="15"/>
      <c r="U97" s="15"/>
      <c r="V97" s="15"/>
      <c r="W97" s="451"/>
      <c r="X97" s="451"/>
      <c r="Y97" s="451"/>
      <c r="Z97" s="451"/>
      <c r="AA97" s="451"/>
      <c r="AB97" s="451"/>
      <c r="AC97" s="451"/>
      <c r="AD97" s="451"/>
      <c r="AE97" s="15"/>
      <c r="AF97" s="15"/>
      <c r="AG97" s="15"/>
      <c r="AH97" s="15"/>
      <c r="AI97" s="451"/>
      <c r="AJ97" s="451"/>
      <c r="AK97" s="451"/>
      <c r="AL97" s="451"/>
      <c r="AM97" s="451"/>
      <c r="AN97" s="451"/>
      <c r="AO97" s="451"/>
      <c r="AP97" s="451"/>
      <c r="AR97" s="198">
        <f t="shared" si="91"/>
        <v>0</v>
      </c>
      <c r="AS97" s="198">
        <f t="shared" si="92"/>
        <v>0</v>
      </c>
      <c r="AT97" s="198">
        <f t="shared" si="93"/>
        <v>0</v>
      </c>
      <c r="AU97" s="198">
        <f t="shared" si="94"/>
        <v>0</v>
      </c>
      <c r="AV97" s="198">
        <f t="shared" si="95"/>
        <v>0</v>
      </c>
      <c r="AW97" s="198">
        <f t="shared" si="96"/>
        <v>0</v>
      </c>
      <c r="AX97" s="198">
        <f t="shared" si="97"/>
        <v>0</v>
      </c>
      <c r="AY97" s="198">
        <f t="shared" si="98"/>
        <v>0</v>
      </c>
      <c r="AZ97" s="12"/>
      <c r="BA97" s="4"/>
    </row>
    <row r="98" spans="1:53" x14ac:dyDescent="0.3">
      <c r="B98" t="s">
        <v>121</v>
      </c>
      <c r="R98" s="15"/>
      <c r="S98" s="15"/>
      <c r="T98" s="15"/>
      <c r="U98" s="15"/>
      <c r="V98" s="15"/>
      <c r="W98" s="451"/>
      <c r="X98" s="451"/>
      <c r="Y98" s="451"/>
      <c r="Z98" s="451"/>
      <c r="AA98" s="451"/>
      <c r="AB98" s="451"/>
      <c r="AC98" s="451"/>
      <c r="AD98" s="451"/>
      <c r="AE98" s="15"/>
      <c r="AF98" s="15"/>
      <c r="AG98" s="15"/>
      <c r="AH98" s="15"/>
      <c r="AI98" s="451"/>
      <c r="AJ98" s="451"/>
      <c r="AK98" s="451"/>
      <c r="AL98" s="451"/>
      <c r="AM98" s="451"/>
      <c r="AN98" s="451"/>
      <c r="AO98" s="451"/>
      <c r="AP98" s="451"/>
      <c r="AR98" s="198">
        <f t="shared" si="91"/>
        <v>0</v>
      </c>
      <c r="AS98" s="198">
        <f t="shared" si="92"/>
        <v>0</v>
      </c>
      <c r="AT98" s="198">
        <f t="shared" si="93"/>
        <v>0</v>
      </c>
      <c r="AU98" s="198">
        <f t="shared" si="94"/>
        <v>0</v>
      </c>
      <c r="AV98" s="198">
        <f t="shared" si="95"/>
        <v>0</v>
      </c>
      <c r="AW98" s="198">
        <f t="shared" si="96"/>
        <v>0</v>
      </c>
      <c r="AX98" s="198">
        <f t="shared" si="97"/>
        <v>0</v>
      </c>
      <c r="AY98" s="198">
        <f t="shared" si="98"/>
        <v>0</v>
      </c>
      <c r="AZ98" s="12"/>
      <c r="BA98" s="4"/>
    </row>
    <row r="99" spans="1:53" x14ac:dyDescent="0.3">
      <c r="B99" s="14" t="s">
        <v>93</v>
      </c>
      <c r="R99" s="15"/>
      <c r="S99" s="15"/>
      <c r="T99" s="15"/>
      <c r="U99" s="15"/>
      <c r="V99" s="15"/>
      <c r="W99" s="451"/>
      <c r="X99" s="451"/>
      <c r="Y99" s="451"/>
      <c r="Z99" s="451"/>
      <c r="AA99" s="451"/>
      <c r="AB99" s="451"/>
      <c r="AC99" s="451"/>
      <c r="AD99" s="451"/>
      <c r="AE99" s="15"/>
      <c r="AF99" s="15"/>
      <c r="AG99" s="15"/>
      <c r="AH99" s="15"/>
      <c r="AI99" s="451"/>
      <c r="AJ99" s="451"/>
      <c r="AK99" s="451"/>
      <c r="AL99" s="451"/>
      <c r="AM99" s="451"/>
      <c r="AN99" s="451"/>
      <c r="AO99" s="451"/>
      <c r="AP99" s="451"/>
      <c r="AR99" s="198">
        <f t="shared" si="91"/>
        <v>0</v>
      </c>
      <c r="AS99" s="198">
        <f t="shared" si="92"/>
        <v>0</v>
      </c>
      <c r="AT99" s="198">
        <f t="shared" si="93"/>
        <v>0</v>
      </c>
      <c r="AU99" s="198">
        <f t="shared" si="94"/>
        <v>0</v>
      </c>
      <c r="AV99" s="198">
        <f t="shared" si="95"/>
        <v>0</v>
      </c>
      <c r="AW99" s="198">
        <f t="shared" si="96"/>
        <v>0</v>
      </c>
      <c r="AX99" s="198">
        <f t="shared" si="97"/>
        <v>0</v>
      </c>
      <c r="AY99" s="198">
        <f t="shared" si="98"/>
        <v>0</v>
      </c>
      <c r="AZ99" s="12"/>
      <c r="BA99" s="4"/>
    </row>
    <row r="100" spans="1:53" x14ac:dyDescent="0.3">
      <c r="B100" s="14" t="s">
        <v>271</v>
      </c>
      <c r="R100" s="15"/>
      <c r="S100" s="15"/>
      <c r="T100" s="15"/>
      <c r="U100" s="15"/>
      <c r="V100" s="15"/>
      <c r="W100" s="451"/>
      <c r="X100" s="451"/>
      <c r="Y100" s="451"/>
      <c r="Z100" s="451"/>
      <c r="AA100" s="451"/>
      <c r="AB100" s="451"/>
      <c r="AC100" s="451"/>
      <c r="AD100" s="451"/>
      <c r="AE100" s="15"/>
      <c r="AF100" s="15"/>
      <c r="AG100" s="15"/>
      <c r="AH100" s="15"/>
      <c r="AI100" s="451"/>
      <c r="AJ100" s="451"/>
      <c r="AK100" s="451"/>
      <c r="AL100" s="451"/>
      <c r="AM100" s="451"/>
      <c r="AN100" s="451"/>
      <c r="AO100" s="451"/>
      <c r="AP100" s="451"/>
      <c r="AR100" s="198">
        <f t="shared" ref="AR100:AR101" si="99">IF(ISERROR((AI100-W100)/W100),0,(AI100-W100)/W100)</f>
        <v>0</v>
      </c>
      <c r="AS100" s="198">
        <f t="shared" ref="AS100:AS101" si="100">IF(ISERROR((AJ100-X100)/X100),0,(AJ100-X100)/X100)</f>
        <v>0</v>
      </c>
      <c r="AT100" s="198">
        <f t="shared" ref="AT100:AT101" si="101">IF(ISERROR((AK100-Y100)/Y100),0,(AK100-Y100)/Y100)</f>
        <v>0</v>
      </c>
      <c r="AU100" s="198">
        <f t="shared" ref="AU100:AU101" si="102">IF(ISERROR((AL100-Z100)/Z100),0,(AL100-Z100)/Z100)</f>
        <v>0</v>
      </c>
      <c r="AV100" s="198">
        <f t="shared" ref="AV100:AV101" si="103">IF(ISERROR((AM100-AA100)/AA100),0,(AM100-AA100)/AA100)</f>
        <v>0</v>
      </c>
      <c r="AW100" s="198">
        <f t="shared" ref="AW100:AW101" si="104">IF(ISERROR((AN100-AB100)/AB100),0,(AN100-AB100)/AB100)</f>
        <v>0</v>
      </c>
      <c r="AX100" s="198">
        <f t="shared" ref="AX100:AX101" si="105">IF(ISERROR((AO100-AC100)/AC100),0,(AO100-AC100)/AC100)</f>
        <v>0</v>
      </c>
      <c r="AY100" s="198">
        <f t="shared" ref="AY100:AY101" si="106">IF(ISERROR((AP100-AD100)/AD100),0,(AP100-AD100)/AD100)</f>
        <v>0</v>
      </c>
      <c r="AZ100" s="12"/>
      <c r="BA100" s="4"/>
    </row>
    <row r="101" spans="1:53" x14ac:dyDescent="0.3">
      <c r="B101" s="14" t="s">
        <v>183</v>
      </c>
      <c r="R101" s="15"/>
      <c r="S101" s="15"/>
      <c r="T101" s="15"/>
      <c r="U101" s="15"/>
      <c r="V101" s="15"/>
      <c r="W101" s="451"/>
      <c r="X101" s="451"/>
      <c r="Y101" s="451"/>
      <c r="Z101" s="451"/>
      <c r="AA101" s="451"/>
      <c r="AB101" s="451"/>
      <c r="AC101" s="451"/>
      <c r="AD101" s="451"/>
      <c r="AE101" s="15"/>
      <c r="AF101" s="15"/>
      <c r="AG101" s="15"/>
      <c r="AH101" s="15"/>
      <c r="AI101" s="451"/>
      <c r="AJ101" s="451"/>
      <c r="AK101" s="451"/>
      <c r="AL101" s="451"/>
      <c r="AM101" s="451"/>
      <c r="AN101" s="451"/>
      <c r="AO101" s="451"/>
      <c r="AP101" s="451"/>
      <c r="AR101" s="198">
        <f t="shared" si="99"/>
        <v>0</v>
      </c>
      <c r="AS101" s="198">
        <f t="shared" si="100"/>
        <v>0</v>
      </c>
      <c r="AT101" s="198">
        <f t="shared" si="101"/>
        <v>0</v>
      </c>
      <c r="AU101" s="198">
        <f t="shared" si="102"/>
        <v>0</v>
      </c>
      <c r="AV101" s="198">
        <f t="shared" si="103"/>
        <v>0</v>
      </c>
      <c r="AW101" s="198">
        <f t="shared" si="104"/>
        <v>0</v>
      </c>
      <c r="AX101" s="198">
        <f t="shared" si="105"/>
        <v>0</v>
      </c>
      <c r="AY101" s="198">
        <f t="shared" si="106"/>
        <v>0</v>
      </c>
      <c r="AZ101" s="12"/>
      <c r="BA101" s="4"/>
    </row>
    <row r="102" spans="1:53" x14ac:dyDescent="0.3">
      <c r="A102">
        <v>1013</v>
      </c>
      <c r="B102" t="s">
        <v>84</v>
      </c>
      <c r="R102" s="15"/>
      <c r="S102" s="15"/>
      <c r="T102" s="15"/>
      <c r="U102" s="15"/>
      <c r="V102" s="15"/>
      <c r="W102" s="451"/>
      <c r="X102" s="451"/>
      <c r="Y102" s="451"/>
      <c r="Z102" s="451"/>
      <c r="AA102" s="451"/>
      <c r="AB102" s="451"/>
      <c r="AC102" s="451"/>
      <c r="AD102" s="451"/>
      <c r="AE102" s="15"/>
      <c r="AF102" s="15"/>
      <c r="AG102" s="15"/>
      <c r="AH102" s="15"/>
      <c r="AI102" s="451"/>
      <c r="AJ102" s="451"/>
      <c r="AK102" s="451"/>
      <c r="AL102" s="451"/>
      <c r="AM102" s="451"/>
      <c r="AN102" s="451"/>
      <c r="AO102" s="451"/>
      <c r="AP102" s="451"/>
      <c r="AR102" s="198">
        <f t="shared" si="91"/>
        <v>0</v>
      </c>
      <c r="AS102" s="198">
        <f t="shared" si="92"/>
        <v>0</v>
      </c>
      <c r="AT102" s="198">
        <f t="shared" si="93"/>
        <v>0</v>
      </c>
      <c r="AU102" s="198">
        <f t="shared" si="94"/>
        <v>0</v>
      </c>
      <c r="AV102" s="198">
        <f t="shared" si="95"/>
        <v>0</v>
      </c>
      <c r="AW102" s="198">
        <f t="shared" si="96"/>
        <v>0</v>
      </c>
      <c r="AX102" s="198">
        <f t="shared" si="97"/>
        <v>0</v>
      </c>
      <c r="AY102" s="198">
        <f t="shared" si="98"/>
        <v>0</v>
      </c>
      <c r="AZ102" s="12"/>
      <c r="BA102" s="4"/>
    </row>
    <row r="103" spans="1:53" x14ac:dyDescent="0.3">
      <c r="A103">
        <v>1014</v>
      </c>
      <c r="B103" t="s">
        <v>85</v>
      </c>
      <c r="R103" s="15"/>
      <c r="S103" s="15"/>
      <c r="T103" s="15"/>
      <c r="U103" s="15"/>
      <c r="V103" s="15"/>
      <c r="W103" s="451"/>
      <c r="X103" s="451"/>
      <c r="Y103" s="451"/>
      <c r="Z103" s="451"/>
      <c r="AA103" s="451"/>
      <c r="AB103" s="451"/>
      <c r="AC103" s="451"/>
      <c r="AD103" s="451"/>
      <c r="AE103" s="15"/>
      <c r="AF103" s="15"/>
      <c r="AG103" s="15"/>
      <c r="AH103" s="15"/>
      <c r="AI103" s="451"/>
      <c r="AJ103" s="451"/>
      <c r="AK103" s="451"/>
      <c r="AL103" s="451"/>
      <c r="AM103" s="451"/>
      <c r="AN103" s="451"/>
      <c r="AO103" s="451"/>
      <c r="AP103" s="451"/>
      <c r="AR103" s="198">
        <f t="shared" si="91"/>
        <v>0</v>
      </c>
      <c r="AS103" s="198">
        <f t="shared" si="92"/>
        <v>0</v>
      </c>
      <c r="AT103" s="198">
        <f t="shared" si="93"/>
        <v>0</v>
      </c>
      <c r="AU103" s="198">
        <f t="shared" si="94"/>
        <v>0</v>
      </c>
      <c r="AV103" s="198">
        <f t="shared" si="95"/>
        <v>0</v>
      </c>
      <c r="AW103" s="198">
        <f t="shared" si="96"/>
        <v>0</v>
      </c>
      <c r="AX103" s="198">
        <f t="shared" si="97"/>
        <v>0</v>
      </c>
      <c r="AY103" s="198">
        <f t="shared" si="98"/>
        <v>0</v>
      </c>
      <c r="AZ103" s="12"/>
      <c r="BA103" s="4"/>
    </row>
    <row r="104" spans="1:53" x14ac:dyDescent="0.3">
      <c r="B104" t="s">
        <v>179</v>
      </c>
      <c r="R104" s="15"/>
      <c r="S104" s="15"/>
      <c r="T104" s="15"/>
      <c r="U104" s="15"/>
      <c r="V104" s="15"/>
      <c r="W104" s="451"/>
      <c r="X104" s="451"/>
      <c r="Y104" s="451"/>
      <c r="Z104" s="451"/>
      <c r="AA104" s="451"/>
      <c r="AB104" s="451"/>
      <c r="AC104" s="451"/>
      <c r="AD104" s="451"/>
      <c r="AE104" s="15"/>
      <c r="AF104" s="15"/>
      <c r="AG104" s="15"/>
      <c r="AH104" s="15"/>
      <c r="AI104" s="451"/>
      <c r="AJ104" s="451"/>
      <c r="AK104" s="451"/>
      <c r="AL104" s="451"/>
      <c r="AM104" s="451"/>
      <c r="AN104" s="451"/>
      <c r="AO104" s="451"/>
      <c r="AP104" s="451"/>
      <c r="AR104" s="198">
        <f t="shared" si="91"/>
        <v>0</v>
      </c>
      <c r="AS104" s="198">
        <f t="shared" si="92"/>
        <v>0</v>
      </c>
      <c r="AT104" s="198">
        <f t="shared" si="93"/>
        <v>0</v>
      </c>
      <c r="AU104" s="198">
        <f t="shared" si="94"/>
        <v>0</v>
      </c>
      <c r="AV104" s="198">
        <f t="shared" si="95"/>
        <v>0</v>
      </c>
      <c r="AW104" s="198">
        <f t="shared" si="96"/>
        <v>0</v>
      </c>
      <c r="AX104" s="198">
        <f t="shared" si="97"/>
        <v>0</v>
      </c>
      <c r="AY104" s="198">
        <f t="shared" si="98"/>
        <v>0</v>
      </c>
      <c r="AZ104" s="12"/>
      <c r="BA104" s="4"/>
    </row>
    <row r="105" spans="1:53" x14ac:dyDescent="0.3">
      <c r="A105">
        <v>1018</v>
      </c>
      <c r="B105" t="s">
        <v>86</v>
      </c>
      <c r="R105" s="15"/>
      <c r="S105" s="15"/>
      <c r="T105" s="15"/>
      <c r="U105" s="15"/>
      <c r="V105" s="15"/>
      <c r="W105" s="451"/>
      <c r="X105" s="451"/>
      <c r="Y105" s="451"/>
      <c r="Z105" s="451"/>
      <c r="AA105" s="451"/>
      <c r="AB105" s="451"/>
      <c r="AC105" s="451"/>
      <c r="AD105" s="451"/>
      <c r="AE105" s="15"/>
      <c r="AF105" s="15"/>
      <c r="AG105" s="15"/>
      <c r="AH105" s="15"/>
      <c r="AI105" s="451"/>
      <c r="AJ105" s="451"/>
      <c r="AK105" s="451"/>
      <c r="AL105" s="451"/>
      <c r="AM105" s="451"/>
      <c r="AN105" s="451"/>
      <c r="AO105" s="451"/>
      <c r="AP105" s="451"/>
      <c r="AR105" s="198">
        <f t="shared" si="91"/>
        <v>0</v>
      </c>
      <c r="AS105" s="198">
        <f t="shared" si="92"/>
        <v>0</v>
      </c>
      <c r="AT105" s="198">
        <f t="shared" si="93"/>
        <v>0</v>
      </c>
      <c r="AU105" s="198">
        <f t="shared" si="94"/>
        <v>0</v>
      </c>
      <c r="AV105" s="198">
        <f t="shared" si="95"/>
        <v>0</v>
      </c>
      <c r="AW105" s="198">
        <f t="shared" si="96"/>
        <v>0</v>
      </c>
      <c r="AX105" s="198">
        <f t="shared" si="97"/>
        <v>0</v>
      </c>
      <c r="AY105" s="198">
        <f t="shared" si="98"/>
        <v>0</v>
      </c>
      <c r="AZ105" s="12"/>
      <c r="BA105" s="4"/>
    </row>
    <row r="106" spans="1:53" x14ac:dyDescent="0.3">
      <c r="A106">
        <v>1019</v>
      </c>
      <c r="B106" t="s">
        <v>78</v>
      </c>
      <c r="R106" s="15"/>
      <c r="S106" s="15"/>
      <c r="T106" s="15"/>
      <c r="U106" s="15"/>
      <c r="V106" s="15"/>
      <c r="W106" s="451"/>
      <c r="X106" s="451"/>
      <c r="Y106" s="451"/>
      <c r="Z106" s="451"/>
      <c r="AA106" s="451"/>
      <c r="AB106" s="451"/>
      <c r="AC106" s="451"/>
      <c r="AD106" s="451"/>
      <c r="AE106" s="15"/>
      <c r="AF106" s="15"/>
      <c r="AG106" s="15"/>
      <c r="AH106" s="15"/>
      <c r="AI106" s="451"/>
      <c r="AJ106" s="451"/>
      <c r="AK106" s="451"/>
      <c r="AL106" s="451"/>
      <c r="AM106" s="451"/>
      <c r="AN106" s="451"/>
      <c r="AO106" s="451"/>
      <c r="AP106" s="451"/>
      <c r="AR106" s="198">
        <f t="shared" si="91"/>
        <v>0</v>
      </c>
      <c r="AS106" s="198">
        <f t="shared" si="92"/>
        <v>0</v>
      </c>
      <c r="AT106" s="198">
        <f t="shared" si="93"/>
        <v>0</v>
      </c>
      <c r="AU106" s="198">
        <f t="shared" si="94"/>
        <v>0</v>
      </c>
      <c r="AV106" s="198">
        <f t="shared" si="95"/>
        <v>0</v>
      </c>
      <c r="AW106" s="198">
        <f t="shared" si="96"/>
        <v>0</v>
      </c>
      <c r="AX106" s="198">
        <f t="shared" si="97"/>
        <v>0</v>
      </c>
      <c r="AY106" s="198">
        <f t="shared" si="98"/>
        <v>0</v>
      </c>
      <c r="AZ106" s="12"/>
      <c r="BA106" s="4"/>
    </row>
    <row r="107" spans="1:53" x14ac:dyDescent="0.3">
      <c r="B107" s="49" t="s">
        <v>217</v>
      </c>
      <c r="R107" s="15"/>
      <c r="S107" s="15"/>
      <c r="T107" s="15"/>
      <c r="U107" s="15"/>
      <c r="V107" s="15"/>
      <c r="W107" s="451"/>
      <c r="X107" s="451"/>
      <c r="Y107" s="451"/>
      <c r="Z107" s="451"/>
      <c r="AA107" s="451"/>
      <c r="AB107" s="451"/>
      <c r="AC107" s="451"/>
      <c r="AD107" s="451"/>
      <c r="AE107" s="15"/>
      <c r="AF107" s="15"/>
      <c r="AG107" s="15"/>
      <c r="AH107" s="15"/>
      <c r="AI107" s="451"/>
      <c r="AJ107" s="451"/>
      <c r="AK107" s="451"/>
      <c r="AL107" s="451"/>
      <c r="AM107" s="451"/>
      <c r="AN107" s="451"/>
      <c r="AO107" s="451"/>
      <c r="AP107" s="451"/>
      <c r="AR107" s="198">
        <f t="shared" si="91"/>
        <v>0</v>
      </c>
      <c r="AS107" s="198">
        <f t="shared" si="92"/>
        <v>0</v>
      </c>
      <c r="AT107" s="198">
        <f t="shared" si="93"/>
        <v>0</v>
      </c>
      <c r="AU107" s="198">
        <f t="shared" si="94"/>
        <v>0</v>
      </c>
      <c r="AV107" s="198">
        <f t="shared" si="95"/>
        <v>0</v>
      </c>
      <c r="AW107" s="198">
        <f t="shared" si="96"/>
        <v>0</v>
      </c>
      <c r="AX107" s="198">
        <f t="shared" si="97"/>
        <v>0</v>
      </c>
      <c r="AY107" s="198">
        <f t="shared" si="98"/>
        <v>0</v>
      </c>
      <c r="AZ107" s="12"/>
      <c r="BA107" s="4"/>
    </row>
    <row r="108" spans="1:53" x14ac:dyDescent="0.3">
      <c r="A108">
        <v>1015</v>
      </c>
      <c r="B108" t="s">
        <v>335</v>
      </c>
      <c r="R108" s="15"/>
      <c r="S108" s="15"/>
      <c r="T108" s="15"/>
      <c r="U108" s="15"/>
      <c r="V108" s="15"/>
      <c r="W108" s="451"/>
      <c r="X108" s="451"/>
      <c r="Y108" s="451"/>
      <c r="Z108" s="451"/>
      <c r="AA108" s="451"/>
      <c r="AB108" s="451"/>
      <c r="AC108" s="451"/>
      <c r="AD108" s="451"/>
      <c r="AE108" s="15"/>
      <c r="AF108" s="15"/>
      <c r="AG108" s="15"/>
      <c r="AH108" s="15"/>
      <c r="AI108" s="451"/>
      <c r="AJ108" s="451"/>
      <c r="AK108" s="451"/>
      <c r="AL108" s="451"/>
      <c r="AM108" s="451"/>
      <c r="AN108" s="451"/>
      <c r="AO108" s="451"/>
      <c r="AP108" s="451"/>
      <c r="AR108" s="198">
        <f t="shared" si="91"/>
        <v>0</v>
      </c>
      <c r="AS108" s="198">
        <f t="shared" si="92"/>
        <v>0</v>
      </c>
      <c r="AT108" s="198">
        <f t="shared" si="93"/>
        <v>0</v>
      </c>
      <c r="AU108" s="198">
        <f t="shared" si="94"/>
        <v>0</v>
      </c>
      <c r="AV108" s="198">
        <f t="shared" si="95"/>
        <v>0</v>
      </c>
      <c r="AW108" s="198">
        <f t="shared" si="96"/>
        <v>0</v>
      </c>
      <c r="AX108" s="198">
        <f t="shared" si="97"/>
        <v>0</v>
      </c>
      <c r="AY108" s="198">
        <f t="shared" si="98"/>
        <v>0</v>
      </c>
      <c r="AZ108" s="12"/>
      <c r="BA108" s="4"/>
    </row>
    <row r="109" spans="1:53" x14ac:dyDescent="0.3">
      <c r="B109" t="s">
        <v>245</v>
      </c>
      <c r="U109" s="15"/>
      <c r="V109" s="15"/>
      <c r="W109" s="451"/>
      <c r="X109" s="451"/>
      <c r="Y109" s="451"/>
      <c r="Z109" s="451"/>
      <c r="AA109" s="451"/>
      <c r="AB109" s="451"/>
      <c r="AC109" s="451"/>
      <c r="AD109" s="451"/>
      <c r="AI109" s="451"/>
      <c r="AJ109" s="451"/>
      <c r="AK109" s="451"/>
      <c r="AL109" s="451"/>
      <c r="AM109" s="451"/>
      <c r="AN109" s="451"/>
      <c r="AO109" s="451"/>
      <c r="AP109" s="451"/>
      <c r="AR109" s="198">
        <f t="shared" si="91"/>
        <v>0</v>
      </c>
      <c r="AS109" s="198">
        <f t="shared" si="92"/>
        <v>0</v>
      </c>
      <c r="AT109" s="198">
        <f t="shared" si="93"/>
        <v>0</v>
      </c>
      <c r="AU109" s="198">
        <f t="shared" si="94"/>
        <v>0</v>
      </c>
      <c r="AV109" s="198">
        <f t="shared" si="95"/>
        <v>0</v>
      </c>
      <c r="AW109" s="198">
        <f t="shared" si="96"/>
        <v>0</v>
      </c>
      <c r="AX109" s="198">
        <f t="shared" si="97"/>
        <v>0</v>
      </c>
      <c r="AY109" s="198">
        <f t="shared" si="98"/>
        <v>0</v>
      </c>
    </row>
    <row r="110" spans="1:53" x14ac:dyDescent="0.3">
      <c r="A110">
        <v>1048</v>
      </c>
      <c r="B110" t="s">
        <v>236</v>
      </c>
      <c r="R110" s="25"/>
      <c r="S110" s="25"/>
      <c r="T110" s="25"/>
      <c r="U110" s="15"/>
      <c r="V110" s="15"/>
      <c r="W110" s="451"/>
      <c r="X110" s="451"/>
      <c r="Y110" s="451"/>
      <c r="Z110" s="451"/>
      <c r="AA110" s="451"/>
      <c r="AB110" s="451"/>
      <c r="AC110" s="451"/>
      <c r="AD110" s="451"/>
      <c r="AI110" s="451"/>
      <c r="AJ110" s="451"/>
      <c r="AK110" s="451"/>
      <c r="AL110" s="451"/>
      <c r="AM110" s="451"/>
      <c r="AN110" s="451"/>
      <c r="AO110" s="451"/>
      <c r="AP110" s="451"/>
      <c r="AR110" s="198">
        <f t="shared" si="91"/>
        <v>0</v>
      </c>
      <c r="AS110" s="198">
        <f t="shared" si="92"/>
        <v>0</v>
      </c>
      <c r="AT110" s="198">
        <f t="shared" si="93"/>
        <v>0</v>
      </c>
      <c r="AU110" s="198">
        <f t="shared" si="94"/>
        <v>0</v>
      </c>
      <c r="AV110" s="198">
        <f t="shared" si="95"/>
        <v>0</v>
      </c>
      <c r="AW110" s="198">
        <f t="shared" si="96"/>
        <v>0</v>
      </c>
      <c r="AX110" s="198">
        <f t="shared" si="97"/>
        <v>0</v>
      </c>
      <c r="AY110" s="198">
        <f t="shared" si="98"/>
        <v>0</v>
      </c>
    </row>
    <row r="111" spans="1:53" x14ac:dyDescent="0.3">
      <c r="G111" s="4"/>
      <c r="H111" s="4"/>
      <c r="I111" s="4"/>
      <c r="J111" s="4"/>
      <c r="K111" s="4"/>
      <c r="L111" s="4"/>
      <c r="M111" s="4"/>
      <c r="N111" s="4"/>
      <c r="O111" s="4"/>
      <c r="P111" s="4"/>
      <c r="Q111" s="4"/>
      <c r="S111" s="25"/>
      <c r="T111" s="25"/>
      <c r="U111" s="25"/>
      <c r="V111" s="25"/>
      <c r="W111" s="25"/>
      <c r="X111" s="25"/>
      <c r="Y111" s="25"/>
      <c r="Z111" s="25"/>
      <c r="AA111" s="25"/>
      <c r="AB111" s="25"/>
      <c r="AC111" s="25"/>
    </row>
    <row r="112" spans="1:53" x14ac:dyDescent="0.3">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row>
    <row r="113" spans="18:29" x14ac:dyDescent="0.3">
      <c r="R113" s="25"/>
      <c r="S113" s="25"/>
      <c r="T113" s="25"/>
      <c r="U113" s="25"/>
      <c r="V113" s="25"/>
      <c r="W113" s="25"/>
      <c r="X113" s="25"/>
      <c r="Y113" s="25"/>
      <c r="Z113" s="25"/>
      <c r="AA113" s="25"/>
      <c r="AB113" s="25"/>
      <c r="AC113" s="25"/>
    </row>
    <row r="114" spans="18:29" x14ac:dyDescent="0.3">
      <c r="R114" s="25"/>
      <c r="S114" s="25"/>
      <c r="T114" s="25"/>
      <c r="U114" s="25"/>
      <c r="V114" s="25"/>
      <c r="W114" s="25"/>
      <c r="X114" s="25"/>
      <c r="Y114" s="25"/>
      <c r="Z114" s="25"/>
      <c r="AA114" s="25"/>
      <c r="AB114" s="25"/>
      <c r="AC114" s="25"/>
    </row>
    <row r="120" spans="18:29" x14ac:dyDescent="0.3">
      <c r="S120" s="4"/>
      <c r="T120" s="4"/>
      <c r="U120" s="4"/>
      <c r="V120" s="4"/>
      <c r="W120" s="4"/>
      <c r="X120" s="4"/>
      <c r="Y120" s="4"/>
      <c r="Z120" s="4"/>
      <c r="AA120" s="4"/>
      <c r="AB120" s="4"/>
      <c r="AC120" s="4"/>
    </row>
    <row r="121" spans="18:29" x14ac:dyDescent="0.3">
      <c r="S121" s="4"/>
      <c r="T121" s="4"/>
      <c r="U121" s="4"/>
      <c r="V121" s="4"/>
      <c r="W121" s="4"/>
      <c r="X121" s="4"/>
      <c r="Y121" s="4"/>
      <c r="Z121" s="4"/>
      <c r="AA121" s="4"/>
      <c r="AB121" s="4"/>
      <c r="AC121" s="4"/>
    </row>
  </sheetData>
  <mergeCells count="10">
    <mergeCell ref="P1:Q1"/>
    <mergeCell ref="W5:AD5"/>
    <mergeCell ref="H26:Q26"/>
    <mergeCell ref="AJ5:AP5"/>
    <mergeCell ref="R26:V26"/>
    <mergeCell ref="C5:G5"/>
    <mergeCell ref="R5:V5"/>
    <mergeCell ref="H5:Q5"/>
    <mergeCell ref="AF5:AI5"/>
    <mergeCell ref="W26:AD26"/>
  </mergeCells>
  <phoneticPr fontId="30" type="noConversion"/>
  <hyperlinks>
    <hyperlink ref="B2" location="Contents!A1" display="Table of Contents" xr:uid="{00000000-0004-0000-0B00-000000000000}"/>
  </hyperlinks>
  <pageMargins left="0.7" right="0.7" top="0.75" bottom="0.75" header="0.3" footer="0.3"/>
  <pageSetup paperSize="9" orientation="landscape" r:id="rId1"/>
  <headerFooter>
    <oddFooter>&amp;C_x000D_&amp;1#&amp;"Century Gothic"&amp;7&amp;K7F7F7F BUSINESS USE ONLY</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B1:X11"/>
  <sheetViews>
    <sheetView topLeftCell="B1" zoomScale="80" zoomScaleNormal="80" workbookViewId="0">
      <pane ySplit="5" topLeftCell="A6" activePane="bottomLeft" state="frozen"/>
      <selection activeCell="AW8" sqref="AW8"/>
      <selection pane="bottomLeft" activeCell="O1" sqref="O1:P1"/>
    </sheetView>
  </sheetViews>
  <sheetFormatPr defaultColWidth="9.109375" defaultRowHeight="14.65" outlineLevelCol="1" x14ac:dyDescent="0.3"/>
  <cols>
    <col min="1" max="1" width="5.44140625" customWidth="1"/>
    <col min="2" max="2" width="6.109375" customWidth="1"/>
    <col min="3" max="3" width="45.88671875" customWidth="1"/>
    <col min="4" max="13" width="10.109375" customWidth="1" outlineLevel="1"/>
    <col min="14" max="14" width="11.5546875" customWidth="1"/>
  </cols>
  <sheetData>
    <row r="1" spans="2:24" ht="18.5" x14ac:dyDescent="0.35">
      <c r="B1" s="39" t="s">
        <v>24</v>
      </c>
      <c r="O1" s="523" t="s">
        <v>180</v>
      </c>
      <c r="P1" s="523"/>
    </row>
    <row r="2" spans="2:24" x14ac:dyDescent="0.3">
      <c r="B2" s="40" t="s">
        <v>54</v>
      </c>
    </row>
    <row r="3" spans="2:24" x14ac:dyDescent="0.3">
      <c r="B3" s="1"/>
      <c r="R3" s="538" t="s">
        <v>353</v>
      </c>
      <c r="S3" s="538"/>
      <c r="T3" s="538"/>
      <c r="U3" s="538"/>
      <c r="V3" s="538"/>
      <c r="W3" s="538"/>
      <c r="X3" s="538"/>
    </row>
    <row r="4" spans="2:24" x14ac:dyDescent="0.3">
      <c r="B4" s="8" t="s">
        <v>40</v>
      </c>
      <c r="D4" s="7" t="s">
        <v>15</v>
      </c>
      <c r="E4" s="7" t="s">
        <v>15</v>
      </c>
      <c r="F4" s="7" t="s">
        <v>15</v>
      </c>
      <c r="G4" s="7" t="s">
        <v>15</v>
      </c>
      <c r="H4" s="7" t="s">
        <v>15</v>
      </c>
      <c r="I4" s="7" t="s">
        <v>15</v>
      </c>
      <c r="J4" s="7" t="s">
        <v>15</v>
      </c>
      <c r="K4" s="7" t="s">
        <v>15</v>
      </c>
      <c r="L4" s="7" t="s">
        <v>15</v>
      </c>
      <c r="M4" s="7" t="s">
        <v>15</v>
      </c>
      <c r="N4" s="7" t="s">
        <v>15</v>
      </c>
      <c r="O4" s="7" t="s">
        <v>15</v>
      </c>
      <c r="P4" s="7" t="s">
        <v>15</v>
      </c>
      <c r="Q4" s="7" t="s">
        <v>15</v>
      </c>
      <c r="R4" s="7" t="s">
        <v>16</v>
      </c>
      <c r="S4" s="7" t="s">
        <v>16</v>
      </c>
      <c r="T4" s="7" t="s">
        <v>16</v>
      </c>
      <c r="U4" s="7" t="s">
        <v>16</v>
      </c>
      <c r="V4" s="7" t="s">
        <v>16</v>
      </c>
      <c r="W4" s="7" t="s">
        <v>16</v>
      </c>
      <c r="X4" s="7" t="s">
        <v>16</v>
      </c>
    </row>
    <row r="5" spans="2:24" x14ac:dyDescent="0.3">
      <c r="D5" s="3" t="s">
        <v>11</v>
      </c>
      <c r="E5" s="3" t="s">
        <v>12</v>
      </c>
      <c r="F5" s="3" t="s">
        <v>13</v>
      </c>
      <c r="G5" s="3" t="s">
        <v>14</v>
      </c>
      <c r="H5" s="3" t="s">
        <v>4</v>
      </c>
      <c r="I5" s="3" t="s">
        <v>5</v>
      </c>
      <c r="J5" s="3" t="s">
        <v>6</v>
      </c>
      <c r="K5" s="119" t="str">
        <f>Allocations!D50</f>
        <v>CY2018</v>
      </c>
      <c r="L5" s="119" t="str">
        <f>Allocations!E50</f>
        <v>CY2019</v>
      </c>
      <c r="M5" s="119" t="str">
        <f>Allocations!F50</f>
        <v>CY2020</v>
      </c>
      <c r="N5" s="119" t="str">
        <f>Allocations!G50</f>
        <v>2020-21</v>
      </c>
      <c r="O5" s="119" t="str">
        <f>Allocations!H50</f>
        <v>2021-22</v>
      </c>
      <c r="P5" s="119" t="str">
        <f>Allocations!I50</f>
        <v>2022-23</v>
      </c>
      <c r="Q5" s="119" t="str">
        <f>Allocations!J50</f>
        <v>2023-24</v>
      </c>
      <c r="R5" s="119" t="str">
        <f>Allocations!K50</f>
        <v>2024-25</v>
      </c>
      <c r="S5" s="119" t="str">
        <f>Allocations!L50</f>
        <v>2025-26</v>
      </c>
      <c r="T5" s="119" t="str">
        <f>Allocations!M50</f>
        <v>2026-27</v>
      </c>
      <c r="U5" s="119" t="str">
        <f>Allocations!N50</f>
        <v>2027–28</v>
      </c>
      <c r="V5" s="119" t="str">
        <f>Allocations!O50</f>
        <v>2028–29</v>
      </c>
      <c r="W5" s="119" t="str">
        <f>Allocations!P50</f>
        <v>2029–30</v>
      </c>
      <c r="X5" s="119" t="str">
        <f>Allocations!Q50</f>
        <v>2030–31</v>
      </c>
    </row>
    <row r="6" spans="2:24" x14ac:dyDescent="0.3">
      <c r="B6" s="1" t="s">
        <v>354</v>
      </c>
      <c r="D6" s="3"/>
      <c r="E6" s="3"/>
      <c r="F6" s="3"/>
      <c r="G6" s="3"/>
      <c r="H6" s="3"/>
      <c r="I6" s="3"/>
      <c r="J6" s="3"/>
      <c r="K6" s="3"/>
      <c r="L6" s="3"/>
      <c r="M6" s="3"/>
      <c r="N6" s="3"/>
    </row>
    <row r="7" spans="2:24" x14ac:dyDescent="0.3">
      <c r="B7">
        <v>1016</v>
      </c>
      <c r="C7" t="s">
        <v>88</v>
      </c>
      <c r="D7" s="440"/>
      <c r="E7" s="440"/>
      <c r="F7" s="440"/>
      <c r="G7" s="440"/>
      <c r="H7" s="440"/>
      <c r="I7" s="440"/>
      <c r="J7" s="440"/>
      <c r="K7" s="440"/>
      <c r="L7" s="440"/>
      <c r="M7" s="440"/>
      <c r="N7" s="440"/>
      <c r="O7" s="440"/>
      <c r="P7" s="440"/>
      <c r="Q7" s="440"/>
      <c r="R7" s="441"/>
      <c r="S7" s="441"/>
      <c r="T7" s="441"/>
      <c r="U7" s="441"/>
      <c r="V7" s="441"/>
      <c r="W7" s="442"/>
      <c r="X7" s="442"/>
    </row>
    <row r="8" spans="2:24" x14ac:dyDescent="0.3">
      <c r="D8" s="10"/>
      <c r="E8" s="10"/>
      <c r="F8" s="10"/>
      <c r="G8" s="10"/>
      <c r="H8" s="10"/>
      <c r="I8" s="10"/>
      <c r="J8" s="10"/>
      <c r="K8" s="10"/>
      <c r="L8" s="10"/>
      <c r="M8" s="10"/>
      <c r="N8" s="10"/>
      <c r="R8" s="108"/>
      <c r="S8" s="108"/>
      <c r="T8" s="108"/>
      <c r="U8" s="108"/>
      <c r="V8" s="108"/>
      <c r="W8" s="108"/>
      <c r="X8" s="108"/>
    </row>
    <row r="9" spans="2:24" x14ac:dyDescent="0.3">
      <c r="D9" s="10"/>
      <c r="E9" s="10"/>
      <c r="F9" s="10"/>
      <c r="G9" s="10"/>
      <c r="H9" s="10"/>
      <c r="I9" s="10"/>
      <c r="J9" s="10"/>
      <c r="K9" s="10"/>
      <c r="L9" s="10"/>
      <c r="M9" s="10"/>
      <c r="N9" s="10"/>
      <c r="R9" s="12"/>
      <c r="S9" s="12"/>
      <c r="T9" s="12"/>
      <c r="U9" s="12"/>
      <c r="V9" s="12"/>
      <c r="W9" s="12"/>
      <c r="X9" s="12"/>
    </row>
    <row r="10" spans="2:24" x14ac:dyDescent="0.3">
      <c r="D10" s="10"/>
      <c r="E10" s="10"/>
      <c r="F10" s="10"/>
      <c r="G10" s="10"/>
      <c r="H10" s="10"/>
      <c r="I10" s="10"/>
      <c r="J10" s="10"/>
      <c r="K10" s="10"/>
      <c r="L10" s="10"/>
      <c r="M10" s="10"/>
      <c r="N10" s="10"/>
    </row>
    <row r="11" spans="2:24" x14ac:dyDescent="0.3">
      <c r="I11" s="72"/>
      <c r="J11" s="72"/>
      <c r="K11" s="72"/>
      <c r="L11" s="72"/>
      <c r="M11" s="72"/>
      <c r="N11" s="72"/>
      <c r="O11" s="72"/>
      <c r="P11" s="72"/>
    </row>
  </sheetData>
  <mergeCells count="2">
    <mergeCell ref="O1:P1"/>
    <mergeCell ref="R3:X3"/>
  </mergeCells>
  <hyperlinks>
    <hyperlink ref="B2" location="Contents!A1" display="Table of Contents" xr:uid="{00000000-0004-0000-0C00-000000000000}"/>
  </hyperlinks>
  <pageMargins left="0.7" right="0.7" top="0.75" bottom="0.75" header="0.3" footer="0.3"/>
  <headerFooter>
    <oddFooter>&amp;C_x000D_&amp;1#&amp;"Century Gothic"&amp;7&amp;K7F7F7F BUSINESS USE 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B1:AZ83"/>
  <sheetViews>
    <sheetView zoomScale="85" zoomScaleNormal="85" workbookViewId="0">
      <selection activeCell="AH51" sqref="AH51"/>
    </sheetView>
  </sheetViews>
  <sheetFormatPr defaultColWidth="9.109375" defaultRowHeight="14.65" x14ac:dyDescent="0.3"/>
  <cols>
    <col min="1" max="1" width="3.109375" customWidth="1"/>
    <col min="2" max="2" width="55.33203125" customWidth="1"/>
    <col min="3" max="4" width="8.6640625" customWidth="1"/>
    <col min="5" max="13" width="9" customWidth="1"/>
    <col min="14" max="14" width="10.21875" customWidth="1"/>
    <col min="15" max="15" width="8.5546875" customWidth="1"/>
    <col min="16" max="16" width="9.5546875" customWidth="1"/>
    <col min="17" max="18" width="8.21875" customWidth="1"/>
    <col min="19" max="26" width="8" customWidth="1"/>
    <col min="27" max="27" width="5.44140625" customWidth="1"/>
    <col min="28" max="28" width="51.5546875" customWidth="1"/>
    <col min="29" max="29" width="9.109375" customWidth="1"/>
    <col min="30" max="30" width="8" bestFit="1" customWidth="1"/>
    <col min="31" max="32" width="9" bestFit="1" customWidth="1"/>
    <col min="33" max="34" width="9.109375" bestFit="1" customWidth="1"/>
    <col min="35" max="35" width="9.33203125" customWidth="1"/>
    <col min="36" max="36" width="9.109375" bestFit="1" customWidth="1"/>
    <col min="37" max="38" width="9" bestFit="1" customWidth="1"/>
    <col min="39" max="39" width="9" customWidth="1"/>
  </cols>
  <sheetData>
    <row r="1" spans="2:39" ht="18.5" x14ac:dyDescent="0.35">
      <c r="B1" s="39" t="s">
        <v>49</v>
      </c>
      <c r="C1" s="1"/>
      <c r="G1" s="523" t="s">
        <v>180</v>
      </c>
      <c r="H1" s="523"/>
    </row>
    <row r="2" spans="2:39" x14ac:dyDescent="0.3">
      <c r="B2" s="40" t="s">
        <v>54</v>
      </c>
      <c r="C2" s="503" t="s">
        <v>98</v>
      </c>
      <c r="D2" s="504"/>
      <c r="E2" s="504"/>
      <c r="F2" s="504"/>
      <c r="G2" s="504"/>
      <c r="H2" s="505"/>
      <c r="I2" s="549" t="s">
        <v>266</v>
      </c>
      <c r="J2" s="550"/>
      <c r="K2" s="550"/>
      <c r="L2" s="550"/>
      <c r="M2" s="550"/>
      <c r="N2" s="551"/>
      <c r="P2" s="540" t="s">
        <v>385</v>
      </c>
      <c r="Q2" s="541"/>
      <c r="R2" s="541"/>
      <c r="S2" s="541"/>
      <c r="T2" s="541"/>
      <c r="U2" s="541"/>
      <c r="V2" s="541"/>
      <c r="W2" s="541"/>
      <c r="X2" s="541"/>
      <c r="Y2" s="541"/>
      <c r="Z2" s="542"/>
    </row>
    <row r="3" spans="2:39" x14ac:dyDescent="0.3">
      <c r="C3" s="503" t="s">
        <v>109</v>
      </c>
      <c r="D3" s="504"/>
      <c r="E3" s="504"/>
      <c r="F3" s="505"/>
      <c r="G3" s="543" t="s">
        <v>16</v>
      </c>
      <c r="H3" s="545"/>
      <c r="I3" s="543" t="s">
        <v>250</v>
      </c>
      <c r="J3" s="544"/>
      <c r="K3" s="544"/>
      <c r="L3" s="544"/>
      <c r="M3" s="545"/>
      <c r="N3" s="208" t="s">
        <v>251</v>
      </c>
      <c r="P3" s="503" t="s">
        <v>98</v>
      </c>
      <c r="Q3" s="504"/>
      <c r="R3" s="504"/>
      <c r="S3" s="505"/>
      <c r="T3" s="546" t="s">
        <v>266</v>
      </c>
      <c r="U3" s="547"/>
      <c r="V3" s="547"/>
      <c r="W3" s="547"/>
      <c r="X3" s="547"/>
      <c r="Y3" s="547"/>
      <c r="Z3" s="548"/>
    </row>
    <row r="4" spans="2:39" x14ac:dyDescent="0.3">
      <c r="B4" s="1" t="s">
        <v>400</v>
      </c>
      <c r="C4" s="284" t="str">
        <f>Allocations!G$50</f>
        <v>2020-21</v>
      </c>
      <c r="D4" s="127" t="str">
        <f>Allocations!H$50</f>
        <v>2021-22</v>
      </c>
      <c r="E4" s="199" t="str">
        <f>Allocations!I$50</f>
        <v>2022-23</v>
      </c>
      <c r="F4" s="227" t="str">
        <f>Allocations!J$50</f>
        <v>2023-24</v>
      </c>
      <c r="G4" s="199" t="str">
        <f>Allocations!K$50</f>
        <v>2024-25</v>
      </c>
      <c r="H4" s="227" t="str">
        <f>Allocations!L$50</f>
        <v>2025-26</v>
      </c>
      <c r="I4" s="284" t="str">
        <f>Allocations!M$50</f>
        <v>2026-27</v>
      </c>
      <c r="J4" s="199" t="str">
        <f>Allocations!N$50</f>
        <v>2027–28</v>
      </c>
      <c r="K4" s="199" t="str">
        <f>Allocations!O$50</f>
        <v>2028–29</v>
      </c>
      <c r="L4" s="199" t="str">
        <f>Allocations!P$50</f>
        <v>2029–30</v>
      </c>
      <c r="M4" s="227" t="str">
        <f>Allocations!Q$50</f>
        <v>2030–31</v>
      </c>
      <c r="N4" s="114" t="s">
        <v>2</v>
      </c>
      <c r="P4" s="75" t="str">
        <f t="shared" ref="P4" si="0">C4</f>
        <v>2020-21</v>
      </c>
      <c r="Q4" s="202" t="str">
        <f t="shared" ref="Q4" si="1">D4</f>
        <v>2021-22</v>
      </c>
      <c r="R4" s="3" t="str">
        <f t="shared" ref="R4" si="2">E4</f>
        <v>2022-23</v>
      </c>
      <c r="S4" s="3" t="str">
        <f t="shared" ref="S4" si="3">F4</f>
        <v>2023-24</v>
      </c>
      <c r="T4" s="202" t="str">
        <f t="shared" ref="T4" si="4">G4</f>
        <v>2024-25</v>
      </c>
      <c r="U4" s="3" t="str">
        <f t="shared" ref="U4" si="5">H4</f>
        <v>2025-26</v>
      </c>
      <c r="V4" s="75" t="str">
        <f t="shared" ref="V4" si="6">I4</f>
        <v>2026-27</v>
      </c>
      <c r="W4" s="3" t="str">
        <f t="shared" ref="W4" si="7">J4</f>
        <v>2027–28</v>
      </c>
      <c r="X4" s="3" t="str">
        <f t="shared" ref="X4" si="8">K4</f>
        <v>2028–29</v>
      </c>
      <c r="Y4" s="3" t="str">
        <f t="shared" ref="Y4" si="9">L4</f>
        <v>2029–30</v>
      </c>
      <c r="Z4" s="100" t="str">
        <f t="shared" ref="Z4" si="10">M4</f>
        <v>2030–31</v>
      </c>
    </row>
    <row r="5" spans="2:39" x14ac:dyDescent="0.3">
      <c r="B5" t="s">
        <v>83</v>
      </c>
      <c r="C5" s="427"/>
      <c r="D5" s="428"/>
      <c r="E5" s="429"/>
      <c r="F5" s="430"/>
      <c r="G5" s="429"/>
      <c r="H5" s="429"/>
      <c r="I5" s="428"/>
      <c r="J5" s="429"/>
      <c r="K5" s="429"/>
      <c r="L5" s="429"/>
      <c r="M5" s="429"/>
      <c r="N5" s="431"/>
      <c r="P5" s="111">
        <f>Cost_Recovery!K51</f>
        <v>26609.491000000002</v>
      </c>
      <c r="Q5" s="111">
        <f>Cost_Recovery!L51</f>
        <v>24192.47</v>
      </c>
      <c r="R5" s="85">
        <f>Cost_Recovery!M51</f>
        <v>30182.985000000001</v>
      </c>
      <c r="S5" s="85">
        <f>Cost_Recovery!N51</f>
        <v>38035.239000000001</v>
      </c>
      <c r="T5" s="111">
        <v>37000.698504995831</v>
      </c>
      <c r="U5" s="85">
        <v>36413.605681300309</v>
      </c>
      <c r="V5" s="111">
        <v>36984.06949062147</v>
      </c>
      <c r="W5" s="85">
        <v>37535.317676891813</v>
      </c>
      <c r="X5" s="85">
        <v>37518.504006722345</v>
      </c>
      <c r="Y5" s="85">
        <v>37536.518653332489</v>
      </c>
      <c r="Z5" s="282">
        <v>37544.925488417219</v>
      </c>
    </row>
    <row r="6" spans="2:39" x14ac:dyDescent="0.3">
      <c r="B6" t="s">
        <v>84</v>
      </c>
      <c r="C6" s="431"/>
      <c r="D6" s="428"/>
      <c r="E6" s="429"/>
      <c r="F6" s="432"/>
      <c r="G6" s="429"/>
      <c r="H6" s="429"/>
      <c r="I6" s="428"/>
      <c r="J6" s="429"/>
      <c r="K6" s="429"/>
      <c r="L6" s="429"/>
      <c r="M6" s="429"/>
      <c r="N6" s="431"/>
      <c r="P6" s="111">
        <f>Cost_Recovery!K52</f>
        <v>18.553999999999998</v>
      </c>
      <c r="Q6" s="111">
        <f>Cost_Recovery!L52</f>
        <v>5.89</v>
      </c>
      <c r="R6" s="85">
        <f>Cost_Recovery!M52</f>
        <v>9.0399999999999991</v>
      </c>
      <c r="S6" s="85">
        <f>Cost_Recovery!N52</f>
        <v>0</v>
      </c>
      <c r="T6" s="76"/>
      <c r="V6" s="76"/>
      <c r="Z6" s="371"/>
    </row>
    <row r="7" spans="2:39" x14ac:dyDescent="0.3">
      <c r="B7" t="s">
        <v>85</v>
      </c>
      <c r="C7" s="431"/>
      <c r="D7" s="428"/>
      <c r="E7" s="429"/>
      <c r="F7" s="432"/>
      <c r="G7" s="429"/>
      <c r="H7" s="429"/>
      <c r="I7" s="428"/>
      <c r="J7" s="429"/>
      <c r="K7" s="429"/>
      <c r="L7" s="429"/>
      <c r="M7" s="429"/>
      <c r="N7" s="431"/>
      <c r="P7" s="111">
        <f>Cost_Recovery!K53</f>
        <v>6894.9629999999997</v>
      </c>
      <c r="Q7" s="111">
        <f>Cost_Recovery!L53</f>
        <v>2327.1480000000001</v>
      </c>
      <c r="R7" s="85">
        <f>Cost_Recovery!M53</f>
        <v>5462.83</v>
      </c>
      <c r="S7" s="85">
        <f>Cost_Recovery!N53</f>
        <v>5066.4830000000002</v>
      </c>
      <c r="T7" s="111">
        <v>5232.7614676992389</v>
      </c>
      <c r="U7" s="85">
        <v>5232.7614676992389</v>
      </c>
      <c r="V7" s="111">
        <v>5232.7614676992389</v>
      </c>
      <c r="W7" s="85">
        <v>5232.7614676992389</v>
      </c>
      <c r="X7" s="85">
        <v>5232.7614676992389</v>
      </c>
      <c r="Y7" s="85">
        <v>5232.7614676992389</v>
      </c>
      <c r="Z7" s="282">
        <v>5232.7614676992389</v>
      </c>
    </row>
    <row r="8" spans="2:39" x14ac:dyDescent="0.3">
      <c r="B8" t="s">
        <v>86</v>
      </c>
      <c r="C8" s="431"/>
      <c r="D8" s="428"/>
      <c r="E8" s="429"/>
      <c r="F8" s="432"/>
      <c r="G8" s="429"/>
      <c r="H8" s="429"/>
      <c r="I8" s="428"/>
      <c r="J8" s="429"/>
      <c r="K8" s="429"/>
      <c r="L8" s="429"/>
      <c r="M8" s="429"/>
      <c r="N8" s="431"/>
      <c r="P8" s="111">
        <f>Cost_Recovery!K54</f>
        <v>106.876</v>
      </c>
      <c r="Q8" s="111">
        <f>Cost_Recovery!L54</f>
        <v>177.584</v>
      </c>
      <c r="R8" s="85">
        <f>Cost_Recovery!M54</f>
        <v>196.57599999999999</v>
      </c>
      <c r="S8" s="85">
        <f>Cost_Recovery!N54</f>
        <v>110.318</v>
      </c>
      <c r="T8" s="111"/>
      <c r="U8" s="85"/>
      <c r="V8" s="111"/>
      <c r="W8" s="85"/>
      <c r="X8" s="85"/>
      <c r="Y8" s="85"/>
      <c r="Z8" s="282"/>
    </row>
    <row r="9" spans="2:39" x14ac:dyDescent="0.3">
      <c r="B9" t="s">
        <v>78</v>
      </c>
      <c r="C9" s="431"/>
      <c r="D9" s="428"/>
      <c r="E9" s="429"/>
      <c r="F9" s="432"/>
      <c r="G9" s="429"/>
      <c r="H9" s="429"/>
      <c r="I9" s="428"/>
      <c r="J9" s="429"/>
      <c r="K9" s="429"/>
      <c r="L9" s="429"/>
      <c r="M9" s="429"/>
      <c r="N9" s="431"/>
      <c r="P9" s="111">
        <f>Cost_Recovery!K55</f>
        <v>2209.7739999999999</v>
      </c>
      <c r="Q9" s="111">
        <f>Cost_Recovery!L55</f>
        <v>1974.144</v>
      </c>
      <c r="R9" s="85">
        <f>Cost_Recovery!M55</f>
        <v>3875.8209999999999</v>
      </c>
      <c r="S9" s="85">
        <f>Cost_Recovery!N55</f>
        <v>2817.848</v>
      </c>
      <c r="T9" s="111">
        <v>2952.7659111553467</v>
      </c>
      <c r="U9" s="85">
        <v>2952.7659111553467</v>
      </c>
      <c r="V9" s="111">
        <v>2952.7659111553467</v>
      </c>
      <c r="W9" s="85">
        <v>2952.7659111553467</v>
      </c>
      <c r="X9" s="85">
        <v>2952.7659111553467</v>
      </c>
      <c r="Y9" s="85">
        <v>2952.7659111553467</v>
      </c>
      <c r="Z9" s="282">
        <v>2952.7659111553467</v>
      </c>
    </row>
    <row r="10" spans="2:39" x14ac:dyDescent="0.3">
      <c r="B10" t="s">
        <v>335</v>
      </c>
      <c r="C10" s="431"/>
      <c r="D10" s="428"/>
      <c r="E10" s="429"/>
      <c r="F10" s="432"/>
      <c r="G10" s="429"/>
      <c r="H10" s="429"/>
      <c r="I10" s="428"/>
      <c r="J10" s="429"/>
      <c r="K10" s="429"/>
      <c r="L10" s="429"/>
      <c r="M10" s="429"/>
      <c r="N10" s="431"/>
      <c r="P10" s="111">
        <f>Cost_Recovery!K56</f>
        <v>36.648000000000003</v>
      </c>
      <c r="Q10" s="111">
        <f>Cost_Recovery!L56</f>
        <v>3300</v>
      </c>
      <c r="R10" s="85">
        <f>Cost_Recovery!M56</f>
        <v>965.16521</v>
      </c>
      <c r="S10" s="85">
        <f>Cost_Recovery!N56</f>
        <v>0</v>
      </c>
      <c r="T10" s="111">
        <v>5093.6076414401186</v>
      </c>
      <c r="U10" s="85">
        <v>0</v>
      </c>
      <c r="V10" s="111">
        <v>0</v>
      </c>
      <c r="W10" s="85">
        <v>0</v>
      </c>
      <c r="X10" s="85">
        <v>0</v>
      </c>
      <c r="Y10" s="85">
        <v>0</v>
      </c>
      <c r="Z10" s="282">
        <v>0</v>
      </c>
    </row>
    <row r="11" spans="2:39" x14ac:dyDescent="0.3">
      <c r="B11" t="s">
        <v>88</v>
      </c>
      <c r="C11" s="431"/>
      <c r="D11" s="428"/>
      <c r="E11" s="429"/>
      <c r="F11" s="432"/>
      <c r="G11" s="429"/>
      <c r="H11" s="429"/>
      <c r="I11" s="428"/>
      <c r="J11" s="429"/>
      <c r="K11" s="429"/>
      <c r="L11" s="429"/>
      <c r="M11" s="429"/>
      <c r="N11" s="431"/>
      <c r="P11" s="111">
        <f>Cost_Recovery!K57</f>
        <v>0</v>
      </c>
      <c r="Q11" s="111">
        <f>Cost_Recovery!L57</f>
        <v>0</v>
      </c>
      <c r="R11" s="85">
        <f>Cost_Recovery!M57</f>
        <v>0</v>
      </c>
      <c r="S11" s="85">
        <f>Cost_Recovery!N57</f>
        <v>0</v>
      </c>
      <c r="T11" s="77"/>
      <c r="U11" s="4"/>
      <c r="V11" s="76"/>
      <c r="Y11" s="4"/>
      <c r="Z11" s="98"/>
    </row>
    <row r="12" spans="2:39" x14ac:dyDescent="0.3">
      <c r="B12" t="s">
        <v>236</v>
      </c>
      <c r="C12" s="431"/>
      <c r="D12" s="428"/>
      <c r="E12" s="429"/>
      <c r="F12" s="432"/>
      <c r="G12" s="429"/>
      <c r="H12" s="429"/>
      <c r="I12" s="428"/>
      <c r="J12" s="429"/>
      <c r="K12" s="429"/>
      <c r="L12" s="429"/>
      <c r="M12" s="429"/>
      <c r="N12" s="431"/>
      <c r="P12" s="111">
        <f>Cost_Recovery!K58</f>
        <v>0</v>
      </c>
      <c r="Q12" s="111">
        <f>Cost_Recovery!L58</f>
        <v>0</v>
      </c>
      <c r="R12" s="85">
        <f>Cost_Recovery!M58</f>
        <v>0</v>
      </c>
      <c r="S12" s="85">
        <f>Cost_Recovery!N58</f>
        <v>0</v>
      </c>
      <c r="T12" s="76"/>
      <c r="V12" s="76"/>
      <c r="Y12" s="4"/>
      <c r="Z12" s="98"/>
    </row>
    <row r="13" spans="2:39" x14ac:dyDescent="0.3">
      <c r="B13" s="403" t="s">
        <v>386</v>
      </c>
      <c r="C13" s="433"/>
      <c r="D13" s="434"/>
      <c r="E13" s="435"/>
      <c r="F13" s="436"/>
      <c r="G13" s="435"/>
      <c r="H13" s="435"/>
      <c r="I13" s="434"/>
      <c r="J13" s="435"/>
      <c r="K13" s="435"/>
      <c r="L13" s="435"/>
      <c r="M13" s="435"/>
      <c r="N13" s="433"/>
      <c r="P13" s="286">
        <f t="shared" ref="P13:Z13" si="11">SUM(P5:P12)</f>
        <v>35876.305999999997</v>
      </c>
      <c r="Q13" s="286">
        <f t="shared" si="11"/>
        <v>31977.236000000001</v>
      </c>
      <c r="R13" s="285">
        <f t="shared" si="11"/>
        <v>40692.417210000007</v>
      </c>
      <c r="S13" s="285">
        <f t="shared" si="11"/>
        <v>46029.887999999999</v>
      </c>
      <c r="T13" s="286">
        <f t="shared" si="11"/>
        <v>50279.833525290531</v>
      </c>
      <c r="U13" s="285">
        <f t="shared" si="11"/>
        <v>44599.133060154891</v>
      </c>
      <c r="V13" s="286">
        <f t="shared" si="11"/>
        <v>45169.596869476052</v>
      </c>
      <c r="W13" s="285">
        <f t="shared" si="11"/>
        <v>45720.845055746395</v>
      </c>
      <c r="X13" s="285">
        <f t="shared" si="11"/>
        <v>45704.031385576927</v>
      </c>
      <c r="Y13" s="285">
        <f t="shared" si="11"/>
        <v>45722.046032187071</v>
      </c>
      <c r="Z13" s="402">
        <f t="shared" si="11"/>
        <v>45730.452867271801</v>
      </c>
    </row>
    <row r="14" spans="2:39" x14ac:dyDescent="0.3">
      <c r="B14" t="s">
        <v>230</v>
      </c>
      <c r="C14" s="72">
        <f>C13-(Cost_Recovery!K48-Historical_Cost!K52-Historical_Cost!K27)</f>
        <v>-51137.508100000021</v>
      </c>
      <c r="D14" s="72">
        <f>D13-(Cost_Recovery!L48-Historical_Cost!L52-Historical_Cost!L27)</f>
        <v>-47735.112421804733</v>
      </c>
      <c r="E14" s="72">
        <f>E13-(Cost_Recovery!M48-Historical_Cost!M52-Historical_Cost!M27)</f>
        <v>-65810.737378195263</v>
      </c>
      <c r="F14" s="72">
        <f>F13-(Cost_Recovery!N48-Historical_Cost!N52-Historical_Cost!N27)</f>
        <v>-71611.524009999994</v>
      </c>
      <c r="G14" s="72">
        <f>G13-(Capex_Fcast_Direct!X24+Other_codes!R7-T13)*G15</f>
        <v>52317.166229296949</v>
      </c>
      <c r="H14" s="72">
        <f>H13-(Capex_Fcast_Direct!Y24+Other_codes!S7-U13)*H15</f>
        <v>47798.473010486945</v>
      </c>
      <c r="I14" s="72">
        <f>I13-(Capex_Fcast_Direct!Z24+Other_codes!T7*Escalation!R11-V13)</f>
        <v>45169.596869476052</v>
      </c>
      <c r="J14" s="72">
        <f>J13-(Capex_Fcast_Direct!AA24+Other_codes!U7*Escalation!S11-W13)</f>
        <v>45720.845055746395</v>
      </c>
      <c r="K14" s="72">
        <f>K13-(Capex_Fcast_Direct!AB24+Other_codes!V7*Escalation!T11-X13)</f>
        <v>45704.031385576927</v>
      </c>
      <c r="L14" s="72">
        <f>L13-(Capex_Fcast_Direct!AC24+Other_codes!W7*Escalation!U11-Y13)</f>
        <v>45722.046032187071</v>
      </c>
      <c r="M14" s="72">
        <f>M13-(Capex_Fcast_Direct!AD24+Other_codes!X7*Escalation!V11-Z13)</f>
        <v>45730.452867271801</v>
      </c>
      <c r="P14" s="72">
        <f>P13-Cost_Recovery!K59</f>
        <v>0</v>
      </c>
      <c r="Q14" s="72">
        <f>Q13-Cost_Recovery!L59</f>
        <v>0</v>
      </c>
      <c r="R14" s="72">
        <f>R13-Cost_Recovery!M59</f>
        <v>0</v>
      </c>
      <c r="S14" s="72">
        <f>S13-Cost_Recovery!N59</f>
        <v>0</v>
      </c>
      <c r="T14" s="72">
        <f>T13-Cost_Recovery!O59/G15</f>
        <v>0</v>
      </c>
      <c r="U14" s="72">
        <f>U13-Cost_Recovery!P59/H15</f>
        <v>0</v>
      </c>
      <c r="V14" s="72">
        <f>V13-SUMIFS(Capex_Fcast_Direct!AL$8:AL$23,Capex_Fcast_Direct!$B$8:$B$23,"*GIFTED*")</f>
        <v>45169.596869476052</v>
      </c>
      <c r="W14" s="72">
        <f>W13-SUMIFS(Capex_Fcast_Direct!AM$8:AM$23,Capex_Fcast_Direct!$B$8:$B$23,"*GIFTED*")</f>
        <v>45720.845055746395</v>
      </c>
      <c r="X14" s="72">
        <f>X13-SUMIFS(Capex_Fcast_Direct!AN$8:AN$23,Capex_Fcast_Direct!$B$8:$B$23,"*GIFTED*")</f>
        <v>45704.031385576927</v>
      </c>
      <c r="Y14" s="72">
        <f>Y13-SUMIFS(Capex_Fcast_Direct!AO$8:AO$23,Capex_Fcast_Direct!$B$8:$B$23,"*GIFTED*")</f>
        <v>45722.046032187071</v>
      </c>
      <c r="Z14" s="72">
        <f>Z13-SUMIFS(Capex_Fcast_Direct!AP$8:AP$23,Capex_Fcast_Direct!$B$8:$B$23,"*GIFTED*")</f>
        <v>45730.452867271801</v>
      </c>
    </row>
    <row r="15" spans="2:39" x14ac:dyDescent="0.3">
      <c r="B15" s="419" t="s">
        <v>287</v>
      </c>
      <c r="C15" s="5"/>
      <c r="D15" s="5"/>
      <c r="E15" s="5"/>
      <c r="F15" s="5">
        <f>1/Escalation!O11</f>
        <v>1</v>
      </c>
      <c r="G15" s="5">
        <f>1/Escalation!P11</f>
        <v>1.0405198776758409</v>
      </c>
      <c r="H15" s="5">
        <f>1/Escalation!Q11</f>
        <v>1.071735474006116</v>
      </c>
      <c r="I15" s="5">
        <f>1/Escalation!R11</f>
        <v>1.0985288608562689</v>
      </c>
      <c r="J15" s="5">
        <f>1/Escalation!S11</f>
        <v>1.1259920823776757</v>
      </c>
      <c r="K15" s="5">
        <f>1/Escalation!T11</f>
        <v>1.1541418844371174</v>
      </c>
      <c r="L15" s="5">
        <f>1/Escalation!U11</f>
        <v>1.1829954315480453</v>
      </c>
      <c r="M15" s="5">
        <f>1/Escalation!V11</f>
        <v>1.2125703173367464</v>
      </c>
      <c r="AB15" s="1" t="s">
        <v>287</v>
      </c>
      <c r="AC15" s="5"/>
      <c r="AD15" s="5"/>
      <c r="AE15" s="5"/>
      <c r="AF15" s="5">
        <f>1/Escalation!O11</f>
        <v>1</v>
      </c>
      <c r="AG15" s="5">
        <f>1/Escalation!P11</f>
        <v>1.0405198776758409</v>
      </c>
      <c r="AH15" s="5">
        <f>1/Escalation!Q11</f>
        <v>1.071735474006116</v>
      </c>
      <c r="AI15" s="5"/>
      <c r="AJ15" s="5"/>
      <c r="AK15" s="5"/>
      <c r="AL15" s="5"/>
      <c r="AM15" s="5"/>
    </row>
    <row r="16" spans="2:39" x14ac:dyDescent="0.3">
      <c r="C16" s="555" t="s">
        <v>406</v>
      </c>
      <c r="D16" s="556"/>
      <c r="E16" s="556"/>
      <c r="F16" s="556"/>
      <c r="G16" s="556"/>
      <c r="H16" s="556"/>
      <c r="I16" s="556"/>
      <c r="J16" s="556"/>
      <c r="K16" s="556"/>
      <c r="L16" s="556"/>
      <c r="M16" s="557"/>
      <c r="P16" s="540" t="s">
        <v>385</v>
      </c>
      <c r="Q16" s="541"/>
      <c r="R16" s="541"/>
      <c r="S16" s="541"/>
      <c r="T16" s="541"/>
      <c r="U16" s="541"/>
      <c r="V16" s="541"/>
      <c r="W16" s="541"/>
      <c r="X16" s="541"/>
      <c r="Y16" s="541"/>
      <c r="Z16" s="542"/>
      <c r="AC16" s="552" t="s">
        <v>398</v>
      </c>
      <c r="AD16" s="553"/>
      <c r="AE16" s="553"/>
      <c r="AF16" s="553"/>
      <c r="AG16" s="553"/>
      <c r="AH16" s="553"/>
      <c r="AI16" s="553"/>
      <c r="AJ16" s="553"/>
      <c r="AK16" s="553"/>
      <c r="AL16" s="553"/>
      <c r="AM16" s="554"/>
    </row>
    <row r="17" spans="2:52" x14ac:dyDescent="0.3">
      <c r="B17" s="8" t="s">
        <v>40</v>
      </c>
      <c r="C17" s="503" t="s">
        <v>98</v>
      </c>
      <c r="D17" s="504"/>
      <c r="E17" s="504"/>
      <c r="F17" s="504"/>
      <c r="G17" s="504"/>
      <c r="H17" s="505"/>
      <c r="I17" s="558" t="s">
        <v>266</v>
      </c>
      <c r="J17" s="559"/>
      <c r="K17" s="559"/>
      <c r="L17" s="559"/>
      <c r="M17" s="560"/>
      <c r="N17" s="208" t="s">
        <v>2</v>
      </c>
      <c r="P17" s="503" t="s">
        <v>98</v>
      </c>
      <c r="Q17" s="504"/>
      <c r="R17" s="504"/>
      <c r="S17" s="504"/>
      <c r="T17" s="504"/>
      <c r="U17" s="505"/>
      <c r="V17" s="546" t="s">
        <v>266</v>
      </c>
      <c r="W17" s="547"/>
      <c r="X17" s="547"/>
      <c r="Y17" s="547"/>
      <c r="Z17" s="548"/>
      <c r="AB17" s="8" t="s">
        <v>40</v>
      </c>
      <c r="AC17" s="503" t="s">
        <v>98</v>
      </c>
      <c r="AD17" s="504"/>
      <c r="AE17" s="504"/>
      <c r="AF17" s="504"/>
      <c r="AG17" s="504"/>
      <c r="AH17" s="505"/>
      <c r="AI17" s="549" t="s">
        <v>266</v>
      </c>
      <c r="AJ17" s="550"/>
      <c r="AK17" s="550"/>
      <c r="AL17" s="550"/>
      <c r="AM17" s="551"/>
      <c r="AN17" s="208" t="s">
        <v>251</v>
      </c>
    </row>
    <row r="18" spans="2:52" x14ac:dyDescent="0.3">
      <c r="B18" s="1" t="s">
        <v>399</v>
      </c>
      <c r="C18" s="202" t="str">
        <f t="shared" ref="C18:M18" si="12">AC18</f>
        <v>2020-21</v>
      </c>
      <c r="D18" s="202" t="str">
        <f t="shared" si="12"/>
        <v>2021-22</v>
      </c>
      <c r="E18" s="203" t="str">
        <f t="shared" si="12"/>
        <v>2022-23</v>
      </c>
      <c r="F18" s="203" t="str">
        <f t="shared" si="12"/>
        <v>2023-24</v>
      </c>
      <c r="G18" s="202" t="str">
        <f t="shared" si="12"/>
        <v>2024-25</v>
      </c>
      <c r="H18" s="203" t="str">
        <f t="shared" si="12"/>
        <v>2025-26</v>
      </c>
      <c r="I18" s="202" t="str">
        <f t="shared" si="12"/>
        <v>2026-27</v>
      </c>
      <c r="J18" s="203" t="str">
        <f t="shared" si="12"/>
        <v>2027–28</v>
      </c>
      <c r="K18" s="203" t="str">
        <f t="shared" si="12"/>
        <v>2028–29</v>
      </c>
      <c r="L18" s="203" t="str">
        <f t="shared" si="12"/>
        <v>2029–30</v>
      </c>
      <c r="M18" s="204" t="str">
        <f t="shared" si="12"/>
        <v>2030–31</v>
      </c>
      <c r="N18" s="101" t="s">
        <v>261</v>
      </c>
      <c r="P18" s="75" t="str">
        <f t="shared" ref="P18:Z18" si="13">AC18</f>
        <v>2020-21</v>
      </c>
      <c r="Q18" s="202" t="str">
        <f t="shared" si="13"/>
        <v>2021-22</v>
      </c>
      <c r="R18" s="3" t="str">
        <f t="shared" si="13"/>
        <v>2022-23</v>
      </c>
      <c r="S18" s="3" t="str">
        <f t="shared" si="13"/>
        <v>2023-24</v>
      </c>
      <c r="T18" s="202" t="str">
        <f t="shared" si="13"/>
        <v>2024-25</v>
      </c>
      <c r="U18" s="3" t="str">
        <f t="shared" si="13"/>
        <v>2025-26</v>
      </c>
      <c r="V18" s="75" t="str">
        <f t="shared" si="13"/>
        <v>2026-27</v>
      </c>
      <c r="W18" s="3" t="str">
        <f t="shared" si="13"/>
        <v>2027–28</v>
      </c>
      <c r="X18" s="3" t="str">
        <f t="shared" si="13"/>
        <v>2028–29</v>
      </c>
      <c r="Y18" s="3" t="str">
        <f t="shared" si="13"/>
        <v>2029–30</v>
      </c>
      <c r="Z18" s="100" t="str">
        <f t="shared" si="13"/>
        <v>2030–31</v>
      </c>
      <c r="AB18" s="1" t="s">
        <v>397</v>
      </c>
      <c r="AC18" s="421" t="str">
        <f>Allocations!G$50</f>
        <v>2020-21</v>
      </c>
      <c r="AD18" s="127" t="str">
        <f>Allocations!H$50</f>
        <v>2021-22</v>
      </c>
      <c r="AE18" s="199" t="str">
        <f>Allocations!I$50</f>
        <v>2022-23</v>
      </c>
      <c r="AF18" s="227" t="str">
        <f>Allocations!J$50</f>
        <v>2023-24</v>
      </c>
      <c r="AG18" s="127" t="str">
        <f>Allocations!K$50</f>
        <v>2024-25</v>
      </c>
      <c r="AH18" s="227" t="str">
        <f>Allocations!L$50</f>
        <v>2025-26</v>
      </c>
      <c r="AI18" s="284" t="str">
        <f>Allocations!M$50</f>
        <v>2026-27</v>
      </c>
      <c r="AJ18" s="199" t="str">
        <f>Allocations!N$50</f>
        <v>2027–28</v>
      </c>
      <c r="AK18" s="199" t="str">
        <f>Allocations!O$50</f>
        <v>2028–29</v>
      </c>
      <c r="AL18" s="199" t="str">
        <f>Allocations!P$50</f>
        <v>2029–30</v>
      </c>
      <c r="AM18" s="227" t="str">
        <f>Allocations!Q$50</f>
        <v>2030–31</v>
      </c>
      <c r="AN18" s="114" t="s">
        <v>2</v>
      </c>
      <c r="AP18" s="3"/>
      <c r="AQ18" s="3"/>
      <c r="AR18" s="3"/>
      <c r="AS18" s="3"/>
      <c r="AT18" s="3"/>
      <c r="AU18" s="3"/>
      <c r="AV18" s="3"/>
      <c r="AW18" s="3"/>
      <c r="AX18" s="3"/>
      <c r="AY18" s="3"/>
      <c r="AZ18" s="3"/>
    </row>
    <row r="19" spans="2:52" x14ac:dyDescent="0.3">
      <c r="B19" t="s">
        <v>83</v>
      </c>
      <c r="C19" s="428"/>
      <c r="D19" s="428"/>
      <c r="E19" s="429"/>
      <c r="F19" s="429"/>
      <c r="G19" s="428"/>
      <c r="H19" s="429"/>
      <c r="I19" s="428"/>
      <c r="J19" s="429"/>
      <c r="K19" s="429"/>
      <c r="L19" s="429"/>
      <c r="M19" s="432"/>
      <c r="N19" s="431"/>
      <c r="P19" s="111">
        <f>Cost_Recovery!K51</f>
        <v>26609.491000000002</v>
      </c>
      <c r="Q19" s="111">
        <f>Cost_Recovery!L51</f>
        <v>24192.47</v>
      </c>
      <c r="R19" s="85">
        <f>Cost_Recovery!M51</f>
        <v>30182.985000000001</v>
      </c>
      <c r="S19" s="85">
        <f>Cost_Recovery!N51</f>
        <v>38035.239000000001</v>
      </c>
      <c r="T19" s="111">
        <v>38499.962282338929</v>
      </c>
      <c r="U19" s="85">
        <v>39025.752945120184</v>
      </c>
      <c r="V19" s="111">
        <v>36984.06949062147</v>
      </c>
      <c r="W19" s="85">
        <v>37535.317676891813</v>
      </c>
      <c r="X19" s="85">
        <v>37518.504006722345</v>
      </c>
      <c r="Y19" s="85">
        <v>37536.518653332489</v>
      </c>
      <c r="Z19" s="282">
        <v>37544.925488417219</v>
      </c>
      <c r="AA19" s="4"/>
      <c r="AB19" t="s">
        <v>83</v>
      </c>
      <c r="AC19" s="431"/>
      <c r="AD19" s="428"/>
      <c r="AE19" s="429"/>
      <c r="AF19" s="430"/>
      <c r="AG19" s="428"/>
      <c r="AH19" s="429"/>
      <c r="AI19" s="428"/>
      <c r="AJ19" s="429"/>
      <c r="AK19" s="429"/>
      <c r="AL19" s="429"/>
      <c r="AM19" s="429"/>
      <c r="AN19" s="431"/>
    </row>
    <row r="20" spans="2:52" x14ac:dyDescent="0.3">
      <c r="B20" t="s">
        <v>84</v>
      </c>
      <c r="C20" s="428"/>
      <c r="D20" s="428"/>
      <c r="E20" s="429"/>
      <c r="F20" s="429"/>
      <c r="G20" s="428"/>
      <c r="H20" s="429"/>
      <c r="I20" s="428"/>
      <c r="J20" s="429"/>
      <c r="K20" s="429"/>
      <c r="L20" s="429"/>
      <c r="M20" s="432"/>
      <c r="N20" s="431"/>
      <c r="P20" s="111">
        <f>Cost_Recovery!K52</f>
        <v>18.553999999999998</v>
      </c>
      <c r="Q20" s="111">
        <f>Cost_Recovery!L52</f>
        <v>5.89</v>
      </c>
      <c r="R20" s="85">
        <f>Cost_Recovery!M52</f>
        <v>9.0399999999999991</v>
      </c>
      <c r="S20" s="85">
        <f>Cost_Recovery!N52</f>
        <v>0</v>
      </c>
      <c r="T20" s="77"/>
      <c r="U20" s="4"/>
      <c r="V20" s="77"/>
      <c r="W20" s="4"/>
      <c r="X20" s="4"/>
      <c r="Y20" s="4"/>
      <c r="Z20" s="98"/>
      <c r="AA20" s="4"/>
      <c r="AB20" t="s">
        <v>84</v>
      </c>
      <c r="AC20" s="431"/>
      <c r="AD20" s="428"/>
      <c r="AE20" s="429"/>
      <c r="AF20" s="432"/>
      <c r="AG20" s="428"/>
      <c r="AH20" s="429"/>
      <c r="AI20" s="428"/>
      <c r="AJ20" s="429"/>
      <c r="AK20" s="429"/>
      <c r="AL20" s="429"/>
      <c r="AM20" s="429"/>
      <c r="AN20" s="431"/>
    </row>
    <row r="21" spans="2:52" x14ac:dyDescent="0.3">
      <c r="B21" t="s">
        <v>85</v>
      </c>
      <c r="C21" s="428"/>
      <c r="D21" s="428"/>
      <c r="E21" s="429"/>
      <c r="F21" s="429"/>
      <c r="G21" s="428"/>
      <c r="H21" s="429"/>
      <c r="I21" s="428"/>
      <c r="J21" s="429"/>
      <c r="K21" s="429"/>
      <c r="L21" s="429"/>
      <c r="M21" s="432"/>
      <c r="N21" s="431"/>
      <c r="P21" s="111">
        <f>Cost_Recovery!K53</f>
        <v>6894.9629999999997</v>
      </c>
      <c r="Q21" s="111">
        <f>Cost_Recovery!L53</f>
        <v>2327.1480000000001</v>
      </c>
      <c r="R21" s="85">
        <f>Cost_Recovery!M53</f>
        <v>5462.83</v>
      </c>
      <c r="S21" s="85">
        <f>Cost_Recovery!N53</f>
        <v>5066.4830000000002</v>
      </c>
      <c r="T21" s="111">
        <v>5444.7923222772652</v>
      </c>
      <c r="U21" s="85">
        <v>5608.1360919455828</v>
      </c>
      <c r="V21" s="111">
        <v>5232.7614676992389</v>
      </c>
      <c r="W21" s="85">
        <v>5232.7614676992389</v>
      </c>
      <c r="X21" s="85">
        <v>5232.7614676992389</v>
      </c>
      <c r="Y21" s="85">
        <v>5232.7614676992389</v>
      </c>
      <c r="Z21" s="282">
        <v>5232.7614676992389</v>
      </c>
      <c r="AA21" s="4"/>
      <c r="AB21" t="s">
        <v>85</v>
      </c>
      <c r="AC21" s="431"/>
      <c r="AD21" s="428"/>
      <c r="AE21" s="429"/>
      <c r="AF21" s="432"/>
      <c r="AG21" s="428"/>
      <c r="AH21" s="429"/>
      <c r="AI21" s="428"/>
      <c r="AJ21" s="429"/>
      <c r="AK21" s="429"/>
      <c r="AL21" s="429"/>
      <c r="AM21" s="429"/>
      <c r="AN21" s="431"/>
      <c r="AP21" s="4"/>
      <c r="AQ21" s="4"/>
      <c r="AR21" s="4"/>
      <c r="AS21" s="4"/>
      <c r="AT21" s="4"/>
      <c r="AU21" s="4"/>
      <c r="AV21" s="4"/>
      <c r="AW21" s="4"/>
      <c r="AX21" s="4"/>
      <c r="AY21" s="4"/>
      <c r="AZ21" s="4"/>
    </row>
    <row r="22" spans="2:52" x14ac:dyDescent="0.3">
      <c r="B22" t="s">
        <v>86</v>
      </c>
      <c r="C22" s="428"/>
      <c r="D22" s="428"/>
      <c r="E22" s="429"/>
      <c r="F22" s="429"/>
      <c r="G22" s="428"/>
      <c r="H22" s="429"/>
      <c r="I22" s="428"/>
      <c r="J22" s="429"/>
      <c r="K22" s="429"/>
      <c r="L22" s="429"/>
      <c r="M22" s="432"/>
      <c r="N22" s="431"/>
      <c r="P22" s="111">
        <f>Cost_Recovery!K54</f>
        <v>106.876</v>
      </c>
      <c r="Q22" s="111">
        <f>Cost_Recovery!L54</f>
        <v>177.584</v>
      </c>
      <c r="R22" s="85">
        <f>Cost_Recovery!M54</f>
        <v>196.57599999999999</v>
      </c>
      <c r="S22" s="85">
        <f>Cost_Recovery!N54</f>
        <v>110.318</v>
      </c>
      <c r="T22" s="111"/>
      <c r="U22" s="85"/>
      <c r="V22" s="111"/>
      <c r="W22" s="85"/>
      <c r="X22" s="85"/>
      <c r="Y22" s="85"/>
      <c r="Z22" s="282"/>
      <c r="AA22" s="4"/>
      <c r="AB22" t="s">
        <v>86</v>
      </c>
      <c r="AC22" s="431"/>
      <c r="AD22" s="428"/>
      <c r="AE22" s="429"/>
      <c r="AF22" s="432"/>
      <c r="AG22" s="428"/>
      <c r="AH22" s="429"/>
      <c r="AI22" s="428"/>
      <c r="AJ22" s="429"/>
      <c r="AK22" s="429"/>
      <c r="AL22" s="429"/>
      <c r="AM22" s="429"/>
      <c r="AN22" s="431"/>
      <c r="AP22" s="10"/>
      <c r="AQ22" s="10"/>
      <c r="AR22" s="10"/>
      <c r="AS22" s="10"/>
      <c r="AT22" s="10"/>
      <c r="AU22" s="10"/>
      <c r="AV22" s="10"/>
      <c r="AW22" s="10"/>
      <c r="AX22" s="10"/>
      <c r="AY22" s="10"/>
      <c r="AZ22" s="10"/>
    </row>
    <row r="23" spans="2:52" x14ac:dyDescent="0.3">
      <c r="B23" t="s">
        <v>78</v>
      </c>
      <c r="C23" s="428"/>
      <c r="D23" s="428"/>
      <c r="E23" s="429"/>
      <c r="F23" s="429"/>
      <c r="G23" s="428"/>
      <c r="H23" s="429"/>
      <c r="I23" s="428"/>
      <c r="J23" s="429"/>
      <c r="K23" s="429"/>
      <c r="L23" s="429"/>
      <c r="M23" s="432"/>
      <c r="N23" s="431"/>
      <c r="P23" s="111">
        <f>Cost_Recovery!K55</f>
        <v>2209.7739999999999</v>
      </c>
      <c r="Q23" s="111">
        <f>Cost_Recovery!L55</f>
        <v>1974.144</v>
      </c>
      <c r="R23" s="85">
        <f>Cost_Recovery!M55</f>
        <v>3875.8209999999999</v>
      </c>
      <c r="S23" s="85">
        <f>Cost_Recovery!N55</f>
        <v>2817.848</v>
      </c>
      <c r="T23" s="111">
        <v>3072.4116246807534</v>
      </c>
      <c r="U23" s="85">
        <v>3164.5839734211759</v>
      </c>
      <c r="V23" s="111">
        <v>2952.7659111553462</v>
      </c>
      <c r="W23" s="85">
        <v>2952.7659111553462</v>
      </c>
      <c r="X23" s="85">
        <v>2952.7659111553462</v>
      </c>
      <c r="Y23" s="85">
        <v>2952.7659111553462</v>
      </c>
      <c r="Z23" s="282">
        <v>2952.7659111553462</v>
      </c>
      <c r="AA23" s="4"/>
      <c r="AB23" t="s">
        <v>78</v>
      </c>
      <c r="AC23" s="431"/>
      <c r="AD23" s="428"/>
      <c r="AE23" s="429"/>
      <c r="AF23" s="432"/>
      <c r="AG23" s="428"/>
      <c r="AH23" s="429"/>
      <c r="AI23" s="428"/>
      <c r="AJ23" s="429"/>
      <c r="AK23" s="429"/>
      <c r="AL23" s="429"/>
      <c r="AM23" s="429"/>
      <c r="AN23" s="431"/>
      <c r="AP23" s="10"/>
      <c r="AQ23" s="10"/>
      <c r="AR23" s="10"/>
      <c r="AS23" s="10"/>
      <c r="AT23" s="10"/>
      <c r="AU23" s="10"/>
      <c r="AV23" s="10"/>
      <c r="AW23" s="10"/>
      <c r="AX23" s="10"/>
      <c r="AY23" s="10"/>
      <c r="AZ23" s="10"/>
    </row>
    <row r="24" spans="2:52" x14ac:dyDescent="0.3">
      <c r="B24" t="s">
        <v>335</v>
      </c>
      <c r="C24" s="428"/>
      <c r="D24" s="428"/>
      <c r="E24" s="429"/>
      <c r="F24" s="429"/>
      <c r="G24" s="428"/>
      <c r="H24" s="429"/>
      <c r="I24" s="428"/>
      <c r="J24" s="429"/>
      <c r="K24" s="429"/>
      <c r="L24" s="429"/>
      <c r="M24" s="432"/>
      <c r="N24" s="431"/>
      <c r="P24" s="111">
        <f>Cost_Recovery!K56</f>
        <v>36.648000000000003</v>
      </c>
      <c r="Q24" s="111">
        <f>Cost_Recovery!L56</f>
        <v>3300</v>
      </c>
      <c r="R24" s="85">
        <f>Cost_Recovery!M56</f>
        <v>965.16521</v>
      </c>
      <c r="S24" s="85">
        <f>Cost_Recovery!N56</f>
        <v>0</v>
      </c>
      <c r="T24" s="111">
        <v>5300.0000000000009</v>
      </c>
      <c r="U24" s="85">
        <v>0</v>
      </c>
      <c r="V24" s="111">
        <v>0</v>
      </c>
      <c r="W24" s="85">
        <v>0</v>
      </c>
      <c r="X24" s="85">
        <v>0</v>
      </c>
      <c r="Y24" s="85">
        <v>0</v>
      </c>
      <c r="Z24" s="282">
        <v>0</v>
      </c>
      <c r="AA24" s="4"/>
      <c r="AB24" t="s">
        <v>335</v>
      </c>
      <c r="AC24" s="431"/>
      <c r="AD24" s="428"/>
      <c r="AE24" s="429"/>
      <c r="AF24" s="432"/>
      <c r="AG24" s="428"/>
      <c r="AH24" s="429"/>
      <c r="AI24" s="428"/>
      <c r="AJ24" s="429"/>
      <c r="AK24" s="429"/>
      <c r="AL24" s="429"/>
      <c r="AM24" s="429"/>
      <c r="AN24" s="431"/>
    </row>
    <row r="25" spans="2:52" x14ac:dyDescent="0.3">
      <c r="B25" t="s">
        <v>88</v>
      </c>
      <c r="C25" s="428"/>
      <c r="D25" s="428"/>
      <c r="E25" s="429"/>
      <c r="F25" s="429"/>
      <c r="G25" s="428"/>
      <c r="H25" s="429"/>
      <c r="I25" s="428"/>
      <c r="J25" s="429"/>
      <c r="K25" s="429"/>
      <c r="L25" s="429"/>
      <c r="M25" s="432"/>
      <c r="N25" s="431"/>
      <c r="P25" s="111">
        <f>Cost_Recovery!K57</f>
        <v>0</v>
      </c>
      <c r="Q25" s="111">
        <f>Cost_Recovery!L57</f>
        <v>0</v>
      </c>
      <c r="R25" s="85">
        <f>Cost_Recovery!M57</f>
        <v>0</v>
      </c>
      <c r="S25" s="85">
        <f>Cost_Recovery!N57</f>
        <v>0</v>
      </c>
      <c r="T25" s="77"/>
      <c r="U25" s="4"/>
      <c r="V25" s="76"/>
      <c r="Y25" s="4"/>
      <c r="Z25" s="98"/>
      <c r="AA25" s="4"/>
      <c r="AB25" t="s">
        <v>88</v>
      </c>
      <c r="AC25" s="431"/>
      <c r="AD25" s="428"/>
      <c r="AE25" s="429"/>
      <c r="AF25" s="432"/>
      <c r="AG25" s="428"/>
      <c r="AH25" s="429"/>
      <c r="AI25" s="428"/>
      <c r="AJ25" s="429"/>
      <c r="AK25" s="429"/>
      <c r="AL25" s="429"/>
      <c r="AM25" s="429"/>
      <c r="AN25" s="431"/>
    </row>
    <row r="26" spans="2:52" x14ac:dyDescent="0.3">
      <c r="B26" t="s">
        <v>236</v>
      </c>
      <c r="C26" s="428"/>
      <c r="D26" s="428"/>
      <c r="E26" s="429"/>
      <c r="F26" s="429"/>
      <c r="G26" s="428"/>
      <c r="H26" s="429"/>
      <c r="I26" s="428"/>
      <c r="J26" s="429"/>
      <c r="K26" s="429"/>
      <c r="L26" s="429"/>
      <c r="M26" s="432"/>
      <c r="N26" s="431"/>
      <c r="P26" s="111">
        <f>Cost_Recovery!K58</f>
        <v>0</v>
      </c>
      <c r="Q26" s="111">
        <f>Cost_Recovery!L58</f>
        <v>0</v>
      </c>
      <c r="R26" s="85">
        <f>Cost_Recovery!M58</f>
        <v>0</v>
      </c>
      <c r="S26" s="85">
        <f>Cost_Recovery!N58</f>
        <v>0</v>
      </c>
      <c r="T26" s="76"/>
      <c r="V26" s="76"/>
      <c r="Y26" s="4"/>
      <c r="Z26" s="98"/>
      <c r="AA26" s="4"/>
      <c r="AB26" t="s">
        <v>236</v>
      </c>
      <c r="AC26" s="431"/>
      <c r="AD26" s="428"/>
      <c r="AE26" s="429"/>
      <c r="AF26" s="438"/>
      <c r="AG26" s="439"/>
      <c r="AH26" s="429"/>
      <c r="AI26" s="428"/>
      <c r="AJ26" s="429"/>
      <c r="AK26" s="429"/>
      <c r="AL26" s="429"/>
      <c r="AM26" s="429"/>
      <c r="AN26" s="431"/>
    </row>
    <row r="27" spans="2:52" x14ac:dyDescent="0.3">
      <c r="B27" s="403" t="s">
        <v>386</v>
      </c>
      <c r="C27" s="434"/>
      <c r="D27" s="434"/>
      <c r="E27" s="435"/>
      <c r="F27" s="435"/>
      <c r="G27" s="434"/>
      <c r="H27" s="435"/>
      <c r="I27" s="434"/>
      <c r="J27" s="435"/>
      <c r="K27" s="435"/>
      <c r="L27" s="435"/>
      <c r="M27" s="436"/>
      <c r="N27" s="433"/>
      <c r="O27" s="25"/>
      <c r="P27" s="286">
        <f t="shared" ref="P27:Z27" si="14">SUM(P19:P26)</f>
        <v>35876.305999999997</v>
      </c>
      <c r="Q27" s="286">
        <f t="shared" si="14"/>
        <v>31977.236000000001</v>
      </c>
      <c r="R27" s="285">
        <f t="shared" si="14"/>
        <v>40692.417210000007</v>
      </c>
      <c r="S27" s="285">
        <f t="shared" si="14"/>
        <v>46029.887999999999</v>
      </c>
      <c r="T27" s="286">
        <f t="shared" si="14"/>
        <v>52317.166229296949</v>
      </c>
      <c r="U27" s="285">
        <f t="shared" si="14"/>
        <v>47798.473010486945</v>
      </c>
      <c r="V27" s="286">
        <f t="shared" si="14"/>
        <v>45169.596869476052</v>
      </c>
      <c r="W27" s="285">
        <f t="shared" si="14"/>
        <v>45720.845055746395</v>
      </c>
      <c r="X27" s="285">
        <f t="shared" si="14"/>
        <v>45704.031385576927</v>
      </c>
      <c r="Y27" s="285">
        <f t="shared" si="14"/>
        <v>45722.046032187071</v>
      </c>
      <c r="Z27" s="402">
        <f t="shared" si="14"/>
        <v>45730.452867271801</v>
      </c>
      <c r="AA27" s="4"/>
      <c r="AB27" s="410" t="s">
        <v>434</v>
      </c>
      <c r="AC27" s="433"/>
      <c r="AD27" s="434"/>
      <c r="AE27" s="435"/>
      <c r="AF27" s="435"/>
      <c r="AG27" s="435"/>
      <c r="AH27" s="435"/>
      <c r="AI27" s="434"/>
      <c r="AJ27" s="435"/>
      <c r="AK27" s="435"/>
      <c r="AL27" s="435"/>
      <c r="AM27" s="435"/>
      <c r="AN27" s="433"/>
    </row>
    <row r="28" spans="2:52" x14ac:dyDescent="0.3">
      <c r="B28" s="49" t="s">
        <v>61</v>
      </c>
      <c r="C28" s="72">
        <f>C27-(Capex_Fcast_Direct!AF24+Other_codes!N7-P27)</f>
        <v>35876.305999999997</v>
      </c>
      <c r="D28" s="72">
        <f>D27-(Capex_Fcast_Direct!AG24+Other_codes!O7-Q27)</f>
        <v>31977.236000000001</v>
      </c>
      <c r="E28" s="72">
        <f>E27-(Capex_Fcast_Direct!AH24+Other_codes!P7-R27)</f>
        <v>40692.417210000007</v>
      </c>
      <c r="F28" s="72">
        <f>F27-(Capex_Fcast_Direct!AI24+Other_codes!Q7-S27)</f>
        <v>46029.887999999999</v>
      </c>
      <c r="G28" s="72">
        <f>G27-(AG27-T27)</f>
        <v>52317.166229296949</v>
      </c>
      <c r="H28" s="72">
        <f t="shared" ref="H28:M28" si="15">H27-(AH27-U27)</f>
        <v>47798.473010486945</v>
      </c>
      <c r="I28" s="72">
        <f t="shared" si="15"/>
        <v>45169.596869476052</v>
      </c>
      <c r="J28" s="72">
        <f t="shared" si="15"/>
        <v>45720.845055746395</v>
      </c>
      <c r="K28" s="72">
        <f t="shared" si="15"/>
        <v>45704.031385576927</v>
      </c>
      <c r="L28" s="72">
        <f t="shared" si="15"/>
        <v>45722.046032187071</v>
      </c>
      <c r="M28" s="72">
        <f t="shared" si="15"/>
        <v>45730.452867271801</v>
      </c>
      <c r="P28" s="72">
        <f>P27-P13</f>
        <v>0</v>
      </c>
      <c r="Q28" s="72">
        <f>Q27-Q13</f>
        <v>0</v>
      </c>
      <c r="R28" s="72">
        <f>R27-R13</f>
        <v>0</v>
      </c>
      <c r="S28" s="72">
        <f>S27-S13</f>
        <v>0</v>
      </c>
      <c r="T28" s="72">
        <f>T27-T13*G15</f>
        <v>0</v>
      </c>
      <c r="U28" s="72">
        <f>U27-U13*H15</f>
        <v>0</v>
      </c>
      <c r="V28" s="72">
        <f>V27-V13</f>
        <v>0</v>
      </c>
      <c r="W28" s="72">
        <f>W27-W13</f>
        <v>0</v>
      </c>
      <c r="X28" s="72">
        <f>X27-X13</f>
        <v>0</v>
      </c>
      <c r="Y28" s="72">
        <f>Y27-Y13</f>
        <v>0</v>
      </c>
      <c r="Z28" s="72">
        <f>Z27-Z13</f>
        <v>0</v>
      </c>
      <c r="AA28" s="4"/>
      <c r="AB28" s="49" t="s">
        <v>61</v>
      </c>
      <c r="AC28" s="48">
        <f>AC27-(Capex_Fcast_Direct!N24+Historical_Cost!K13)</f>
        <v>0</v>
      </c>
      <c r="AD28" s="48">
        <f>AD27-(Capex_Fcast_Direct!O24+Historical_Cost!L13)</f>
        <v>0</v>
      </c>
      <c r="AE28" s="48">
        <f>AE27-(Capex_Fcast_Direct!P24+Historical_Cost!M13)</f>
        <v>0</v>
      </c>
      <c r="AF28" s="48">
        <f>AF27-(Capex_Fcast_Direct!Q24+Historical_Cost!N13)</f>
        <v>0</v>
      </c>
      <c r="AG28" s="47">
        <f>AG27-((Capex_Fcast_Direct!AJ24)*AG$15+AG25)</f>
        <v>0</v>
      </c>
      <c r="AH28" s="47">
        <f>AH27-((Capex_Fcast_Direct!AK24)*AH$15+AH25)</f>
        <v>0</v>
      </c>
      <c r="AI28" s="47">
        <f>AI27-((Capex_Fcast_Direct!AL24)+AI25)</f>
        <v>0</v>
      </c>
      <c r="AJ28" s="47">
        <f>AJ27-((Capex_Fcast_Direct!AM24)+AJ25)</f>
        <v>0</v>
      </c>
      <c r="AK28" s="47">
        <f>AK27-((Capex_Fcast_Direct!AN24)+AK25)</f>
        <v>0</v>
      </c>
      <c r="AL28" s="47">
        <f>AL27-((Capex_Fcast_Direct!AO24)+AL25)</f>
        <v>0</v>
      </c>
      <c r="AM28" s="47">
        <f>AM27-((Capex_Fcast_Direct!AP24)+AM25)</f>
        <v>0</v>
      </c>
      <c r="AN28" s="48">
        <f>AN27-(SUM(Capex_Fcast_Direct!AL24:AP24)+AN25)</f>
        <v>0</v>
      </c>
    </row>
    <row r="29" spans="2:52" x14ac:dyDescent="0.3">
      <c r="B29" s="422" t="s">
        <v>395</v>
      </c>
      <c r="C29" s="457">
        <f>Capex_Fcast_Direct!AF25</f>
        <v>0</v>
      </c>
      <c r="D29" s="457">
        <f>Capex_Fcast_Direct!AG25</f>
        <v>0</v>
      </c>
      <c r="E29" s="457">
        <f>Capex_Fcast_Direct!AH25</f>
        <v>0</v>
      </c>
      <c r="F29" s="457">
        <f>Capex_Fcast_Direct!AI25*F15</f>
        <v>0</v>
      </c>
      <c r="G29" s="457">
        <f>Capex_Fcast_Direct!AJ25*G15</f>
        <v>0</v>
      </c>
      <c r="H29" s="457">
        <f>Capex_Fcast_Direct!AK25*H15</f>
        <v>0</v>
      </c>
      <c r="I29" s="457">
        <f>Capex_Fcast_Direct!AL25</f>
        <v>0</v>
      </c>
      <c r="J29" s="457">
        <f>Capex_Fcast_Direct!AM25</f>
        <v>0</v>
      </c>
      <c r="K29" s="457">
        <f>Capex_Fcast_Direct!AN25</f>
        <v>0</v>
      </c>
      <c r="L29" s="457">
        <f>Capex_Fcast_Direct!AO25</f>
        <v>0</v>
      </c>
      <c r="M29" s="457">
        <f>Capex_Fcast_Direct!AP25</f>
        <v>0</v>
      </c>
      <c r="P29" s="72"/>
      <c r="Q29" s="72"/>
      <c r="R29" s="72"/>
      <c r="S29" s="72"/>
      <c r="T29" s="72"/>
      <c r="U29" s="72"/>
      <c r="V29" s="72"/>
      <c r="W29" s="72"/>
      <c r="X29" s="72"/>
      <c r="Y29" s="72"/>
      <c r="Z29" s="72"/>
      <c r="AA29" s="4"/>
      <c r="AB29" s="49"/>
      <c r="AC29" s="48"/>
      <c r="AD29" s="48"/>
      <c r="AE29" s="48"/>
      <c r="AF29" s="48"/>
      <c r="AG29" s="47"/>
      <c r="AH29" s="47"/>
      <c r="AI29" s="47"/>
      <c r="AJ29" s="47"/>
      <c r="AK29" s="47"/>
      <c r="AL29" s="47"/>
      <c r="AM29" s="47"/>
      <c r="AN29" s="48"/>
    </row>
    <row r="30" spans="2:52" ht="15.3" thickBot="1" x14ac:dyDescent="0.35">
      <c r="P30" s="72"/>
      <c r="Q30" s="72"/>
      <c r="R30" s="72"/>
      <c r="S30" s="72"/>
      <c r="T30" s="72"/>
      <c r="U30" s="72"/>
      <c r="V30" s="72"/>
      <c r="W30" s="72"/>
      <c r="X30" s="72"/>
      <c r="Y30" s="72"/>
      <c r="Z30" s="72"/>
      <c r="AA30" s="4"/>
      <c r="AB30" s="49"/>
      <c r="AC30" s="4"/>
      <c r="AD30" s="4"/>
      <c r="AE30" s="4"/>
      <c r="AF30" s="4"/>
      <c r="AG30" s="4"/>
      <c r="AH30" s="4"/>
      <c r="AI30" s="4"/>
      <c r="AJ30" s="4"/>
      <c r="AK30" s="4"/>
      <c r="AL30" s="4"/>
      <c r="AM30" s="4"/>
    </row>
    <row r="31" spans="2:52" ht="15.3" thickBot="1" x14ac:dyDescent="0.35">
      <c r="B31" s="409" t="s">
        <v>404</v>
      </c>
      <c r="G31" s="437"/>
      <c r="H31" s="437"/>
      <c r="I31" s="437"/>
      <c r="J31" s="437"/>
      <c r="K31" s="437"/>
      <c r="L31" s="437"/>
      <c r="M31" s="437"/>
      <c r="N31" s="437"/>
      <c r="O31" t="s">
        <v>118</v>
      </c>
      <c r="P31" s="72"/>
      <c r="Q31" s="72"/>
      <c r="R31" s="72"/>
      <c r="S31" s="72"/>
      <c r="T31" s="72"/>
      <c r="U31" s="72"/>
      <c r="V31" s="72"/>
      <c r="W31" s="72"/>
      <c r="X31" s="72"/>
      <c r="Y31" s="72"/>
      <c r="Z31" s="72"/>
      <c r="AA31" s="4"/>
      <c r="AB31" s="49"/>
      <c r="AC31" s="4"/>
      <c r="AD31" s="4"/>
      <c r="AE31" s="4"/>
      <c r="AF31" s="4"/>
      <c r="AG31" s="4"/>
      <c r="AH31" s="4"/>
      <c r="AI31" s="4"/>
      <c r="AJ31" s="4"/>
      <c r="AK31" s="4"/>
      <c r="AL31" s="4"/>
      <c r="AM31" s="4"/>
    </row>
    <row r="32" spans="2:52" ht="15.3" thickBot="1" x14ac:dyDescent="0.35">
      <c r="B32" s="409" t="s">
        <v>403</v>
      </c>
      <c r="C32" s="48"/>
      <c r="D32" s="48"/>
      <c r="E32" s="48"/>
      <c r="G32" s="437"/>
      <c r="H32" s="437"/>
      <c r="O32" t="s">
        <v>118</v>
      </c>
      <c r="V32" s="74"/>
      <c r="Y32" s="4"/>
      <c r="Z32" s="4"/>
      <c r="AA32" s="4"/>
      <c r="AB32" s="49"/>
      <c r="AC32" s="4"/>
      <c r="AD32" s="4"/>
      <c r="AE32" s="4"/>
      <c r="AF32" s="4"/>
      <c r="AG32" s="4"/>
      <c r="AH32" s="4"/>
      <c r="AI32" s="4"/>
      <c r="AJ32" s="4"/>
      <c r="AK32" s="4"/>
      <c r="AL32" s="4"/>
      <c r="AM32" s="4"/>
    </row>
    <row r="33" spans="2:41" x14ac:dyDescent="0.3">
      <c r="B33" s="49"/>
      <c r="C33" s="503" t="s">
        <v>98</v>
      </c>
      <c r="D33" s="504"/>
      <c r="E33" s="504"/>
      <c r="F33" s="504"/>
      <c r="G33" s="504"/>
      <c r="H33" s="505"/>
      <c r="I33" s="549" t="s">
        <v>266</v>
      </c>
      <c r="J33" s="550"/>
      <c r="K33" s="550"/>
      <c r="L33" s="550"/>
      <c r="M33" s="550"/>
      <c r="N33" s="551"/>
      <c r="P33" s="503" t="s">
        <v>98</v>
      </c>
      <c r="Q33" s="504"/>
      <c r="R33" s="504"/>
      <c r="S33" s="504"/>
      <c r="T33" s="504"/>
      <c r="U33" s="505"/>
      <c r="V33" s="546" t="s">
        <v>266</v>
      </c>
      <c r="W33" s="547"/>
      <c r="X33" s="547"/>
      <c r="Y33" s="547"/>
      <c r="Z33" s="548"/>
      <c r="AB33" s="49"/>
      <c r="AC33" s="503" t="s">
        <v>98</v>
      </c>
      <c r="AD33" s="504"/>
      <c r="AE33" s="504"/>
      <c r="AF33" s="504"/>
      <c r="AG33" s="504"/>
      <c r="AH33" s="505"/>
      <c r="AI33" s="546" t="s">
        <v>266</v>
      </c>
      <c r="AJ33" s="547"/>
      <c r="AK33" s="547"/>
      <c r="AL33" s="547"/>
      <c r="AM33" s="548"/>
      <c r="AN33" s="208" t="s">
        <v>251</v>
      </c>
    </row>
    <row r="34" spans="2:41" x14ac:dyDescent="0.3">
      <c r="B34" s="1" t="s">
        <v>401</v>
      </c>
      <c r="C34" s="284" t="str">
        <f>Allocations!G$50</f>
        <v>2020-21</v>
      </c>
      <c r="D34" s="127" t="str">
        <f>Allocations!H$50</f>
        <v>2021-22</v>
      </c>
      <c r="E34" s="199" t="str">
        <f>Allocations!I$50</f>
        <v>2022-23</v>
      </c>
      <c r="F34" s="227" t="str">
        <f>Allocations!J$50</f>
        <v>2023-24</v>
      </c>
      <c r="G34" s="127" t="str">
        <f>Allocations!K$50</f>
        <v>2024-25</v>
      </c>
      <c r="H34" s="227" t="str">
        <f>Allocations!L$50</f>
        <v>2025-26</v>
      </c>
      <c r="I34" s="284" t="str">
        <f>Allocations!M$50</f>
        <v>2026-27</v>
      </c>
      <c r="J34" s="199" t="str">
        <f>Allocations!N$50</f>
        <v>2027–28</v>
      </c>
      <c r="K34" s="199" t="str">
        <f>Allocations!O$50</f>
        <v>2028–29</v>
      </c>
      <c r="L34" s="199" t="str">
        <f>Allocations!P$50</f>
        <v>2029–30</v>
      </c>
      <c r="M34" s="227" t="str">
        <f>Allocations!Q$50</f>
        <v>2030–31</v>
      </c>
      <c r="N34" s="29" t="s">
        <v>2</v>
      </c>
      <c r="P34" s="75" t="str">
        <f t="shared" ref="P34" si="16">C34</f>
        <v>2020-21</v>
      </c>
      <c r="Q34" s="202" t="str">
        <f t="shared" ref="Q34" si="17">D34</f>
        <v>2021-22</v>
      </c>
      <c r="R34" s="3" t="str">
        <f t="shared" ref="R34" si="18">E34</f>
        <v>2022-23</v>
      </c>
      <c r="S34" s="3" t="str">
        <f t="shared" ref="S34" si="19">F34</f>
        <v>2023-24</v>
      </c>
      <c r="T34" s="3" t="str">
        <f t="shared" ref="T34" si="20">G34</f>
        <v>2024-25</v>
      </c>
      <c r="U34" s="3" t="str">
        <f t="shared" ref="U34" si="21">H34</f>
        <v>2025-26</v>
      </c>
      <c r="V34" s="75" t="str">
        <f t="shared" ref="V34" si="22">I34</f>
        <v>2026-27</v>
      </c>
      <c r="W34" s="3" t="str">
        <f t="shared" ref="W34" si="23">J34</f>
        <v>2027–28</v>
      </c>
      <c r="X34" s="3" t="str">
        <f t="shared" ref="X34" si="24">K34</f>
        <v>2028–29</v>
      </c>
      <c r="Y34" s="3" t="str">
        <f t="shared" ref="Y34" si="25">L34</f>
        <v>2029–30</v>
      </c>
      <c r="Z34" s="100" t="str">
        <f t="shared" ref="Z34" si="26">M34</f>
        <v>2030–31</v>
      </c>
      <c r="AB34" s="1" t="s">
        <v>401</v>
      </c>
      <c r="AC34" s="75" t="str">
        <f t="shared" ref="AC34" si="27">C34</f>
        <v>2020-21</v>
      </c>
      <c r="AD34" s="202" t="str">
        <f t="shared" ref="AD34" si="28">D34</f>
        <v>2021-22</v>
      </c>
      <c r="AE34" s="3" t="str">
        <f t="shared" ref="AE34" si="29">E34</f>
        <v>2022-23</v>
      </c>
      <c r="AF34" s="3" t="str">
        <f t="shared" ref="AF34" si="30">F34</f>
        <v>2023-24</v>
      </c>
      <c r="AG34" s="202" t="str">
        <f t="shared" ref="AG34" si="31">G34</f>
        <v>2024-25</v>
      </c>
      <c r="AH34" s="3" t="str">
        <f t="shared" ref="AH34" si="32">H34</f>
        <v>2025-26</v>
      </c>
      <c r="AI34" s="75" t="str">
        <f t="shared" ref="AI34" si="33">I34</f>
        <v>2026-27</v>
      </c>
      <c r="AJ34" s="3" t="str">
        <f t="shared" ref="AJ34" si="34">J34</f>
        <v>2027–28</v>
      </c>
      <c r="AK34" s="3" t="str">
        <f t="shared" ref="AK34" si="35">K34</f>
        <v>2028–29</v>
      </c>
      <c r="AL34" s="3" t="str">
        <f t="shared" ref="AL34" si="36">L34</f>
        <v>2029–30</v>
      </c>
      <c r="AM34" s="100" t="str">
        <f t="shared" ref="AM34" si="37">M34</f>
        <v>2030–31</v>
      </c>
      <c r="AN34" s="114" t="s">
        <v>2</v>
      </c>
    </row>
    <row r="35" spans="2:41" x14ac:dyDescent="0.3">
      <c r="B35" t="s">
        <v>83</v>
      </c>
      <c r="C35" s="427"/>
      <c r="D35" s="428"/>
      <c r="E35" s="429"/>
      <c r="F35" s="429"/>
      <c r="G35" s="429"/>
      <c r="H35" s="429"/>
      <c r="I35" s="428"/>
      <c r="J35" s="429"/>
      <c r="K35" s="429"/>
      <c r="L35" s="429"/>
      <c r="M35" s="429"/>
      <c r="N35" s="431"/>
      <c r="O35" t="s">
        <v>118</v>
      </c>
      <c r="P35" s="128" t="s">
        <v>270</v>
      </c>
      <c r="Q35" s="128" t="s">
        <v>270</v>
      </c>
      <c r="R35" s="171" t="s">
        <v>270</v>
      </c>
      <c r="S35" s="171" t="s">
        <v>270</v>
      </c>
      <c r="T35" s="171" t="s">
        <v>270</v>
      </c>
      <c r="U35" s="171" t="s">
        <v>270</v>
      </c>
      <c r="V35" s="128" t="s">
        <v>270</v>
      </c>
      <c r="W35" s="171" t="s">
        <v>270</v>
      </c>
      <c r="X35" s="171" t="s">
        <v>270</v>
      </c>
      <c r="Y35" s="171" t="s">
        <v>270</v>
      </c>
      <c r="Z35" s="401" t="s">
        <v>270</v>
      </c>
      <c r="AA35" s="4"/>
      <c r="AB35" t="s">
        <v>83</v>
      </c>
      <c r="AC35" s="428"/>
      <c r="AD35" s="428"/>
      <c r="AE35" s="429"/>
      <c r="AF35" s="429"/>
      <c r="AG35" s="428"/>
      <c r="AH35" s="429"/>
      <c r="AI35" s="428"/>
      <c r="AJ35" s="429"/>
      <c r="AK35" s="429"/>
      <c r="AL35" s="429"/>
      <c r="AM35" s="432"/>
      <c r="AN35" s="431"/>
      <c r="AO35" t="s">
        <v>118</v>
      </c>
    </row>
    <row r="36" spans="2:41" x14ac:dyDescent="0.3">
      <c r="B36" t="s">
        <v>84</v>
      </c>
      <c r="C36" s="431"/>
      <c r="D36" s="428"/>
      <c r="E36" s="429"/>
      <c r="F36" s="429"/>
      <c r="G36" s="429"/>
      <c r="H36" s="429"/>
      <c r="I36" s="428"/>
      <c r="J36" s="429"/>
      <c r="K36" s="429"/>
      <c r="L36" s="429"/>
      <c r="M36" s="429"/>
      <c r="N36" s="431"/>
      <c r="O36" t="s">
        <v>118</v>
      </c>
      <c r="P36" s="76" t="s">
        <v>270</v>
      </c>
      <c r="Q36" s="76" t="s">
        <v>270</v>
      </c>
      <c r="R36" t="s">
        <v>270</v>
      </c>
      <c r="S36" t="s">
        <v>270</v>
      </c>
      <c r="T36" t="s">
        <v>270</v>
      </c>
      <c r="U36" t="s">
        <v>270</v>
      </c>
      <c r="V36" s="76" t="s">
        <v>270</v>
      </c>
      <c r="W36" t="s">
        <v>270</v>
      </c>
      <c r="X36" t="s">
        <v>270</v>
      </c>
      <c r="Y36" t="s">
        <v>270</v>
      </c>
      <c r="Z36" s="371" t="s">
        <v>270</v>
      </c>
      <c r="AA36" s="4"/>
      <c r="AB36" t="s">
        <v>84</v>
      </c>
      <c r="AC36" s="428"/>
      <c r="AD36" s="428"/>
      <c r="AE36" s="429"/>
      <c r="AF36" s="429"/>
      <c r="AG36" s="428"/>
      <c r="AH36" s="429"/>
      <c r="AI36" s="428"/>
      <c r="AJ36" s="429"/>
      <c r="AK36" s="429"/>
      <c r="AL36" s="429"/>
      <c r="AM36" s="432"/>
      <c r="AN36" s="431"/>
      <c r="AO36" t="s">
        <v>118</v>
      </c>
    </row>
    <row r="37" spans="2:41" x14ac:dyDescent="0.3">
      <c r="B37" t="s">
        <v>85</v>
      </c>
      <c r="C37" s="431"/>
      <c r="D37" s="428"/>
      <c r="E37" s="429"/>
      <c r="F37" s="429"/>
      <c r="G37" s="429"/>
      <c r="H37" s="429"/>
      <c r="I37" s="428"/>
      <c r="J37" s="429"/>
      <c r="K37" s="429"/>
      <c r="L37" s="429"/>
      <c r="M37" s="429"/>
      <c r="N37" s="431"/>
      <c r="O37" t="s">
        <v>118</v>
      </c>
      <c r="P37" s="76" t="s">
        <v>270</v>
      </c>
      <c r="Q37" s="76" t="s">
        <v>270</v>
      </c>
      <c r="R37" t="s">
        <v>270</v>
      </c>
      <c r="S37" t="s">
        <v>270</v>
      </c>
      <c r="T37" t="s">
        <v>270</v>
      </c>
      <c r="U37" t="s">
        <v>270</v>
      </c>
      <c r="V37" s="76" t="s">
        <v>270</v>
      </c>
      <c r="W37" t="s">
        <v>270</v>
      </c>
      <c r="X37" t="s">
        <v>270</v>
      </c>
      <c r="Y37" t="s">
        <v>270</v>
      </c>
      <c r="Z37" s="371" t="s">
        <v>270</v>
      </c>
      <c r="AA37" s="4"/>
      <c r="AB37" t="s">
        <v>85</v>
      </c>
      <c r="AC37" s="428"/>
      <c r="AD37" s="428"/>
      <c r="AE37" s="429"/>
      <c r="AF37" s="429"/>
      <c r="AG37" s="428"/>
      <c r="AH37" s="429"/>
      <c r="AI37" s="428"/>
      <c r="AJ37" s="429"/>
      <c r="AK37" s="429"/>
      <c r="AL37" s="429"/>
      <c r="AM37" s="432"/>
      <c r="AN37" s="431"/>
      <c r="AO37" t="s">
        <v>118</v>
      </c>
    </row>
    <row r="38" spans="2:41" x14ac:dyDescent="0.3">
      <c r="B38" t="s">
        <v>86</v>
      </c>
      <c r="C38" s="431"/>
      <c r="D38" s="428"/>
      <c r="E38" s="429"/>
      <c r="F38" s="429"/>
      <c r="G38" s="429"/>
      <c r="H38" s="429"/>
      <c r="I38" s="428"/>
      <c r="J38" s="429"/>
      <c r="K38" s="429"/>
      <c r="L38" s="429"/>
      <c r="M38" s="429"/>
      <c r="N38" s="431"/>
      <c r="O38" t="s">
        <v>118</v>
      </c>
      <c r="P38" s="76" t="s">
        <v>270</v>
      </c>
      <c r="Q38" s="76" t="s">
        <v>270</v>
      </c>
      <c r="R38" t="s">
        <v>270</v>
      </c>
      <c r="S38" t="s">
        <v>270</v>
      </c>
      <c r="T38" t="s">
        <v>270</v>
      </c>
      <c r="U38" t="s">
        <v>270</v>
      </c>
      <c r="V38" s="76" t="s">
        <v>270</v>
      </c>
      <c r="W38" t="s">
        <v>270</v>
      </c>
      <c r="X38" t="s">
        <v>270</v>
      </c>
      <c r="Y38" t="s">
        <v>270</v>
      </c>
      <c r="Z38" s="371" t="s">
        <v>270</v>
      </c>
      <c r="AA38" s="4"/>
      <c r="AB38" t="s">
        <v>86</v>
      </c>
      <c r="AC38" s="428"/>
      <c r="AD38" s="428"/>
      <c r="AE38" s="429"/>
      <c r="AF38" s="429"/>
      <c r="AG38" s="428"/>
      <c r="AH38" s="429"/>
      <c r="AI38" s="428"/>
      <c r="AJ38" s="429"/>
      <c r="AK38" s="429"/>
      <c r="AL38" s="429"/>
      <c r="AM38" s="432"/>
      <c r="AN38" s="431"/>
      <c r="AO38" t="s">
        <v>118</v>
      </c>
    </row>
    <row r="39" spans="2:41" x14ac:dyDescent="0.3">
      <c r="B39" t="s">
        <v>78</v>
      </c>
      <c r="C39" s="431"/>
      <c r="D39" s="428"/>
      <c r="E39" s="429"/>
      <c r="F39" s="429"/>
      <c r="G39" s="429"/>
      <c r="H39" s="429"/>
      <c r="I39" s="428"/>
      <c r="J39" s="429"/>
      <c r="K39" s="429"/>
      <c r="L39" s="429"/>
      <c r="M39" s="429"/>
      <c r="N39" s="431"/>
      <c r="O39" t="s">
        <v>118</v>
      </c>
      <c r="P39" s="76" t="s">
        <v>270</v>
      </c>
      <c r="Q39" s="76" t="s">
        <v>270</v>
      </c>
      <c r="R39" t="s">
        <v>270</v>
      </c>
      <c r="S39" t="s">
        <v>270</v>
      </c>
      <c r="T39" t="s">
        <v>270</v>
      </c>
      <c r="U39" t="s">
        <v>270</v>
      </c>
      <c r="V39" s="76" t="s">
        <v>270</v>
      </c>
      <c r="W39" t="s">
        <v>270</v>
      </c>
      <c r="X39" t="s">
        <v>270</v>
      </c>
      <c r="Y39" t="s">
        <v>270</v>
      </c>
      <c r="Z39" s="371" t="s">
        <v>270</v>
      </c>
      <c r="AA39" s="4"/>
      <c r="AB39" t="s">
        <v>78</v>
      </c>
      <c r="AC39" s="428"/>
      <c r="AD39" s="428"/>
      <c r="AE39" s="429"/>
      <c r="AF39" s="429"/>
      <c r="AG39" s="428"/>
      <c r="AH39" s="429"/>
      <c r="AI39" s="428"/>
      <c r="AJ39" s="429"/>
      <c r="AK39" s="429"/>
      <c r="AL39" s="429"/>
      <c r="AM39" s="432"/>
      <c r="AN39" s="431"/>
      <c r="AO39" t="s">
        <v>118</v>
      </c>
    </row>
    <row r="40" spans="2:41" x14ac:dyDescent="0.3">
      <c r="B40" t="s">
        <v>335</v>
      </c>
      <c r="C40" s="431"/>
      <c r="D40" s="428"/>
      <c r="E40" s="429"/>
      <c r="F40" s="429"/>
      <c r="G40" s="429"/>
      <c r="H40" s="429"/>
      <c r="I40" s="428"/>
      <c r="J40" s="429"/>
      <c r="K40" s="429"/>
      <c r="L40" s="429"/>
      <c r="M40" s="429"/>
      <c r="N40" s="431"/>
      <c r="O40" t="s">
        <v>118</v>
      </c>
      <c r="P40" s="76" t="s">
        <v>270</v>
      </c>
      <c r="Q40" s="76" t="s">
        <v>270</v>
      </c>
      <c r="R40" t="s">
        <v>270</v>
      </c>
      <c r="S40" t="s">
        <v>270</v>
      </c>
      <c r="T40" t="s">
        <v>270</v>
      </c>
      <c r="U40" t="s">
        <v>270</v>
      </c>
      <c r="V40" s="76" t="s">
        <v>270</v>
      </c>
      <c r="W40" t="s">
        <v>270</v>
      </c>
      <c r="X40" t="s">
        <v>270</v>
      </c>
      <c r="Y40" t="s">
        <v>270</v>
      </c>
      <c r="Z40" s="371" t="s">
        <v>270</v>
      </c>
      <c r="AA40" s="4"/>
      <c r="AB40" t="s">
        <v>335</v>
      </c>
      <c r="AC40" s="428"/>
      <c r="AD40" s="428"/>
      <c r="AE40" s="429"/>
      <c r="AF40" s="429"/>
      <c r="AG40" s="428"/>
      <c r="AH40" s="429"/>
      <c r="AI40" s="428"/>
      <c r="AJ40" s="429"/>
      <c r="AK40" s="429"/>
      <c r="AL40" s="429"/>
      <c r="AM40" s="432"/>
      <c r="AN40" s="431"/>
      <c r="AO40" t="s">
        <v>118</v>
      </c>
    </row>
    <row r="41" spans="2:41" x14ac:dyDescent="0.3">
      <c r="B41" t="s">
        <v>88</v>
      </c>
      <c r="C41" s="431"/>
      <c r="D41" s="428"/>
      <c r="E41" s="429"/>
      <c r="F41" s="429"/>
      <c r="G41" s="429"/>
      <c r="H41" s="429"/>
      <c r="I41" s="428"/>
      <c r="J41" s="429"/>
      <c r="K41" s="429"/>
      <c r="L41" s="429"/>
      <c r="M41" s="429"/>
      <c r="N41" s="431"/>
      <c r="O41" t="s">
        <v>118</v>
      </c>
      <c r="P41" s="76" t="s">
        <v>270</v>
      </c>
      <c r="Q41" s="76" t="s">
        <v>270</v>
      </c>
      <c r="R41" t="s">
        <v>270</v>
      </c>
      <c r="S41" t="s">
        <v>270</v>
      </c>
      <c r="T41" t="s">
        <v>270</v>
      </c>
      <c r="U41" t="s">
        <v>270</v>
      </c>
      <c r="V41" s="76" t="s">
        <v>270</v>
      </c>
      <c r="W41" t="s">
        <v>270</v>
      </c>
      <c r="X41" t="s">
        <v>270</v>
      </c>
      <c r="Y41" t="s">
        <v>270</v>
      </c>
      <c r="Z41" s="371" t="s">
        <v>270</v>
      </c>
      <c r="AA41" s="4"/>
      <c r="AB41" t="s">
        <v>88</v>
      </c>
      <c r="AC41" s="428"/>
      <c r="AD41" s="428"/>
      <c r="AE41" s="429"/>
      <c r="AF41" s="429"/>
      <c r="AG41" s="428"/>
      <c r="AH41" s="429"/>
      <c r="AI41" s="428"/>
      <c r="AJ41" s="429"/>
      <c r="AK41" s="429"/>
      <c r="AL41" s="429"/>
      <c r="AM41" s="432"/>
      <c r="AN41" s="431"/>
      <c r="AO41" t="s">
        <v>118</v>
      </c>
    </row>
    <row r="42" spans="2:41" x14ac:dyDescent="0.3">
      <c r="B42" t="s">
        <v>236</v>
      </c>
      <c r="C42" s="431"/>
      <c r="D42" s="428"/>
      <c r="E42" s="429"/>
      <c r="F42" s="429"/>
      <c r="G42" s="429"/>
      <c r="H42" s="429"/>
      <c r="I42" s="428"/>
      <c r="J42" s="429"/>
      <c r="K42" s="429"/>
      <c r="L42" s="429"/>
      <c r="M42" s="429"/>
      <c r="N42" s="431"/>
      <c r="O42" t="s">
        <v>118</v>
      </c>
      <c r="P42" s="76" t="s">
        <v>270</v>
      </c>
      <c r="Q42" s="76" t="s">
        <v>270</v>
      </c>
      <c r="R42" t="s">
        <v>270</v>
      </c>
      <c r="S42" t="s">
        <v>270</v>
      </c>
      <c r="T42" t="s">
        <v>270</v>
      </c>
      <c r="U42" t="s">
        <v>270</v>
      </c>
      <c r="V42" s="213" t="s">
        <v>270</v>
      </c>
      <c r="W42" t="s">
        <v>270</v>
      </c>
      <c r="X42" t="s">
        <v>270</v>
      </c>
      <c r="Y42" t="s">
        <v>270</v>
      </c>
      <c r="Z42" s="371" t="s">
        <v>270</v>
      </c>
      <c r="AA42" s="4"/>
      <c r="AB42" t="s">
        <v>236</v>
      </c>
      <c r="AC42" s="428"/>
      <c r="AD42" s="428"/>
      <c r="AE42" s="429"/>
      <c r="AF42" s="429"/>
      <c r="AG42" s="428"/>
      <c r="AH42" s="429"/>
      <c r="AI42" s="428"/>
      <c r="AJ42" s="429"/>
      <c r="AK42" s="429"/>
      <c r="AL42" s="429"/>
      <c r="AM42" s="432"/>
      <c r="AN42" s="431"/>
      <c r="AO42" t="s">
        <v>118</v>
      </c>
    </row>
    <row r="43" spans="2:41" x14ac:dyDescent="0.3">
      <c r="B43" s="1" t="s">
        <v>402</v>
      </c>
      <c r="C43" s="433"/>
      <c r="D43" s="434"/>
      <c r="E43" s="435"/>
      <c r="F43" s="435"/>
      <c r="G43" s="435"/>
      <c r="H43" s="435"/>
      <c r="I43" s="434"/>
      <c r="J43" s="435"/>
      <c r="K43" s="435"/>
      <c r="L43" s="435"/>
      <c r="M43" s="435"/>
      <c r="N43" s="433"/>
      <c r="P43" s="286">
        <f>SUM(P35:P42)</f>
        <v>0</v>
      </c>
      <c r="Q43" s="286">
        <f t="shared" ref="Q43:Z43" si="38">SUM(Q35:Q42)</f>
        <v>0</v>
      </c>
      <c r="R43" s="285">
        <f t="shared" si="38"/>
        <v>0</v>
      </c>
      <c r="S43" s="285">
        <f t="shared" si="38"/>
        <v>0</v>
      </c>
      <c r="T43" s="285">
        <f t="shared" si="38"/>
        <v>0</v>
      </c>
      <c r="U43" s="285">
        <f t="shared" si="38"/>
        <v>0</v>
      </c>
      <c r="V43" s="286">
        <f t="shared" si="38"/>
        <v>0</v>
      </c>
      <c r="W43" s="285">
        <f t="shared" si="38"/>
        <v>0</v>
      </c>
      <c r="X43" s="285">
        <f t="shared" si="38"/>
        <v>0</v>
      </c>
      <c r="Y43" s="285">
        <f t="shared" si="38"/>
        <v>0</v>
      </c>
      <c r="Z43" s="402">
        <f t="shared" si="38"/>
        <v>0</v>
      </c>
      <c r="AA43" s="4"/>
      <c r="AB43" s="1" t="s">
        <v>402</v>
      </c>
      <c r="AC43" s="434"/>
      <c r="AD43" s="434"/>
      <c r="AE43" s="435"/>
      <c r="AF43" s="435"/>
      <c r="AG43" s="434"/>
      <c r="AH43" s="435"/>
      <c r="AI43" s="434"/>
      <c r="AJ43" s="435"/>
      <c r="AK43" s="435"/>
      <c r="AL43" s="435"/>
      <c r="AM43" s="436"/>
      <c r="AN43" s="433"/>
      <c r="AO43" t="s">
        <v>118</v>
      </c>
    </row>
    <row r="44" spans="2:41" x14ac:dyDescent="0.3">
      <c r="B44" s="49" t="s">
        <v>61</v>
      </c>
      <c r="C44" s="47">
        <f>C43-Historical_Cost!K27</f>
        <v>0</v>
      </c>
      <c r="D44" s="47">
        <f>D43-Historical_Cost!L27</f>
        <v>0</v>
      </c>
      <c r="E44" s="47">
        <f>E43-Historical_Cost!M27</f>
        <v>0</v>
      </c>
      <c r="F44" s="47">
        <f>F43-Historical_Cost!N27</f>
        <v>0</v>
      </c>
      <c r="G44" s="85">
        <f>G43-G32</f>
        <v>0</v>
      </c>
      <c r="H44" s="85">
        <f>H43-H32</f>
        <v>0</v>
      </c>
      <c r="I44" s="307">
        <f>I43-I31</f>
        <v>0</v>
      </c>
      <c r="J44" s="307">
        <f>J43-J31</f>
        <v>0</v>
      </c>
      <c r="K44" s="307">
        <f>K43-K31</f>
        <v>0</v>
      </c>
      <c r="L44" s="307">
        <f>L43-L31</f>
        <v>0</v>
      </c>
      <c r="M44" s="307">
        <f>M43-M31</f>
        <v>0</v>
      </c>
      <c r="N44" s="85"/>
      <c r="Y44" s="4"/>
      <c r="Z44" s="4"/>
      <c r="AA44" s="4"/>
      <c r="AB44" s="4"/>
      <c r="AC44" s="72">
        <f t="shared" ref="AC44:AM44" si="39">AC43-C43</f>
        <v>0</v>
      </c>
      <c r="AD44" s="72">
        <f t="shared" si="39"/>
        <v>0</v>
      </c>
      <c r="AE44" s="72">
        <f t="shared" si="39"/>
        <v>0</v>
      </c>
      <c r="AF44" s="72">
        <f>AF43-F43</f>
        <v>0</v>
      </c>
      <c r="AG44" s="72">
        <f t="shared" si="39"/>
        <v>0</v>
      </c>
      <c r="AH44" s="72">
        <f t="shared" si="39"/>
        <v>0</v>
      </c>
      <c r="AI44" s="72">
        <f t="shared" si="39"/>
        <v>0</v>
      </c>
      <c r="AJ44" s="72">
        <f t="shared" si="39"/>
        <v>0</v>
      </c>
      <c r="AK44" s="72">
        <f t="shared" si="39"/>
        <v>0</v>
      </c>
      <c r="AL44" s="72">
        <f t="shared" si="39"/>
        <v>0</v>
      </c>
      <c r="AM44" s="72">
        <f t="shared" si="39"/>
        <v>0</v>
      </c>
      <c r="AN44" s="72">
        <f>AN43-N43</f>
        <v>0</v>
      </c>
    </row>
    <row r="45" spans="2:41" x14ac:dyDescent="0.3">
      <c r="Y45" s="4"/>
      <c r="Z45" s="4"/>
      <c r="AA45" s="4"/>
    </row>
    <row r="46" spans="2:41" x14ac:dyDescent="0.3">
      <c r="C46" s="555" t="s">
        <v>405</v>
      </c>
      <c r="D46" s="556"/>
      <c r="E46" s="556"/>
      <c r="F46" s="556"/>
      <c r="G46" s="556"/>
      <c r="H46" s="556"/>
      <c r="I46" s="556"/>
      <c r="J46" s="556"/>
      <c r="K46" s="556"/>
      <c r="L46" s="556"/>
      <c r="M46" s="557"/>
      <c r="Y46" s="4"/>
      <c r="Z46" s="4"/>
      <c r="AA46" s="4"/>
      <c r="AC46" s="552" t="s">
        <v>407</v>
      </c>
      <c r="AD46" s="553"/>
      <c r="AE46" s="553"/>
      <c r="AF46" s="553"/>
      <c r="AG46" s="553"/>
      <c r="AH46" s="553"/>
      <c r="AI46" s="553"/>
      <c r="AJ46" s="553"/>
      <c r="AK46" s="553"/>
      <c r="AL46" s="553"/>
      <c r="AM46" s="554"/>
    </row>
    <row r="47" spans="2:41" x14ac:dyDescent="0.3">
      <c r="B47" s="4"/>
      <c r="C47" s="503" t="s">
        <v>98</v>
      </c>
      <c r="D47" s="504"/>
      <c r="E47" s="504"/>
      <c r="F47" s="504"/>
      <c r="G47" s="504"/>
      <c r="H47" s="505"/>
      <c r="I47" s="546" t="s">
        <v>266</v>
      </c>
      <c r="J47" s="547"/>
      <c r="K47" s="547"/>
      <c r="L47" s="547"/>
      <c r="M47" s="548"/>
      <c r="N47" s="208" t="s">
        <v>2</v>
      </c>
      <c r="S47" s="222"/>
      <c r="T47" s="222"/>
      <c r="U47" s="222"/>
      <c r="V47" s="222"/>
      <c r="W47" s="222"/>
      <c r="X47" s="222"/>
      <c r="Y47" s="4"/>
      <c r="Z47" s="4"/>
      <c r="AA47" s="4"/>
      <c r="AB47" s="49"/>
      <c r="AC47" s="503" t="s">
        <v>98</v>
      </c>
      <c r="AD47" s="504"/>
      <c r="AE47" s="504"/>
      <c r="AF47" s="504"/>
      <c r="AG47" s="504"/>
      <c r="AH47" s="505"/>
      <c r="AI47" s="549" t="s">
        <v>266</v>
      </c>
      <c r="AJ47" s="550"/>
      <c r="AK47" s="550"/>
      <c r="AL47" s="550"/>
      <c r="AM47" s="550"/>
      <c r="AN47" s="551"/>
    </row>
    <row r="48" spans="2:41" x14ac:dyDescent="0.3">
      <c r="B48" s="1" t="s">
        <v>391</v>
      </c>
      <c r="C48" s="425" t="s">
        <v>127</v>
      </c>
      <c r="D48" s="202" t="s">
        <v>163</v>
      </c>
      <c r="E48" s="3" t="s">
        <v>162</v>
      </c>
      <c r="F48" s="3" t="s">
        <v>161</v>
      </c>
      <c r="G48" s="202" t="s">
        <v>160</v>
      </c>
      <c r="H48" s="3" t="s">
        <v>159</v>
      </c>
      <c r="I48" s="75" t="s">
        <v>225</v>
      </c>
      <c r="J48" s="3" t="s">
        <v>226</v>
      </c>
      <c r="K48" s="3" t="s">
        <v>247</v>
      </c>
      <c r="L48" s="3" t="s">
        <v>248</v>
      </c>
      <c r="M48" s="3" t="s">
        <v>249</v>
      </c>
      <c r="N48" s="101" t="s">
        <v>261</v>
      </c>
      <c r="Q48" s="72"/>
      <c r="R48" s="72"/>
      <c r="S48" s="72"/>
      <c r="T48" s="72"/>
      <c r="U48" s="72"/>
      <c r="V48" s="25"/>
      <c r="W48" s="25"/>
      <c r="X48" s="25"/>
      <c r="Y48" s="25"/>
      <c r="Z48" s="25"/>
      <c r="AA48" s="4"/>
      <c r="AB48" s="1" t="s">
        <v>391</v>
      </c>
      <c r="AC48" s="421" t="str">
        <f>Allocations!G$50</f>
        <v>2020-21</v>
      </c>
      <c r="AD48" s="127" t="str">
        <f>Allocations!H$50</f>
        <v>2021-22</v>
      </c>
      <c r="AE48" s="199" t="str">
        <f>Allocations!I$50</f>
        <v>2022-23</v>
      </c>
      <c r="AF48" s="227" t="str">
        <f>Allocations!J$50</f>
        <v>2023-24</v>
      </c>
      <c r="AG48" s="127" t="str">
        <f>Allocations!K$50</f>
        <v>2024-25</v>
      </c>
      <c r="AH48" s="227" t="str">
        <f>Allocations!L$50</f>
        <v>2025-26</v>
      </c>
      <c r="AI48" s="284" t="str">
        <f>Allocations!M$50</f>
        <v>2026-27</v>
      </c>
      <c r="AJ48" s="199" t="str">
        <f>Allocations!N$50</f>
        <v>2027–28</v>
      </c>
      <c r="AK48" s="199" t="str">
        <f>Allocations!O$50</f>
        <v>2028–29</v>
      </c>
      <c r="AL48" s="199" t="str">
        <f>Allocations!P$50</f>
        <v>2029–30</v>
      </c>
      <c r="AM48" s="227" t="str">
        <f>Allocations!Q$50</f>
        <v>2030–31</v>
      </c>
      <c r="AN48" s="29" t="s">
        <v>2</v>
      </c>
    </row>
    <row r="49" spans="2:41" x14ac:dyDescent="0.3">
      <c r="B49" t="s">
        <v>83</v>
      </c>
      <c r="C49" s="87">
        <v>12133.58901</v>
      </c>
      <c r="D49" s="77">
        <v>9895.1458199999943</v>
      </c>
      <c r="E49" s="4">
        <v>14805.308039999991</v>
      </c>
      <c r="F49" s="4">
        <v>17521.305150000004</v>
      </c>
      <c r="G49" s="77">
        <v>21728.29206084002</v>
      </c>
      <c r="H49" s="4">
        <v>22121.575784199427</v>
      </c>
      <c r="I49" s="77">
        <v>16893.339252940663</v>
      </c>
      <c r="J49" s="4">
        <v>16772.43113501908</v>
      </c>
      <c r="K49" s="4">
        <v>16702.125750597952</v>
      </c>
      <c r="L49" s="4">
        <v>16691.761343761602</v>
      </c>
      <c r="M49" s="4">
        <v>16681.848462321366</v>
      </c>
      <c r="N49" s="87">
        <f>SUM(I49:M49)</f>
        <v>83741.505944640667</v>
      </c>
      <c r="P49" s="72"/>
      <c r="Q49" s="72"/>
      <c r="R49" s="72"/>
      <c r="S49" s="72"/>
      <c r="T49" s="72"/>
      <c r="U49" s="72"/>
      <c r="V49" s="25"/>
      <c r="W49" s="25"/>
      <c r="X49" s="25"/>
      <c r="Y49" s="25"/>
      <c r="Z49" s="25"/>
      <c r="AA49" s="4"/>
      <c r="AB49" t="s">
        <v>83</v>
      </c>
      <c r="AC49" s="87">
        <v>38743.080010000005</v>
      </c>
      <c r="AD49" s="77">
        <v>34087.615819999999</v>
      </c>
      <c r="AE49" s="4">
        <v>44988.29303999999</v>
      </c>
      <c r="AF49" s="4">
        <v>55556.544150000009</v>
      </c>
      <c r="AG49" s="4">
        <v>60228.254343178945</v>
      </c>
      <c r="AH49" s="4">
        <v>61147.328729319612</v>
      </c>
      <c r="AI49" s="77">
        <v>53877.408743562133</v>
      </c>
      <c r="AJ49" s="4">
        <v>54307.748811910889</v>
      </c>
      <c r="AK49" s="4">
        <v>54220.629757320297</v>
      </c>
      <c r="AL49" s="4">
        <v>54228.279997094091</v>
      </c>
      <c r="AM49" s="4">
        <v>54226.773950738585</v>
      </c>
      <c r="AN49" s="87">
        <v>270860.84126062598</v>
      </c>
    </row>
    <row r="50" spans="2:41" x14ac:dyDescent="0.3">
      <c r="B50" t="s">
        <v>84</v>
      </c>
      <c r="C50" s="87">
        <v>6056.2730499999998</v>
      </c>
      <c r="D50" s="77">
        <v>7431.0070199999991</v>
      </c>
      <c r="E50" s="4">
        <v>6855.4450699999989</v>
      </c>
      <c r="F50" s="4">
        <v>7719.7267900000006</v>
      </c>
      <c r="G50" s="77">
        <v>9242.0367625179042</v>
      </c>
      <c r="H50" s="4">
        <v>10329.5525295142</v>
      </c>
      <c r="I50" s="77">
        <v>13766.827597407999</v>
      </c>
      <c r="J50" s="4">
        <v>13880.696957236592</v>
      </c>
      <c r="K50" s="4">
        <v>13814.845043964613</v>
      </c>
      <c r="L50" s="4">
        <v>13802.348326036736</v>
      </c>
      <c r="M50" s="4">
        <v>13801.980626542616</v>
      </c>
      <c r="N50" s="87">
        <f t="shared" ref="N50:N56" si="40">SUM(I50:M50)</f>
        <v>69066.698551188558</v>
      </c>
      <c r="P50" s="72"/>
      <c r="Q50" s="72"/>
      <c r="R50" s="72"/>
      <c r="S50" s="72"/>
      <c r="T50" s="72"/>
      <c r="U50" s="72"/>
      <c r="V50" s="25"/>
      <c r="W50" s="25"/>
      <c r="X50" s="25"/>
      <c r="Y50" s="25"/>
      <c r="Z50" s="25"/>
      <c r="AA50" s="4"/>
      <c r="AB50" t="s">
        <v>84</v>
      </c>
      <c r="AC50" s="87">
        <v>6074.8270499999999</v>
      </c>
      <c r="AD50" s="77">
        <v>7436.8970199999994</v>
      </c>
      <c r="AE50" s="4">
        <v>6864.4850699999988</v>
      </c>
      <c r="AF50" s="4">
        <v>7719.7267900000006</v>
      </c>
      <c r="AG50" s="4">
        <v>9242.0367625179042</v>
      </c>
      <c r="AH50" s="4">
        <v>10329.5525295142</v>
      </c>
      <c r="AI50" s="77">
        <v>13766.827597407999</v>
      </c>
      <c r="AJ50" s="4">
        <v>13880.696957236592</v>
      </c>
      <c r="AK50" s="4">
        <v>13814.845043964613</v>
      </c>
      <c r="AL50" s="4">
        <v>13802.348326036736</v>
      </c>
      <c r="AM50" s="4">
        <v>13801.980626542616</v>
      </c>
      <c r="AN50" s="87">
        <v>69066.698551188558</v>
      </c>
    </row>
    <row r="51" spans="2:41" x14ac:dyDescent="0.3">
      <c r="B51" t="s">
        <v>85</v>
      </c>
      <c r="C51" s="87">
        <v>21123.986430000001</v>
      </c>
      <c r="D51" s="77">
        <v>18107.255400000002</v>
      </c>
      <c r="E51" s="4">
        <v>30398.619800000008</v>
      </c>
      <c r="F51" s="4">
        <v>31877.899890000001</v>
      </c>
      <c r="G51" s="77">
        <v>36679.660350804072</v>
      </c>
      <c r="H51" s="4">
        <v>31363.414839767163</v>
      </c>
      <c r="I51" s="77">
        <v>28559.704658087521</v>
      </c>
      <c r="J51" s="4">
        <v>28373.029635245861</v>
      </c>
      <c r="K51" s="4">
        <v>28251.078989262995</v>
      </c>
      <c r="L51" s="4">
        <v>28211.977369709384</v>
      </c>
      <c r="M51" s="4">
        <v>28204.908903653519</v>
      </c>
      <c r="N51" s="87">
        <f t="shared" si="40"/>
        <v>141600.69955595929</v>
      </c>
      <c r="P51" s="72"/>
      <c r="Q51" s="72"/>
      <c r="R51" s="72"/>
      <c r="S51" s="72"/>
      <c r="T51" s="72"/>
      <c r="U51" s="72"/>
      <c r="V51" s="25"/>
      <c r="W51" s="25"/>
      <c r="X51" s="25"/>
      <c r="Y51" s="25"/>
      <c r="Z51" s="25"/>
      <c r="AA51" s="4"/>
      <c r="AB51" t="s">
        <v>85</v>
      </c>
      <c r="AC51" s="87">
        <v>28018.949430000001</v>
      </c>
      <c r="AD51" s="77">
        <v>20434.403400000003</v>
      </c>
      <c r="AE51" s="4">
        <v>35861.449800000009</v>
      </c>
      <c r="AF51" s="4">
        <v>36944.382890000001</v>
      </c>
      <c r="AG51" s="4">
        <v>42124.452673081338</v>
      </c>
      <c r="AH51" s="4">
        <v>36971.550931712751</v>
      </c>
      <c r="AI51" s="77">
        <v>33792.466125786756</v>
      </c>
      <c r="AJ51" s="4">
        <v>33605.791102945099</v>
      </c>
      <c r="AK51" s="4">
        <v>33483.840456962236</v>
      </c>
      <c r="AL51" s="4">
        <v>33444.738837408622</v>
      </c>
      <c r="AM51" s="4">
        <v>33437.670371352753</v>
      </c>
      <c r="AN51" s="87">
        <v>167764.50689445547</v>
      </c>
    </row>
    <row r="52" spans="2:41" x14ac:dyDescent="0.3">
      <c r="B52" t="s">
        <v>86</v>
      </c>
      <c r="C52" s="87">
        <v>7691.9088399999991</v>
      </c>
      <c r="D52" s="77">
        <v>9635.1392999999989</v>
      </c>
      <c r="E52" s="4">
        <v>8527.3511099999978</v>
      </c>
      <c r="F52" s="4">
        <v>7785.4490699999997</v>
      </c>
      <c r="G52" s="77">
        <v>10814.198361433104</v>
      </c>
      <c r="H52" s="4">
        <v>11406.908035192897</v>
      </c>
      <c r="I52" s="77">
        <v>10549.923760747866</v>
      </c>
      <c r="J52" s="4">
        <v>10637.185190905022</v>
      </c>
      <c r="K52" s="4">
        <v>10586.720938367311</v>
      </c>
      <c r="L52" s="4">
        <v>10577.144336897882</v>
      </c>
      <c r="M52" s="4">
        <v>10576.862557991133</v>
      </c>
      <c r="N52" s="87">
        <f t="shared" si="40"/>
        <v>52927.83678490921</v>
      </c>
      <c r="P52" s="72"/>
      <c r="Q52" s="72"/>
      <c r="R52" s="72"/>
      <c r="S52" s="72"/>
      <c r="T52" s="72"/>
      <c r="U52" s="72"/>
      <c r="V52" s="25"/>
      <c r="W52" s="25"/>
      <c r="X52" s="25"/>
      <c r="Y52" s="25"/>
      <c r="Z52" s="25"/>
      <c r="AA52" s="4"/>
      <c r="AB52" t="s">
        <v>86</v>
      </c>
      <c r="AC52" s="87">
        <v>7798.7848399999993</v>
      </c>
      <c r="AD52" s="77">
        <v>9812.7232999999997</v>
      </c>
      <c r="AE52" s="4">
        <v>8723.9271099999987</v>
      </c>
      <c r="AF52" s="4">
        <v>7895.7670699999999</v>
      </c>
      <c r="AG52" s="4">
        <v>10814.198361433104</v>
      </c>
      <c r="AH52" s="4">
        <v>11406.908035192897</v>
      </c>
      <c r="AI52" s="77">
        <v>10549.923760747866</v>
      </c>
      <c r="AJ52" s="4">
        <v>10637.185190905022</v>
      </c>
      <c r="AK52" s="4">
        <v>10586.720938367311</v>
      </c>
      <c r="AL52" s="4">
        <v>10577.144336897882</v>
      </c>
      <c r="AM52" s="4">
        <v>10576.862557991133</v>
      </c>
      <c r="AN52" s="87">
        <v>52927.83678490921</v>
      </c>
    </row>
    <row r="53" spans="2:41" x14ac:dyDescent="0.3">
      <c r="B53" t="s">
        <v>78</v>
      </c>
      <c r="C53" s="87">
        <v>2111.8886799999991</v>
      </c>
      <c r="D53" s="77">
        <v>1318.6287699999993</v>
      </c>
      <c r="E53" s="4">
        <v>2462.8442599999998</v>
      </c>
      <c r="F53" s="4">
        <v>2885.3330199999987</v>
      </c>
      <c r="G53" s="77">
        <v>1799.1388450361922</v>
      </c>
      <c r="H53" s="4">
        <v>2623.9968615619332</v>
      </c>
      <c r="I53" s="77">
        <v>2426.8598249860393</v>
      </c>
      <c r="J53" s="4">
        <v>2446.933075174551</v>
      </c>
      <c r="K53" s="4">
        <v>2435.3244920360285</v>
      </c>
      <c r="L53" s="4">
        <v>2433.1215311527908</v>
      </c>
      <c r="M53" s="4">
        <v>2433.0567119252951</v>
      </c>
      <c r="N53" s="87">
        <f t="shared" si="40"/>
        <v>12175.295635274704</v>
      </c>
      <c r="P53" s="72"/>
      <c r="Q53" s="72"/>
      <c r="R53" s="72"/>
      <c r="S53" s="72"/>
      <c r="T53" s="72"/>
      <c r="U53" s="72"/>
      <c r="V53" s="25"/>
      <c r="W53" s="25"/>
      <c r="X53" s="25"/>
      <c r="Y53" s="25"/>
      <c r="Z53" s="25"/>
      <c r="AA53" s="4"/>
      <c r="AB53" t="s">
        <v>78</v>
      </c>
      <c r="AC53" s="87">
        <v>4321.6626799999995</v>
      </c>
      <c r="AD53" s="77">
        <v>3292.7727699999996</v>
      </c>
      <c r="AE53" s="4">
        <v>6338.6652599999998</v>
      </c>
      <c r="AF53" s="4">
        <v>5703.1810199999991</v>
      </c>
      <c r="AG53" s="4">
        <v>4871.5504697169454</v>
      </c>
      <c r="AH53" s="4">
        <v>5788.5808349831086</v>
      </c>
      <c r="AI53" s="77">
        <v>5379.6257361413855</v>
      </c>
      <c r="AJ53" s="4">
        <v>5399.6989863298968</v>
      </c>
      <c r="AK53" s="4">
        <v>5388.0904031913742</v>
      </c>
      <c r="AL53" s="4">
        <v>5385.887442308137</v>
      </c>
      <c r="AM53" s="4">
        <v>5385.8226230806413</v>
      </c>
      <c r="AN53" s="87">
        <v>26939.125191051433</v>
      </c>
    </row>
    <row r="54" spans="2:41" x14ac:dyDescent="0.3">
      <c r="B54" t="s">
        <v>335</v>
      </c>
      <c r="C54" s="87">
        <v>1730.6988400000002</v>
      </c>
      <c r="D54" s="77">
        <v>455.26063180474034</v>
      </c>
      <c r="E54" s="4">
        <v>1053.8323981952597</v>
      </c>
      <c r="F54" s="4">
        <v>2445.5557300000005</v>
      </c>
      <c r="G54" s="77">
        <v>852.97753560651506</v>
      </c>
      <c r="H54" s="4">
        <v>875.04887221570414</v>
      </c>
      <c r="I54" s="77">
        <v>796.82450012380741</v>
      </c>
      <c r="J54" s="4">
        <v>791.6162098581276</v>
      </c>
      <c r="K54" s="4">
        <v>0</v>
      </c>
      <c r="L54" s="4">
        <v>0</v>
      </c>
      <c r="M54" s="4">
        <v>0</v>
      </c>
      <c r="N54" s="87">
        <f t="shared" si="40"/>
        <v>1588.440709981935</v>
      </c>
      <c r="P54" s="72"/>
      <c r="Q54" s="72"/>
      <c r="R54" s="72"/>
      <c r="S54" s="72"/>
      <c r="T54" s="72"/>
      <c r="U54" s="72"/>
      <c r="V54" s="25"/>
      <c r="W54" s="25"/>
      <c r="X54" s="25"/>
      <c r="Y54" s="25"/>
      <c r="Z54" s="25"/>
      <c r="AA54" s="4"/>
      <c r="AB54" t="s">
        <v>335</v>
      </c>
      <c r="AC54" s="87">
        <v>1767.3468400000002</v>
      </c>
      <c r="AD54" s="77">
        <v>3755.2606318047401</v>
      </c>
      <c r="AE54" s="4">
        <v>2018.9976081952598</v>
      </c>
      <c r="AF54" s="4">
        <v>2445.5557300000005</v>
      </c>
      <c r="AG54" s="4">
        <v>6152.9775356065156</v>
      </c>
      <c r="AH54" s="4">
        <v>875.04887221570414</v>
      </c>
      <c r="AI54" s="77">
        <v>796.82450012380741</v>
      </c>
      <c r="AJ54" s="4">
        <v>791.6162098581276</v>
      </c>
      <c r="AK54" s="4">
        <v>0</v>
      </c>
      <c r="AL54" s="4">
        <v>0</v>
      </c>
      <c r="AM54" s="4">
        <v>0</v>
      </c>
      <c r="AN54" s="87">
        <v>1588.440709981935</v>
      </c>
    </row>
    <row r="55" spans="2:41" x14ac:dyDescent="0.3">
      <c r="B55" t="s">
        <v>88</v>
      </c>
      <c r="C55" s="87">
        <v>289.16324999999995</v>
      </c>
      <c r="D55" s="77">
        <v>592.81180000000006</v>
      </c>
      <c r="E55" s="4">
        <v>430.08153000000004</v>
      </c>
      <c r="F55" s="4">
        <v>307.83842000000004</v>
      </c>
      <c r="G55" s="77">
        <v>451.52987141825474</v>
      </c>
      <c r="H55" s="4">
        <v>697.74439286749157</v>
      </c>
      <c r="I55" s="77">
        <v>638.4693947019656</v>
      </c>
      <c r="J55" s="4">
        <v>637.3902897812909</v>
      </c>
      <c r="K55" s="4">
        <v>637.74656785651587</v>
      </c>
      <c r="L55" s="4">
        <v>621.33061327661039</v>
      </c>
      <c r="M55" s="4">
        <v>606.02433158999577</v>
      </c>
      <c r="N55" s="87">
        <f>SUM(I55:M55)</f>
        <v>3140.9611972063781</v>
      </c>
      <c r="P55" s="72"/>
      <c r="Q55" s="72"/>
      <c r="R55" s="72"/>
      <c r="S55" s="72"/>
      <c r="T55" s="72"/>
      <c r="U55" s="72"/>
      <c r="V55" s="25"/>
      <c r="W55" s="25"/>
      <c r="X55" s="25"/>
      <c r="Y55" s="25"/>
      <c r="Z55" s="25"/>
      <c r="AA55" s="4"/>
      <c r="AB55" t="s">
        <v>88</v>
      </c>
      <c r="AC55" s="87">
        <v>289.16324999999995</v>
      </c>
      <c r="AD55" s="77">
        <v>592.81180000000006</v>
      </c>
      <c r="AE55" s="4">
        <v>430.08153000000004</v>
      </c>
      <c r="AF55" s="4">
        <v>307.83842000000004</v>
      </c>
      <c r="AG55" s="4">
        <v>451.52987141825474</v>
      </c>
      <c r="AH55" s="4">
        <v>697.74439286749157</v>
      </c>
      <c r="AI55" s="77">
        <v>638.4693947019656</v>
      </c>
      <c r="AJ55" s="4">
        <v>637.3902897812909</v>
      </c>
      <c r="AK55" s="4">
        <v>637.74656785651587</v>
      </c>
      <c r="AL55" s="4">
        <v>621.33061327661039</v>
      </c>
      <c r="AM55" s="4">
        <v>606.02433158999577</v>
      </c>
      <c r="AN55" s="87">
        <v>3140.9611972063781</v>
      </c>
    </row>
    <row r="56" spans="2:41" x14ac:dyDescent="0.3">
      <c r="B56" t="s">
        <v>236</v>
      </c>
      <c r="C56" s="87">
        <v>0</v>
      </c>
      <c r="D56" s="77">
        <v>299.86367999999999</v>
      </c>
      <c r="E56" s="4">
        <v>1277.2551699999999</v>
      </c>
      <c r="F56" s="4">
        <v>1068.4159399999999</v>
      </c>
      <c r="G56" s="77">
        <v>13039.819523692126</v>
      </c>
      <c r="H56" s="4">
        <v>28743.994292069638</v>
      </c>
      <c r="I56" s="77">
        <v>23242.238383176053</v>
      </c>
      <c r="J56" s="4">
        <v>11137.031458918609</v>
      </c>
      <c r="K56" s="4">
        <v>6682.9941666185696</v>
      </c>
      <c r="L56" s="4">
        <v>7318.2151526017415</v>
      </c>
      <c r="M56" s="4">
        <v>11584.388695799022</v>
      </c>
      <c r="N56" s="87">
        <f t="shared" si="40"/>
        <v>59964.86785711399</v>
      </c>
      <c r="P56" s="72"/>
      <c r="X56" s="25"/>
      <c r="Y56" s="4"/>
      <c r="Z56" s="4"/>
      <c r="AA56" s="4"/>
      <c r="AB56" t="s">
        <v>236</v>
      </c>
      <c r="AC56" s="87">
        <v>0</v>
      </c>
      <c r="AD56" s="77">
        <v>299.86367999999999</v>
      </c>
      <c r="AE56" s="4">
        <v>1277.2551699999999</v>
      </c>
      <c r="AF56" s="4">
        <v>1068.4159399999999</v>
      </c>
      <c r="AG56" s="4">
        <v>13039.819523692126</v>
      </c>
      <c r="AH56" s="4">
        <v>28743.994292069638</v>
      </c>
      <c r="AI56" s="77">
        <v>23242.238383176053</v>
      </c>
      <c r="AJ56" s="4">
        <v>11137.031458918609</v>
      </c>
      <c r="AK56" s="4">
        <v>6682.9941666185696</v>
      </c>
      <c r="AL56" s="4">
        <v>7318.2151526017415</v>
      </c>
      <c r="AM56" s="4">
        <v>11584.388695799022</v>
      </c>
      <c r="AN56" s="87">
        <v>59964.86785711399</v>
      </c>
    </row>
    <row r="57" spans="2:41" x14ac:dyDescent="0.3">
      <c r="B57" s="403" t="s">
        <v>386</v>
      </c>
      <c r="C57" s="406">
        <f>SUM(C49:C56)</f>
        <v>51137.508099999992</v>
      </c>
      <c r="D57" s="405">
        <f>SUM(D49:D56)</f>
        <v>47735.112421804741</v>
      </c>
      <c r="E57" s="404">
        <f>SUM(E49:E56)</f>
        <v>65810.737378195248</v>
      </c>
      <c r="F57" s="404">
        <f>SUM(F49:F56)</f>
        <v>71611.524010000023</v>
      </c>
      <c r="G57" s="405">
        <f t="shared" ref="G57:K57" si="41">SUM(G49:G56)</f>
        <v>94607.6533113482</v>
      </c>
      <c r="H57" s="404">
        <f t="shared" si="41"/>
        <v>108162.23560738844</v>
      </c>
      <c r="I57" s="405">
        <f t="shared" si="41"/>
        <v>96874.187372171917</v>
      </c>
      <c r="J57" s="404">
        <f t="shared" si="41"/>
        <v>84676.313952139142</v>
      </c>
      <c r="K57" s="404">
        <f t="shared" si="41"/>
        <v>79110.835948703985</v>
      </c>
      <c r="L57" s="404">
        <f t="shared" ref="L57:M57" si="42">SUM(L49:L56)</f>
        <v>79655.89867343675</v>
      </c>
      <c r="M57" s="404">
        <f t="shared" si="42"/>
        <v>83889.07028982295</v>
      </c>
      <c r="N57" s="406">
        <f t="shared" ref="N57" si="43">SUM(N49:N56)</f>
        <v>424206.30623627477</v>
      </c>
      <c r="P57" s="72"/>
      <c r="AA57" s="4"/>
      <c r="AB57" s="410" t="s">
        <v>434</v>
      </c>
      <c r="AC57" s="413">
        <v>87013.814099999989</v>
      </c>
      <c r="AD57" s="412">
        <v>79712.348421804738</v>
      </c>
      <c r="AE57" s="411">
        <v>106503.15458819525</v>
      </c>
      <c r="AF57" s="411">
        <v>117641.41201000003</v>
      </c>
      <c r="AG57" s="411">
        <v>146924.81954064514</v>
      </c>
      <c r="AH57" s="411">
        <v>155960.70861787541</v>
      </c>
      <c r="AI57" s="412">
        <v>142043.78424164798</v>
      </c>
      <c r="AJ57" s="411">
        <v>130397.15900788552</v>
      </c>
      <c r="AK57" s="411">
        <v>124814.86733428092</v>
      </c>
      <c r="AL57" s="411">
        <v>125377.94470562384</v>
      </c>
      <c r="AM57" s="411">
        <v>129619.52315709475</v>
      </c>
      <c r="AN57" s="413">
        <v>652253.2784465329</v>
      </c>
    </row>
    <row r="58" spans="2:41" x14ac:dyDescent="0.3">
      <c r="B58" s="49" t="s">
        <v>61</v>
      </c>
      <c r="C58" s="72">
        <f>C57-(Historical_Cost!K39-P27)</f>
        <v>0</v>
      </c>
      <c r="D58" s="72">
        <f>D57-(Historical_Cost!L39-Q27)</f>
        <v>0</v>
      </c>
      <c r="E58" s="72">
        <f>E57-(Historical_Cost!M39-R27)</f>
        <v>0</v>
      </c>
      <c r="F58" s="72">
        <f>F57-(Historical_Cost!N39-S27)</f>
        <v>0</v>
      </c>
      <c r="G58" s="72">
        <f>G57-(G27+G43)</f>
        <v>94607.6533113482</v>
      </c>
      <c r="H58" s="72">
        <f t="shared" ref="H58:M58" si="44">H57-(H27+H43)</f>
        <v>108162.23560738844</v>
      </c>
      <c r="I58" s="72">
        <f t="shared" si="44"/>
        <v>96874.187372171917</v>
      </c>
      <c r="J58" s="72">
        <f t="shared" si="44"/>
        <v>84676.313952139142</v>
      </c>
      <c r="K58" s="72">
        <f t="shared" si="44"/>
        <v>79110.835948703985</v>
      </c>
      <c r="L58" s="72">
        <f t="shared" si="44"/>
        <v>79655.89867343675</v>
      </c>
      <c r="M58" s="72">
        <f t="shared" si="44"/>
        <v>83889.07028982295</v>
      </c>
      <c r="AA58" s="4"/>
      <c r="AB58" s="49" t="s">
        <v>61</v>
      </c>
      <c r="AC58" s="72">
        <f>AC57-Historical_Cost!K39</f>
        <v>0</v>
      </c>
      <c r="AD58" s="72">
        <f>AD57-Historical_Cost!L39</f>
        <v>0</v>
      </c>
      <c r="AE58" s="72">
        <f>AE57-Historical_Cost!M39</f>
        <v>0</v>
      </c>
      <c r="AF58" s="72">
        <f>AF57-Historical_Cost!N39</f>
        <v>0</v>
      </c>
      <c r="AG58" s="4"/>
      <c r="AH58" s="260"/>
      <c r="AI58" s="13"/>
      <c r="AJ58" s="13"/>
      <c r="AK58" s="13"/>
      <c r="AL58" s="13"/>
      <c r="AM58" s="13"/>
      <c r="AN58" s="4"/>
    </row>
    <row r="59" spans="2:41" x14ac:dyDescent="0.3">
      <c r="B59" s="420" t="s">
        <v>346</v>
      </c>
      <c r="C59" s="256">
        <f>Allocations!D46</f>
        <v>0.11015105966309197</v>
      </c>
      <c r="D59" s="256">
        <f>Allocations!E46</f>
        <v>0.11214972534928357</v>
      </c>
      <c r="E59" s="256">
        <f>Allocations!F46</f>
        <v>0.13631825105446069</v>
      </c>
      <c r="F59" s="256">
        <f>Allocations!G46</f>
        <v>0.14118272372737342</v>
      </c>
      <c r="G59" s="256">
        <f>Allocations!H46</f>
        <v>0.1076</v>
      </c>
      <c r="H59" s="256">
        <f>Allocations!I46</f>
        <v>0.1157</v>
      </c>
      <c r="I59" s="256">
        <f>Allocations!J46</f>
        <v>8.7749907641103214E-2</v>
      </c>
      <c r="J59" s="256">
        <f>Allocations!K46</f>
        <v>7.6529371495482987E-2</v>
      </c>
      <c r="K59" s="256">
        <f>Allocations!L46</f>
        <v>6.9606064857935093E-2</v>
      </c>
      <c r="L59" s="256">
        <f>Allocations!M46</f>
        <v>6.8448460003532982E-2</v>
      </c>
      <c r="M59" s="256">
        <f>Allocations!N46</f>
        <v>6.7852052699625312E-2</v>
      </c>
      <c r="AA59" s="4"/>
      <c r="AC59" s="414"/>
      <c r="AD59" s="414"/>
      <c r="AE59" s="414"/>
      <c r="AF59" s="414"/>
      <c r="AG59" s="414"/>
      <c r="AH59" s="414"/>
      <c r="AI59" s="414"/>
      <c r="AJ59" s="414"/>
      <c r="AK59" s="414"/>
      <c r="AL59" s="414"/>
      <c r="AM59" s="414"/>
      <c r="AN59" s="4"/>
    </row>
    <row r="60" spans="2:41" x14ac:dyDescent="0.3">
      <c r="B60" s="4"/>
      <c r="C60" s="503" t="s">
        <v>98</v>
      </c>
      <c r="D60" s="504"/>
      <c r="E60" s="504"/>
      <c r="F60" s="504"/>
      <c r="G60" s="504"/>
      <c r="H60" s="505"/>
      <c r="I60" s="546" t="s">
        <v>266</v>
      </c>
      <c r="J60" s="547"/>
      <c r="K60" s="547"/>
      <c r="L60" s="547"/>
      <c r="M60" s="548"/>
      <c r="N60" s="208" t="s">
        <v>2</v>
      </c>
      <c r="Q60" s="2"/>
      <c r="R60" s="2"/>
      <c r="Y60" s="4"/>
      <c r="Z60" s="4"/>
      <c r="AA60" s="4"/>
      <c r="AC60" s="503" t="s">
        <v>98</v>
      </c>
      <c r="AD60" s="504"/>
      <c r="AE60" s="504"/>
      <c r="AF60" s="504"/>
      <c r="AG60" s="504"/>
      <c r="AH60" s="505"/>
      <c r="AI60" s="549" t="s">
        <v>266</v>
      </c>
      <c r="AJ60" s="550"/>
      <c r="AK60" s="550"/>
      <c r="AL60" s="550"/>
      <c r="AM60" s="550"/>
      <c r="AN60" s="551"/>
    </row>
    <row r="61" spans="2:41" x14ac:dyDescent="0.3">
      <c r="B61" s="1" t="s">
        <v>393</v>
      </c>
      <c r="C61" s="425" t="s">
        <v>127</v>
      </c>
      <c r="D61" s="202" t="s">
        <v>163</v>
      </c>
      <c r="E61" s="3" t="s">
        <v>162</v>
      </c>
      <c r="F61" s="3" t="s">
        <v>161</v>
      </c>
      <c r="G61" s="202" t="s">
        <v>160</v>
      </c>
      <c r="H61" s="3" t="s">
        <v>159</v>
      </c>
      <c r="I61" s="75" t="s">
        <v>225</v>
      </c>
      <c r="J61" s="3" t="s">
        <v>226</v>
      </c>
      <c r="K61" s="3" t="s">
        <v>247</v>
      </c>
      <c r="L61" s="3" t="s">
        <v>248</v>
      </c>
      <c r="M61" s="3" t="s">
        <v>249</v>
      </c>
      <c r="N61" s="101" t="s">
        <v>261</v>
      </c>
      <c r="Y61" s="4"/>
      <c r="Z61" s="4"/>
      <c r="AA61" s="4"/>
      <c r="AB61" s="1" t="s">
        <v>393</v>
      </c>
      <c r="AC61" s="421" t="str">
        <f>Allocations!G$50</f>
        <v>2020-21</v>
      </c>
      <c r="AD61" s="127" t="str">
        <f>Allocations!H$50</f>
        <v>2021-22</v>
      </c>
      <c r="AE61" s="199" t="str">
        <f>Allocations!I$50</f>
        <v>2022-23</v>
      </c>
      <c r="AF61" s="227" t="str">
        <f>Allocations!J$50</f>
        <v>2023-24</v>
      </c>
      <c r="AG61" s="127" t="str">
        <f>Allocations!K$50</f>
        <v>2024-25</v>
      </c>
      <c r="AH61" s="227" t="str">
        <f>Allocations!L$50</f>
        <v>2025-26</v>
      </c>
      <c r="AI61" s="284" t="str">
        <f>Allocations!M$50</f>
        <v>2026-27</v>
      </c>
      <c r="AJ61" s="199" t="str">
        <f>Allocations!N$50</f>
        <v>2027–28</v>
      </c>
      <c r="AK61" s="199" t="str">
        <f>Allocations!O$50</f>
        <v>2028–29</v>
      </c>
      <c r="AL61" s="199" t="str">
        <f>Allocations!P$50</f>
        <v>2029–30</v>
      </c>
      <c r="AM61" s="227" t="str">
        <f>Allocations!Q$50</f>
        <v>2030–31</v>
      </c>
      <c r="AN61" s="29" t="s">
        <v>2</v>
      </c>
      <c r="AO61" s="2"/>
    </row>
    <row r="62" spans="2:41" x14ac:dyDescent="0.3">
      <c r="B62" t="s">
        <v>83</v>
      </c>
      <c r="C62" s="87">
        <f>Historical_Cost!K44</f>
        <v>1282.1283941885106</v>
      </c>
      <c r="D62" s="77">
        <f>Historical_Cost!L44</f>
        <v>1044.81232604669</v>
      </c>
      <c r="E62" s="4">
        <f>Historical_Cost!M44</f>
        <v>2003.4095899999998</v>
      </c>
      <c r="F62" s="4">
        <f>Historical_Cost!N44</f>
        <v>2480.7571499999995</v>
      </c>
      <c r="G62" s="77">
        <f t="shared" ref="G62:M69" si="45">G$59*G49</f>
        <v>2337.9642257463861</v>
      </c>
      <c r="H62" s="4">
        <f t="shared" si="45"/>
        <v>2559.4663182318736</v>
      </c>
      <c r="I62" s="77">
        <f t="shared" si="45"/>
        <v>1482.3889591953666</v>
      </c>
      <c r="J62" s="4">
        <f t="shared" si="45"/>
        <v>1283.5836132142806</v>
      </c>
      <c r="K62" s="4">
        <f t="shared" si="45"/>
        <v>1162.5692482615088</v>
      </c>
      <c r="L62" s="4">
        <f t="shared" si="45"/>
        <v>1142.525358726984</v>
      </c>
      <c r="M62" s="4">
        <f t="shared" si="45"/>
        <v>1131.8976609925928</v>
      </c>
      <c r="N62" s="87">
        <f>SUM(I62:M62)</f>
        <v>6202.9648403907331</v>
      </c>
      <c r="Y62" s="4"/>
      <c r="Z62" s="4"/>
      <c r="AA62" s="4"/>
      <c r="AB62" t="s">
        <v>83</v>
      </c>
      <c r="AC62" s="87">
        <f t="shared" ref="AC62:AC69" si="46">C62</f>
        <v>1282.1283941885106</v>
      </c>
      <c r="AD62" s="77">
        <f t="shared" ref="AD62:AD69" si="47">D62</f>
        <v>1044.81232604669</v>
      </c>
      <c r="AE62" s="4">
        <f t="shared" ref="AE62:AE69" si="48">E62</f>
        <v>2003.4095899999998</v>
      </c>
      <c r="AF62" s="4">
        <f t="shared" ref="AF62:AF69" si="49">F62</f>
        <v>2480.7571499999995</v>
      </c>
      <c r="AG62" s="4">
        <f>G62</f>
        <v>2337.9642257463861</v>
      </c>
      <c r="AH62" s="4">
        <f t="shared" ref="AH62:AH69" si="50">H62</f>
        <v>2559.4663182318736</v>
      </c>
      <c r="AI62" s="77">
        <f t="shared" ref="AI62:AI69" si="51">I62</f>
        <v>1482.3889591953666</v>
      </c>
      <c r="AJ62" s="4">
        <f t="shared" ref="AJ62:AJ69" si="52">J62</f>
        <v>1283.5836132142806</v>
      </c>
      <c r="AK62" s="4">
        <f t="shared" ref="AK62:AK69" si="53">K62</f>
        <v>1162.5692482615088</v>
      </c>
      <c r="AL62" s="4">
        <f t="shared" ref="AL62:AL69" si="54">L62</f>
        <v>1142.525358726984</v>
      </c>
      <c r="AM62" s="4">
        <f t="shared" ref="AM62:AM69" si="55">M62</f>
        <v>1131.8976609925928</v>
      </c>
      <c r="AN62" s="87">
        <f t="shared" ref="AN62:AN67" si="56">SUM(AI62:AM62)</f>
        <v>6202.9648403907331</v>
      </c>
    </row>
    <row r="63" spans="2:41" x14ac:dyDescent="0.3">
      <c r="B63" t="s">
        <v>84</v>
      </c>
      <c r="C63" s="87">
        <f>Historical_Cost!K45</f>
        <v>701.94435156257521</v>
      </c>
      <c r="D63" s="77">
        <f>Historical_Cost!L45</f>
        <v>871.90328427715485</v>
      </c>
      <c r="E63" s="4">
        <f>Historical_Cost!M45</f>
        <v>976.91091000000006</v>
      </c>
      <c r="F63" s="4">
        <f>Historical_Cost!N45</f>
        <v>1125.8086200000002</v>
      </c>
      <c r="G63" s="77">
        <f t="shared" si="45"/>
        <v>994.44315564692647</v>
      </c>
      <c r="H63" s="4">
        <f t="shared" si="45"/>
        <v>1195.1292276647928</v>
      </c>
      <c r="I63" s="77">
        <f t="shared" si="45"/>
        <v>1208.0378501835428</v>
      </c>
      <c r="J63" s="4">
        <f t="shared" si="45"/>
        <v>1062.2810140565796</v>
      </c>
      <c r="K63" s="4">
        <f t="shared" si="45"/>
        <v>961.59700013252404</v>
      </c>
      <c r="L63" s="4">
        <f t="shared" si="45"/>
        <v>944.74948734955592</v>
      </c>
      <c r="M63" s="4">
        <f t="shared" si="45"/>
        <v>936.49271683137715</v>
      </c>
      <c r="N63" s="87">
        <f t="shared" ref="N63:N69" si="57">SUM(I63:M63)</f>
        <v>5113.1580685535791</v>
      </c>
      <c r="Y63" s="4"/>
      <c r="Z63" s="4"/>
      <c r="AA63" s="4"/>
      <c r="AB63" t="s">
        <v>84</v>
      </c>
      <c r="AC63" s="87">
        <f t="shared" si="46"/>
        <v>701.94435156257521</v>
      </c>
      <c r="AD63" s="77">
        <f t="shared" si="47"/>
        <v>871.90328427715485</v>
      </c>
      <c r="AE63" s="4">
        <f t="shared" si="48"/>
        <v>976.91091000000006</v>
      </c>
      <c r="AF63" s="4">
        <f t="shared" si="49"/>
        <v>1125.8086200000002</v>
      </c>
      <c r="AG63" s="4">
        <f t="shared" ref="AG63:AG69" si="58">G63</f>
        <v>994.44315564692647</v>
      </c>
      <c r="AH63" s="4">
        <f t="shared" si="50"/>
        <v>1195.1292276647928</v>
      </c>
      <c r="AI63" s="77">
        <f t="shared" si="51"/>
        <v>1208.0378501835428</v>
      </c>
      <c r="AJ63" s="4">
        <f t="shared" si="52"/>
        <v>1062.2810140565796</v>
      </c>
      <c r="AK63" s="4">
        <f t="shared" si="53"/>
        <v>961.59700013252404</v>
      </c>
      <c r="AL63" s="4">
        <f t="shared" si="54"/>
        <v>944.74948734955592</v>
      </c>
      <c r="AM63" s="4">
        <f t="shared" si="55"/>
        <v>936.49271683137715</v>
      </c>
      <c r="AN63" s="87">
        <f t="shared" si="56"/>
        <v>5113.1580685535791</v>
      </c>
    </row>
    <row r="64" spans="2:41" x14ac:dyDescent="0.3">
      <c r="B64" t="s">
        <v>85</v>
      </c>
      <c r="C64" s="87">
        <f>Historical_Cost!K46</f>
        <v>2348.5650805289374</v>
      </c>
      <c r="D64" s="77">
        <f>Historical_Cost!L46</f>
        <v>2063.6619960727371</v>
      </c>
      <c r="E64" s="4">
        <f>Historical_Cost!M46</f>
        <v>4217.0056100000002</v>
      </c>
      <c r="F64" s="4">
        <f>Historical_Cost!N46</f>
        <v>4459.3356699999995</v>
      </c>
      <c r="G64" s="77">
        <f t="shared" si="45"/>
        <v>3946.7314537465181</v>
      </c>
      <c r="H64" s="4">
        <f t="shared" si="45"/>
        <v>3628.7470969610608</v>
      </c>
      <c r="I64" s="77">
        <f t="shared" si="45"/>
        <v>2506.1114460043655</v>
      </c>
      <c r="J64" s="4">
        <f t="shared" si="45"/>
        <v>2171.3701254080788</v>
      </c>
      <c r="K64" s="4">
        <f t="shared" si="45"/>
        <v>1966.4464364332873</v>
      </c>
      <c r="L64" s="4">
        <f t="shared" si="45"/>
        <v>1931.0664046111303</v>
      </c>
      <c r="M64" s="4">
        <f t="shared" si="45"/>
        <v>1913.7609653188297</v>
      </c>
      <c r="N64" s="87">
        <f t="shared" si="57"/>
        <v>10488.755377775691</v>
      </c>
      <c r="Y64" s="4"/>
      <c r="Z64" s="4"/>
      <c r="AA64" s="4"/>
      <c r="AB64" t="s">
        <v>85</v>
      </c>
      <c r="AC64" s="87">
        <f t="shared" si="46"/>
        <v>2348.5650805289374</v>
      </c>
      <c r="AD64" s="77">
        <f t="shared" si="47"/>
        <v>2063.6619960727371</v>
      </c>
      <c r="AE64" s="4">
        <f t="shared" si="48"/>
        <v>4217.0056100000002</v>
      </c>
      <c r="AF64" s="4">
        <f t="shared" si="49"/>
        <v>4459.3356699999995</v>
      </c>
      <c r="AG64" s="4">
        <f t="shared" si="58"/>
        <v>3946.7314537465181</v>
      </c>
      <c r="AH64" s="4">
        <f t="shared" si="50"/>
        <v>3628.7470969610608</v>
      </c>
      <c r="AI64" s="77">
        <f t="shared" si="51"/>
        <v>2506.1114460043655</v>
      </c>
      <c r="AJ64" s="4">
        <f t="shared" si="52"/>
        <v>2171.3701254080788</v>
      </c>
      <c r="AK64" s="4">
        <f t="shared" si="53"/>
        <v>1966.4464364332873</v>
      </c>
      <c r="AL64" s="4">
        <f t="shared" si="54"/>
        <v>1931.0664046111303</v>
      </c>
      <c r="AM64" s="4">
        <f t="shared" si="55"/>
        <v>1913.7609653188297</v>
      </c>
      <c r="AN64" s="87">
        <f t="shared" si="56"/>
        <v>10488.755377775691</v>
      </c>
    </row>
    <row r="65" spans="2:40" x14ac:dyDescent="0.3">
      <c r="B65" t="s">
        <v>86</v>
      </c>
      <c r="C65" s="87">
        <f>Historical_Cost!K47</f>
        <v>848.46958734039856</v>
      </c>
      <c r="D65" s="77">
        <f>Historical_Cost!L47</f>
        <v>1072.9935881095103</v>
      </c>
      <c r="E65" s="4">
        <f>Historical_Cost!M47</f>
        <v>1118.2434599999997</v>
      </c>
      <c r="F65" s="4">
        <f>Historical_Cost!N47</f>
        <v>1109.2554</v>
      </c>
      <c r="G65" s="77">
        <f t="shared" si="45"/>
        <v>1163.6077436902019</v>
      </c>
      <c r="H65" s="4">
        <f t="shared" si="45"/>
        <v>1319.7792596718182</v>
      </c>
      <c r="I65" s="77">
        <f t="shared" si="45"/>
        <v>925.75483562630552</v>
      </c>
      <c r="J65" s="4">
        <f t="shared" si="45"/>
        <v>814.05709714102056</v>
      </c>
      <c r="K65" s="4">
        <f t="shared" si="45"/>
        <v>736.8999842688545</v>
      </c>
      <c r="L65" s="4">
        <f t="shared" si="45"/>
        <v>723.98924109575</v>
      </c>
      <c r="M65" s="4">
        <f t="shared" si="45"/>
        <v>717.66183568150814</v>
      </c>
      <c r="N65" s="87">
        <f t="shared" si="57"/>
        <v>3918.3629938134391</v>
      </c>
      <c r="Y65" s="4"/>
      <c r="Z65" s="4"/>
      <c r="AA65" s="4"/>
      <c r="AB65" t="s">
        <v>86</v>
      </c>
      <c r="AC65" s="87">
        <f t="shared" si="46"/>
        <v>848.46958734039856</v>
      </c>
      <c r="AD65" s="77">
        <f t="shared" si="47"/>
        <v>1072.9935881095103</v>
      </c>
      <c r="AE65" s="4">
        <f t="shared" si="48"/>
        <v>1118.2434599999997</v>
      </c>
      <c r="AF65" s="4">
        <f t="shared" si="49"/>
        <v>1109.2554</v>
      </c>
      <c r="AG65" s="4">
        <f t="shared" si="58"/>
        <v>1163.6077436902019</v>
      </c>
      <c r="AH65" s="4">
        <f t="shared" si="50"/>
        <v>1319.7792596718182</v>
      </c>
      <c r="AI65" s="77">
        <f t="shared" si="51"/>
        <v>925.75483562630552</v>
      </c>
      <c r="AJ65" s="4">
        <f t="shared" si="52"/>
        <v>814.05709714102056</v>
      </c>
      <c r="AK65" s="4">
        <f t="shared" si="53"/>
        <v>736.8999842688545</v>
      </c>
      <c r="AL65" s="4">
        <f t="shared" si="54"/>
        <v>723.98924109575</v>
      </c>
      <c r="AM65" s="4">
        <f t="shared" si="55"/>
        <v>717.66183568150814</v>
      </c>
      <c r="AN65" s="87">
        <f t="shared" si="56"/>
        <v>3918.3629938134391</v>
      </c>
    </row>
    <row r="66" spans="2:40" x14ac:dyDescent="0.3">
      <c r="B66" t="s">
        <v>78</v>
      </c>
      <c r="C66" s="87">
        <f>Historical_Cost!K48</f>
        <v>236.0039056817339</v>
      </c>
      <c r="D66" s="77">
        <f>Historical_Cost!L48</f>
        <v>152.31826291693164</v>
      </c>
      <c r="E66" s="4">
        <f>Historical_Cost!M48</f>
        <v>304.41111999999998</v>
      </c>
      <c r="F66" s="4">
        <f>Historical_Cost!N48</f>
        <v>419.48905000000002</v>
      </c>
      <c r="G66" s="77">
        <f t="shared" si="45"/>
        <v>193.58733972589428</v>
      </c>
      <c r="H66" s="4">
        <f t="shared" si="45"/>
        <v>303.59643688271564</v>
      </c>
      <c r="I66" s="77">
        <f t="shared" si="45"/>
        <v>212.95672550042886</v>
      </c>
      <c r="J66" s="4">
        <f t="shared" si="45"/>
        <v>187.26225033461782</v>
      </c>
      <c r="K66" s="4">
        <f t="shared" si="45"/>
        <v>169.51335454277762</v>
      </c>
      <c r="L66" s="4">
        <f t="shared" si="45"/>
        <v>166.54342180884672</v>
      </c>
      <c r="M66" s="4">
        <f t="shared" si="45"/>
        <v>165.08789223873219</v>
      </c>
      <c r="N66" s="87">
        <f t="shared" si="57"/>
        <v>901.36364442540321</v>
      </c>
      <c r="Y66" s="4"/>
      <c r="Z66" s="4"/>
      <c r="AA66" s="4"/>
      <c r="AB66" t="s">
        <v>78</v>
      </c>
      <c r="AC66" s="87">
        <f t="shared" si="46"/>
        <v>236.0039056817339</v>
      </c>
      <c r="AD66" s="77">
        <f t="shared" si="47"/>
        <v>152.31826291693164</v>
      </c>
      <c r="AE66" s="4">
        <f t="shared" si="48"/>
        <v>304.41111999999998</v>
      </c>
      <c r="AF66" s="4">
        <f t="shared" si="49"/>
        <v>419.48905000000002</v>
      </c>
      <c r="AG66" s="4">
        <f t="shared" si="58"/>
        <v>193.58733972589428</v>
      </c>
      <c r="AH66" s="4">
        <f t="shared" si="50"/>
        <v>303.59643688271564</v>
      </c>
      <c r="AI66" s="77">
        <f t="shared" si="51"/>
        <v>212.95672550042886</v>
      </c>
      <c r="AJ66" s="4">
        <f t="shared" si="52"/>
        <v>187.26225033461782</v>
      </c>
      <c r="AK66" s="4">
        <f t="shared" si="53"/>
        <v>169.51335454277762</v>
      </c>
      <c r="AL66" s="4">
        <f t="shared" si="54"/>
        <v>166.54342180884672</v>
      </c>
      <c r="AM66" s="4">
        <f t="shared" si="55"/>
        <v>165.08789223873219</v>
      </c>
      <c r="AN66" s="87">
        <f t="shared" si="56"/>
        <v>901.36364442540321</v>
      </c>
    </row>
    <row r="67" spans="2:40" x14ac:dyDescent="0.3">
      <c r="B67" t="s">
        <v>335</v>
      </c>
      <c r="C67" s="87">
        <f>Historical_Cost!K49</f>
        <v>184.00200740344903</v>
      </c>
      <c r="D67" s="77">
        <f>Historical_Cost!L49</f>
        <v>43.892011066484649</v>
      </c>
      <c r="E67" s="4">
        <f>Historical_Cost!M49</f>
        <v>140.76760000000002</v>
      </c>
      <c r="F67" s="4">
        <f>Historical_Cost!N49</f>
        <v>321.71872000000002</v>
      </c>
      <c r="G67" s="77">
        <f t="shared" si="45"/>
        <v>91.780382831261022</v>
      </c>
      <c r="H67" s="4">
        <f t="shared" si="45"/>
        <v>101.24315451535696</v>
      </c>
      <c r="I67" s="77">
        <f t="shared" si="45"/>
        <v>69.921276292032331</v>
      </c>
      <c r="J67" s="4">
        <f t="shared" si="45"/>
        <v>60.58189100607887</v>
      </c>
      <c r="K67" s="4">
        <f t="shared" si="45"/>
        <v>0</v>
      </c>
      <c r="L67" s="4">
        <f t="shared" si="45"/>
        <v>0</v>
      </c>
      <c r="M67" s="4">
        <f t="shared" si="45"/>
        <v>0</v>
      </c>
      <c r="N67" s="87">
        <f t="shared" si="57"/>
        <v>130.50316729811121</v>
      </c>
      <c r="Y67" s="4"/>
      <c r="Z67" s="4"/>
      <c r="AA67" s="4"/>
      <c r="AB67" t="s">
        <v>335</v>
      </c>
      <c r="AC67" s="87">
        <f t="shared" si="46"/>
        <v>184.00200740344903</v>
      </c>
      <c r="AD67" s="77">
        <f t="shared" si="47"/>
        <v>43.892011066484649</v>
      </c>
      <c r="AE67" s="4">
        <f t="shared" si="48"/>
        <v>140.76760000000002</v>
      </c>
      <c r="AF67" s="4">
        <f t="shared" si="49"/>
        <v>321.71872000000002</v>
      </c>
      <c r="AG67" s="4">
        <f t="shared" si="58"/>
        <v>91.780382831261022</v>
      </c>
      <c r="AH67" s="4">
        <f t="shared" si="50"/>
        <v>101.24315451535696</v>
      </c>
      <c r="AI67" s="77">
        <f t="shared" si="51"/>
        <v>69.921276292032331</v>
      </c>
      <c r="AJ67" s="4">
        <f t="shared" si="52"/>
        <v>60.58189100607887</v>
      </c>
      <c r="AK67" s="4">
        <f t="shared" si="53"/>
        <v>0</v>
      </c>
      <c r="AL67" s="4">
        <f t="shared" si="54"/>
        <v>0</v>
      </c>
      <c r="AM67" s="4">
        <f t="shared" si="55"/>
        <v>0</v>
      </c>
      <c r="AN67" s="87">
        <f t="shared" si="56"/>
        <v>130.50316729811121</v>
      </c>
    </row>
    <row r="68" spans="2:40" x14ac:dyDescent="0.3">
      <c r="B68" t="s">
        <v>88</v>
      </c>
      <c r="C68" s="87">
        <f>Historical_Cost!K50</f>
        <v>31.737379039343061</v>
      </c>
      <c r="D68" s="77">
        <f>Historical_Cost!L50</f>
        <v>70.575759133067308</v>
      </c>
      <c r="E68" s="4">
        <f>Historical_Cost!M50</f>
        <v>60.175109999999997</v>
      </c>
      <c r="F68" s="4">
        <f>Historical_Cost!N50</f>
        <v>45.505240000000008</v>
      </c>
      <c r="G68" s="77">
        <f t="shared" si="45"/>
        <v>48.584614164604211</v>
      </c>
      <c r="H68" s="4">
        <f t="shared" si="45"/>
        <v>80.729026254768769</v>
      </c>
      <c r="I68" s="77">
        <f t="shared" si="45"/>
        <v>56.025630416768557</v>
      </c>
      <c r="J68" s="4">
        <f t="shared" si="45"/>
        <v>48.779078274285965</v>
      </c>
      <c r="K68" s="4">
        <f t="shared" si="45"/>
        <v>44.391028965146148</v>
      </c>
      <c r="L68" s="4">
        <f t="shared" si="45"/>
        <v>42.529123631834686</v>
      </c>
      <c r="M68" s="4">
        <f t="shared" si="45"/>
        <v>41.119994884299601</v>
      </c>
      <c r="N68" s="87">
        <f>SUM(I68:M68)</f>
        <v>232.84485617233497</v>
      </c>
      <c r="Y68" s="4"/>
      <c r="Z68" s="4"/>
      <c r="AA68" s="4"/>
      <c r="AB68" t="s">
        <v>88</v>
      </c>
      <c r="AC68" s="87">
        <f t="shared" si="46"/>
        <v>31.737379039343061</v>
      </c>
      <c r="AD68" s="77">
        <f t="shared" si="47"/>
        <v>70.575759133067308</v>
      </c>
      <c r="AE68" s="4">
        <f t="shared" si="48"/>
        <v>60.175109999999997</v>
      </c>
      <c r="AF68" s="4">
        <f t="shared" si="49"/>
        <v>45.505240000000008</v>
      </c>
      <c r="AG68" s="4">
        <f t="shared" si="58"/>
        <v>48.584614164604211</v>
      </c>
      <c r="AH68" s="4">
        <f t="shared" si="50"/>
        <v>80.729026254768769</v>
      </c>
      <c r="AI68" s="77">
        <f t="shared" si="51"/>
        <v>56.025630416768557</v>
      </c>
      <c r="AJ68" s="4">
        <f t="shared" si="52"/>
        <v>48.779078274285965</v>
      </c>
      <c r="AK68" s="4">
        <f t="shared" si="53"/>
        <v>44.391028965146148</v>
      </c>
      <c r="AL68" s="4">
        <f t="shared" si="54"/>
        <v>42.529123631834686</v>
      </c>
      <c r="AM68" s="4">
        <f t="shared" si="55"/>
        <v>41.119994884299601</v>
      </c>
      <c r="AN68" s="87">
        <f>SUM(AI68:AM68)</f>
        <v>232.84485617233497</v>
      </c>
    </row>
    <row r="69" spans="2:40" x14ac:dyDescent="0.3">
      <c r="B69" t="s">
        <v>236</v>
      </c>
      <c r="C69" s="87">
        <f>Historical_Cost!K51</f>
        <v>0</v>
      </c>
      <c r="D69" s="77">
        <f>Historical_Cost!L51</f>
        <v>33.322519999999997</v>
      </c>
      <c r="E69" s="4">
        <f>Historical_Cost!M51</f>
        <v>150.28121999999999</v>
      </c>
      <c r="F69" s="4">
        <f>Historical_Cost!N51</f>
        <v>148.44015999999999</v>
      </c>
      <c r="G69" s="77">
        <f t="shared" si="45"/>
        <v>1403.0845807492726</v>
      </c>
      <c r="H69" s="4">
        <f t="shared" si="45"/>
        <v>3325.6801395924572</v>
      </c>
      <c r="I69" s="77">
        <f t="shared" si="45"/>
        <v>2039.5042714962028</v>
      </c>
      <c r="J69" s="4">
        <f t="shared" si="45"/>
        <v>852.31001787646312</v>
      </c>
      <c r="K69" s="4">
        <f t="shared" si="45"/>
        <v>465.17692540685402</v>
      </c>
      <c r="L69" s="4">
        <f t="shared" si="45"/>
        <v>500.9205571701093</v>
      </c>
      <c r="M69" s="4">
        <f t="shared" si="45"/>
        <v>786.02455228029896</v>
      </c>
      <c r="N69" s="87">
        <f t="shared" si="57"/>
        <v>4643.9363242299278</v>
      </c>
      <c r="Y69" s="4"/>
      <c r="Z69" s="4"/>
      <c r="AA69" s="4"/>
      <c r="AB69" t="s">
        <v>236</v>
      </c>
      <c r="AC69" s="87">
        <f t="shared" si="46"/>
        <v>0</v>
      </c>
      <c r="AD69" s="77">
        <f t="shared" si="47"/>
        <v>33.322519999999997</v>
      </c>
      <c r="AE69" s="4">
        <f t="shared" si="48"/>
        <v>150.28121999999999</v>
      </c>
      <c r="AF69" s="4">
        <f t="shared" si="49"/>
        <v>148.44015999999999</v>
      </c>
      <c r="AG69" s="4">
        <f t="shared" si="58"/>
        <v>1403.0845807492726</v>
      </c>
      <c r="AH69" s="4">
        <f t="shared" si="50"/>
        <v>3325.6801395924572</v>
      </c>
      <c r="AI69" s="77">
        <f t="shared" si="51"/>
        <v>2039.5042714962028</v>
      </c>
      <c r="AJ69" s="4">
        <f t="shared" si="52"/>
        <v>852.31001787646312</v>
      </c>
      <c r="AK69" s="4">
        <f t="shared" si="53"/>
        <v>465.17692540685402</v>
      </c>
      <c r="AL69" s="4">
        <f t="shared" si="54"/>
        <v>500.9205571701093</v>
      </c>
      <c r="AM69" s="4">
        <f t="shared" si="55"/>
        <v>786.02455228029896</v>
      </c>
      <c r="AN69" s="87">
        <f>SUM(AI69:AM69)</f>
        <v>4643.9363242299278</v>
      </c>
    </row>
    <row r="70" spans="2:40" x14ac:dyDescent="0.3">
      <c r="B70" s="1" t="s">
        <v>394</v>
      </c>
      <c r="C70" s="287">
        <f t="shared" ref="C70:D70" si="59">SUM(C62:C69)</f>
        <v>5632.8507057449478</v>
      </c>
      <c r="D70" s="286">
        <f t="shared" si="59"/>
        <v>5353.4797476225758</v>
      </c>
      <c r="E70" s="285">
        <f>SUM(E62:E69)</f>
        <v>8971.2046200000004</v>
      </c>
      <c r="F70" s="285">
        <f>SUM(F62:F69)</f>
        <v>10110.310010000001</v>
      </c>
      <c r="G70" s="286">
        <f t="shared" ref="G70:K70" si="60">SUM(G62:G69)</f>
        <v>10179.783496301065</v>
      </c>
      <c r="H70" s="285">
        <f t="shared" si="60"/>
        <v>12514.370659774846</v>
      </c>
      <c r="I70" s="286">
        <f t="shared" si="60"/>
        <v>8500.7009947150127</v>
      </c>
      <c r="J70" s="285">
        <f t="shared" si="60"/>
        <v>6480.2250873114053</v>
      </c>
      <c r="K70" s="285">
        <f t="shared" si="60"/>
        <v>5506.593978010952</v>
      </c>
      <c r="L70" s="285">
        <f t="shared" ref="L70:M70" si="61">SUM(L62:L69)</f>
        <v>5452.3235943942109</v>
      </c>
      <c r="M70" s="285">
        <f t="shared" si="61"/>
        <v>5692.0456182276384</v>
      </c>
      <c r="N70" s="287">
        <f t="shared" ref="N70" si="62">SUM(N62:N69)</f>
        <v>31631.889272659217</v>
      </c>
      <c r="Y70" s="4"/>
      <c r="Z70" s="4"/>
      <c r="AA70" s="4"/>
      <c r="AB70" s="1" t="s">
        <v>97</v>
      </c>
      <c r="AC70" s="287">
        <f>SUM(AC62:AC69)</f>
        <v>5632.8507057449478</v>
      </c>
      <c r="AD70" s="286">
        <f t="shared" ref="AD70" si="63">SUM(AD62:AD69)</f>
        <v>5353.4797476225758</v>
      </c>
      <c r="AE70" s="285">
        <f t="shared" ref="AE70" si="64">SUM(AE62:AE69)</f>
        <v>8971.2046200000004</v>
      </c>
      <c r="AF70" s="285">
        <f t="shared" ref="AF70" si="65">SUM(AF62:AF69)</f>
        <v>10110.310010000001</v>
      </c>
      <c r="AG70" s="285">
        <f t="shared" ref="AG70" si="66">SUM(AG62:AG69)</f>
        <v>10179.783496301065</v>
      </c>
      <c r="AH70" s="285">
        <f t="shared" ref="AH70" si="67">SUM(AH62:AH69)</f>
        <v>12514.370659774846</v>
      </c>
      <c r="AI70" s="286">
        <f t="shared" ref="AI70" si="68">SUM(AI62:AI69)</f>
        <v>8500.7009947150127</v>
      </c>
      <c r="AJ70" s="285">
        <f t="shared" ref="AJ70" si="69">SUM(AJ62:AJ69)</f>
        <v>6480.2250873114053</v>
      </c>
      <c r="AK70" s="285">
        <f t="shared" ref="AK70" si="70">SUM(AK62:AK69)</f>
        <v>5506.593978010952</v>
      </c>
      <c r="AL70" s="285">
        <f t="shared" ref="AL70" si="71">SUM(AL62:AL69)</f>
        <v>5452.3235943942109</v>
      </c>
      <c r="AM70" s="285">
        <f t="shared" ref="AM70" si="72">SUM(AM62:AM69)</f>
        <v>5692.0456182276384</v>
      </c>
      <c r="AN70" s="287">
        <f t="shared" ref="AN70" si="73">SUM(AN62:AN69)</f>
        <v>31631.889272659217</v>
      </c>
    </row>
    <row r="71" spans="2:40" x14ac:dyDescent="0.3">
      <c r="B71" s="49" t="s">
        <v>61</v>
      </c>
      <c r="C71" s="72">
        <f>C70-Historical_Cost!K52</f>
        <v>0</v>
      </c>
      <c r="D71" s="72">
        <f>D70-Historical_Cost!L52</f>
        <v>0</v>
      </c>
      <c r="E71" s="72">
        <f>E70-Historical_Cost!M52</f>
        <v>0</v>
      </c>
      <c r="F71" s="72">
        <f>F70-Historical_Cost!N52</f>
        <v>0</v>
      </c>
      <c r="G71" s="72">
        <f>G70-(G57*G59)</f>
        <v>0</v>
      </c>
      <c r="H71" s="72">
        <f t="shared" ref="H71:M71" si="74">H70-(H57*H59)</f>
        <v>0</v>
      </c>
      <c r="I71" s="72">
        <f t="shared" si="74"/>
        <v>0</v>
      </c>
      <c r="J71" s="72">
        <f t="shared" si="74"/>
        <v>0</v>
      </c>
      <c r="K71" s="72">
        <f t="shared" si="74"/>
        <v>0</v>
      </c>
      <c r="L71" s="72">
        <f t="shared" si="74"/>
        <v>0</v>
      </c>
      <c r="M71" s="72">
        <f t="shared" si="74"/>
        <v>0</v>
      </c>
      <c r="Y71" s="4"/>
      <c r="Z71" s="4"/>
      <c r="AA71" s="4"/>
      <c r="AB71" s="49" t="s">
        <v>61</v>
      </c>
      <c r="AC71" s="72">
        <f>AC70-C70</f>
        <v>0</v>
      </c>
      <c r="AD71" s="72">
        <f t="shared" ref="AD71:AN71" si="75">AD70-D70</f>
        <v>0</v>
      </c>
      <c r="AE71" s="72">
        <f t="shared" si="75"/>
        <v>0</v>
      </c>
      <c r="AF71" s="72">
        <f t="shared" si="75"/>
        <v>0</v>
      </c>
      <c r="AG71" s="72">
        <f t="shared" si="75"/>
        <v>0</v>
      </c>
      <c r="AH71" s="72">
        <f t="shared" si="75"/>
        <v>0</v>
      </c>
      <c r="AI71" s="72">
        <f t="shared" si="75"/>
        <v>0</v>
      </c>
      <c r="AJ71" s="72">
        <f t="shared" si="75"/>
        <v>0</v>
      </c>
      <c r="AK71" s="72">
        <f t="shared" si="75"/>
        <v>0</v>
      </c>
      <c r="AL71" s="72">
        <f t="shared" si="75"/>
        <v>0</v>
      </c>
      <c r="AM71" s="72">
        <f t="shared" si="75"/>
        <v>0</v>
      </c>
      <c r="AN71" s="72">
        <f t="shared" si="75"/>
        <v>0</v>
      </c>
    </row>
    <row r="72" spans="2:40" x14ac:dyDescent="0.3">
      <c r="B72" s="49"/>
      <c r="C72" s="503" t="s">
        <v>98</v>
      </c>
      <c r="D72" s="504"/>
      <c r="E72" s="504"/>
      <c r="F72" s="504"/>
      <c r="G72" s="504"/>
      <c r="H72" s="505"/>
      <c r="I72" s="546" t="s">
        <v>266</v>
      </c>
      <c r="J72" s="547"/>
      <c r="K72" s="547"/>
      <c r="L72" s="547"/>
      <c r="M72" s="548"/>
      <c r="N72" s="208" t="s">
        <v>2</v>
      </c>
      <c r="Y72" s="4"/>
      <c r="Z72" s="4"/>
      <c r="AA72" s="4"/>
      <c r="AB72" s="49"/>
      <c r="AC72" s="503" t="s">
        <v>98</v>
      </c>
      <c r="AD72" s="504"/>
      <c r="AE72" s="504"/>
      <c r="AF72" s="504"/>
      <c r="AG72" s="504"/>
      <c r="AH72" s="505"/>
      <c r="AI72" s="549" t="s">
        <v>266</v>
      </c>
      <c r="AJ72" s="550"/>
      <c r="AK72" s="550"/>
      <c r="AL72" s="550"/>
      <c r="AM72" s="550"/>
      <c r="AN72" s="551"/>
    </row>
    <row r="73" spans="2:40" x14ac:dyDescent="0.3">
      <c r="B73" s="1" t="s">
        <v>392</v>
      </c>
      <c r="C73" s="208" t="s">
        <v>162</v>
      </c>
      <c r="D73" s="202" t="s">
        <v>162</v>
      </c>
      <c r="E73" s="3" t="s">
        <v>162</v>
      </c>
      <c r="F73" s="3" t="s">
        <v>161</v>
      </c>
      <c r="G73" s="202" t="s">
        <v>160</v>
      </c>
      <c r="H73" s="3" t="s">
        <v>159</v>
      </c>
      <c r="I73" s="75" t="s">
        <v>225</v>
      </c>
      <c r="J73" s="3" t="s">
        <v>226</v>
      </c>
      <c r="K73" s="3" t="s">
        <v>247</v>
      </c>
      <c r="L73" s="3" t="s">
        <v>248</v>
      </c>
      <c r="M73" s="3" t="s">
        <v>249</v>
      </c>
      <c r="N73" s="101" t="s">
        <v>261</v>
      </c>
      <c r="Y73" s="4"/>
      <c r="Z73" s="4"/>
      <c r="AA73" s="4"/>
      <c r="AB73" s="1" t="s">
        <v>392</v>
      </c>
      <c r="AC73" s="421" t="str">
        <f>Allocations!G$50</f>
        <v>2020-21</v>
      </c>
      <c r="AD73" s="127" t="str">
        <f>Allocations!H$50</f>
        <v>2021-22</v>
      </c>
      <c r="AE73" s="199" t="str">
        <f>Allocations!I$50</f>
        <v>2022-23</v>
      </c>
      <c r="AF73" s="227" t="str">
        <f>Allocations!J$50</f>
        <v>2023-24</v>
      </c>
      <c r="AG73" s="127" t="str">
        <f>Allocations!K$50</f>
        <v>2024-25</v>
      </c>
      <c r="AH73" s="227" t="str">
        <f>Allocations!L$50</f>
        <v>2025-26</v>
      </c>
      <c r="AI73" s="284" t="str">
        <f>Allocations!M$50</f>
        <v>2026-27</v>
      </c>
      <c r="AJ73" s="199" t="str">
        <f>Allocations!N$50</f>
        <v>2027–28</v>
      </c>
      <c r="AK73" s="199" t="str">
        <f>Allocations!O$50</f>
        <v>2028–29</v>
      </c>
      <c r="AL73" s="199" t="str">
        <f>Allocations!P$50</f>
        <v>2029–30</v>
      </c>
      <c r="AM73" s="227" t="str">
        <f>Allocations!Q$50</f>
        <v>2030–31</v>
      </c>
      <c r="AN73" s="29" t="s">
        <v>2</v>
      </c>
    </row>
    <row r="74" spans="2:40" x14ac:dyDescent="0.3">
      <c r="B74" t="s">
        <v>83</v>
      </c>
      <c r="C74" s="87">
        <f t="shared" ref="C74:D74" si="76">C49+C62</f>
        <v>13415.71740418851</v>
      </c>
      <c r="D74" s="77">
        <f t="shared" si="76"/>
        <v>10939.958146046683</v>
      </c>
      <c r="E74" s="4">
        <f t="shared" ref="E74:K74" si="77">E49+E62</f>
        <v>16808.717629999992</v>
      </c>
      <c r="F74" s="4">
        <f t="shared" si="77"/>
        <v>20002.062300000005</v>
      </c>
      <c r="G74" s="77">
        <f t="shared" si="77"/>
        <v>24066.256286586406</v>
      </c>
      <c r="H74" s="4">
        <f t="shared" si="77"/>
        <v>24681.0421024313</v>
      </c>
      <c r="I74" s="77">
        <f t="shared" si="77"/>
        <v>18375.728212136029</v>
      </c>
      <c r="J74" s="4">
        <f t="shared" si="77"/>
        <v>18056.01474823336</v>
      </c>
      <c r="K74" s="4">
        <f t="shared" si="77"/>
        <v>17864.694998859461</v>
      </c>
      <c r="L74" s="4">
        <f t="shared" ref="L74:M74" si="78">L49+L62</f>
        <v>17834.286702488585</v>
      </c>
      <c r="M74" s="4">
        <f t="shared" si="78"/>
        <v>17813.746123313958</v>
      </c>
      <c r="N74" s="87">
        <f>SUM(I74:M74)</f>
        <v>89944.470785031386</v>
      </c>
      <c r="Y74" s="4"/>
      <c r="Z74" s="4"/>
      <c r="AA74" s="4"/>
      <c r="AB74" t="s">
        <v>83</v>
      </c>
      <c r="AC74" s="87">
        <v>40025.208404188517</v>
      </c>
      <c r="AD74" s="77">
        <v>35132.428146046688</v>
      </c>
      <c r="AE74" s="4">
        <v>46991.702629999992</v>
      </c>
      <c r="AF74" s="4">
        <v>58037.301300000006</v>
      </c>
      <c r="AG74" s="4">
        <v>62566.218568925331</v>
      </c>
      <c r="AH74" s="4">
        <v>63706.795047551488</v>
      </c>
      <c r="AI74" s="77">
        <v>55359.797702757496</v>
      </c>
      <c r="AJ74" s="4">
        <v>55591.332425125169</v>
      </c>
      <c r="AK74" s="4">
        <v>55383.19900558181</v>
      </c>
      <c r="AL74" s="4">
        <v>55370.805355821074</v>
      </c>
      <c r="AM74" s="4">
        <v>55358.671611731181</v>
      </c>
      <c r="AN74" s="87">
        <v>277063.80610101676</v>
      </c>
    </row>
    <row r="75" spans="2:40" x14ac:dyDescent="0.3">
      <c r="B75" t="s">
        <v>84</v>
      </c>
      <c r="C75" s="87">
        <f t="shared" ref="C75:D75" si="79">C50+C63</f>
        <v>6758.2174015625751</v>
      </c>
      <c r="D75" s="77">
        <f t="shared" si="79"/>
        <v>8302.910304277153</v>
      </c>
      <c r="E75" s="4">
        <f t="shared" ref="E75:K75" si="80">E50+E63</f>
        <v>7832.3559799999985</v>
      </c>
      <c r="F75" s="4">
        <f t="shared" si="80"/>
        <v>8845.5354100000004</v>
      </c>
      <c r="G75" s="77">
        <f t="shared" si="80"/>
        <v>10236.47991816483</v>
      </c>
      <c r="H75" s="4">
        <f t="shared" si="80"/>
        <v>11524.681757178992</v>
      </c>
      <c r="I75" s="77">
        <f t="shared" si="80"/>
        <v>14974.865447591541</v>
      </c>
      <c r="J75" s="4">
        <f t="shared" si="80"/>
        <v>14942.977971293172</v>
      </c>
      <c r="K75" s="4">
        <f t="shared" si="80"/>
        <v>14776.442044097137</v>
      </c>
      <c r="L75" s="4">
        <f t="shared" ref="L75:M75" si="81">L50+L63</f>
        <v>14747.097813386292</v>
      </c>
      <c r="M75" s="4">
        <f t="shared" si="81"/>
        <v>14738.473343373993</v>
      </c>
      <c r="N75" s="87">
        <f t="shared" ref="N75:N81" si="82">SUM(I75:M75)</f>
        <v>74179.856619742131</v>
      </c>
      <c r="Y75" s="4"/>
      <c r="Z75" s="4"/>
      <c r="AA75" s="4"/>
      <c r="AB75" t="s">
        <v>84</v>
      </c>
      <c r="AC75" s="87">
        <v>6776.7714015625752</v>
      </c>
      <c r="AD75" s="77">
        <v>8308.8003042771543</v>
      </c>
      <c r="AE75" s="4">
        <v>7841.3959799999993</v>
      </c>
      <c r="AF75" s="4">
        <v>8845.5354100000004</v>
      </c>
      <c r="AG75" s="4">
        <v>10236.47991816483</v>
      </c>
      <c r="AH75" s="4">
        <v>11524.681757178992</v>
      </c>
      <c r="AI75" s="77">
        <v>14974.865447591541</v>
      </c>
      <c r="AJ75" s="4">
        <v>14942.977971293172</v>
      </c>
      <c r="AK75" s="4">
        <v>14776.442044097137</v>
      </c>
      <c r="AL75" s="4">
        <v>14747.097813386292</v>
      </c>
      <c r="AM75" s="4">
        <v>14738.473343373993</v>
      </c>
      <c r="AN75" s="87">
        <v>74179.856619742131</v>
      </c>
    </row>
    <row r="76" spans="2:40" x14ac:dyDescent="0.3">
      <c r="B76" t="s">
        <v>85</v>
      </c>
      <c r="C76" s="87">
        <f t="shared" ref="C76:D76" si="83">C51+C64</f>
        <v>23472.551510528938</v>
      </c>
      <c r="D76" s="77">
        <f t="shared" si="83"/>
        <v>20170.917396072738</v>
      </c>
      <c r="E76" s="4">
        <f t="shared" ref="E76:K76" si="84">E51+E64</f>
        <v>34615.625410000008</v>
      </c>
      <c r="F76" s="4">
        <f t="shared" si="84"/>
        <v>36337.235560000001</v>
      </c>
      <c r="G76" s="77">
        <f t="shared" si="84"/>
        <v>40626.391804550592</v>
      </c>
      <c r="H76" s="4">
        <f t="shared" si="84"/>
        <v>34992.161936728226</v>
      </c>
      <c r="I76" s="77">
        <f t="shared" si="84"/>
        <v>31065.816104091886</v>
      </c>
      <c r="J76" s="4">
        <f t="shared" si="84"/>
        <v>30544.399760653941</v>
      </c>
      <c r="K76" s="4">
        <f t="shared" si="84"/>
        <v>30217.525425696283</v>
      </c>
      <c r="L76" s="4">
        <f t="shared" ref="L76:M76" si="85">L51+L64</f>
        <v>30143.043774320515</v>
      </c>
      <c r="M76" s="4">
        <f t="shared" si="85"/>
        <v>30118.669868972349</v>
      </c>
      <c r="N76" s="87">
        <f t="shared" si="82"/>
        <v>152089.45493373496</v>
      </c>
      <c r="Y76" s="4"/>
      <c r="Z76" s="4"/>
      <c r="AA76" s="4"/>
      <c r="AB76" t="s">
        <v>85</v>
      </c>
      <c r="AC76" s="87">
        <v>30367.514510528938</v>
      </c>
      <c r="AD76" s="77">
        <v>22498.06539607274</v>
      </c>
      <c r="AE76" s="4">
        <v>40078.45541000001</v>
      </c>
      <c r="AF76" s="4">
        <v>41403.718560000001</v>
      </c>
      <c r="AG76" s="4">
        <v>46071.184126827859</v>
      </c>
      <c r="AH76" s="4">
        <v>40600.298028673809</v>
      </c>
      <c r="AI76" s="77">
        <v>36298.577571791124</v>
      </c>
      <c r="AJ76" s="4">
        <v>35777.161228353179</v>
      </c>
      <c r="AK76" s="4">
        <v>35450.286893395525</v>
      </c>
      <c r="AL76" s="4">
        <v>35375.805242019749</v>
      </c>
      <c r="AM76" s="4">
        <v>35351.43133667158</v>
      </c>
      <c r="AN76" s="87">
        <v>178253.26227223116</v>
      </c>
    </row>
    <row r="77" spans="2:40" x14ac:dyDescent="0.3">
      <c r="B77" t="s">
        <v>86</v>
      </c>
      <c r="C77" s="87">
        <f t="shared" ref="C77:D77" si="86">C52+C65</f>
        <v>8540.378427340398</v>
      </c>
      <c r="D77" s="77">
        <f t="shared" si="86"/>
        <v>10708.132888109509</v>
      </c>
      <c r="E77" s="4">
        <f t="shared" ref="E77:K77" si="87">E52+E65</f>
        <v>9645.5945699999975</v>
      </c>
      <c r="F77" s="4">
        <f t="shared" si="87"/>
        <v>8894.7044700000006</v>
      </c>
      <c r="G77" s="77">
        <f t="shared" si="87"/>
        <v>11977.806105123305</v>
      </c>
      <c r="H77" s="4">
        <f t="shared" si="87"/>
        <v>12726.687294864714</v>
      </c>
      <c r="I77" s="77">
        <f t="shared" si="87"/>
        <v>11475.678596374171</v>
      </c>
      <c r="J77" s="4">
        <f t="shared" si="87"/>
        <v>11451.242288046042</v>
      </c>
      <c r="K77" s="4">
        <f t="shared" si="87"/>
        <v>11323.620922636164</v>
      </c>
      <c r="L77" s="4">
        <f t="shared" ref="L77:M77" si="88">L52+L65</f>
        <v>11301.133577993631</v>
      </c>
      <c r="M77" s="4">
        <f t="shared" si="88"/>
        <v>11294.524393672642</v>
      </c>
      <c r="N77" s="87">
        <f t="shared" si="82"/>
        <v>56846.19977872265</v>
      </c>
      <c r="Y77" s="4"/>
      <c r="Z77" s="4"/>
      <c r="AA77" s="4"/>
      <c r="AB77" t="s">
        <v>86</v>
      </c>
      <c r="AC77" s="87">
        <v>8647.2544273403983</v>
      </c>
      <c r="AD77" s="77">
        <v>10885.716888109509</v>
      </c>
      <c r="AE77" s="4">
        <v>9842.1705699999984</v>
      </c>
      <c r="AF77" s="4">
        <v>9005.0224699999999</v>
      </c>
      <c r="AG77" s="4">
        <v>11977.806105123305</v>
      </c>
      <c r="AH77" s="4">
        <v>12726.687294864714</v>
      </c>
      <c r="AI77" s="77">
        <v>11475.678596374171</v>
      </c>
      <c r="AJ77" s="4">
        <v>11451.242288046042</v>
      </c>
      <c r="AK77" s="4">
        <v>11323.620922636164</v>
      </c>
      <c r="AL77" s="4">
        <v>11301.133577993631</v>
      </c>
      <c r="AM77" s="4">
        <v>11294.524393672642</v>
      </c>
      <c r="AN77" s="87">
        <v>56846.19977872265</v>
      </c>
    </row>
    <row r="78" spans="2:40" x14ac:dyDescent="0.3">
      <c r="B78" t="s">
        <v>78</v>
      </c>
      <c r="C78" s="87">
        <f t="shared" ref="C78:D78" si="89">C53+C66</f>
        <v>2347.8925856817332</v>
      </c>
      <c r="D78" s="77">
        <f t="shared" si="89"/>
        <v>1470.947032916931</v>
      </c>
      <c r="E78" s="4">
        <f t="shared" ref="E78:K78" si="90">E53+E66</f>
        <v>2767.2553799999996</v>
      </c>
      <c r="F78" s="4">
        <f t="shared" si="90"/>
        <v>3304.8220699999988</v>
      </c>
      <c r="G78" s="77">
        <f t="shared" si="90"/>
        <v>1992.7261847620864</v>
      </c>
      <c r="H78" s="4">
        <f t="shared" si="90"/>
        <v>2927.593298444649</v>
      </c>
      <c r="I78" s="77">
        <f t="shared" si="90"/>
        <v>2639.8165504864683</v>
      </c>
      <c r="J78" s="4">
        <f t="shared" si="90"/>
        <v>2634.1953255091689</v>
      </c>
      <c r="K78" s="4">
        <f t="shared" si="90"/>
        <v>2604.837846578806</v>
      </c>
      <c r="L78" s="4">
        <f t="shared" ref="L78:M78" si="91">L53+L66</f>
        <v>2599.6649529616375</v>
      </c>
      <c r="M78" s="4">
        <f t="shared" si="91"/>
        <v>2598.1446041640274</v>
      </c>
      <c r="N78" s="87">
        <f t="shared" si="82"/>
        <v>13076.659279700107</v>
      </c>
      <c r="Y78" s="4"/>
      <c r="Z78" s="4"/>
      <c r="AA78" s="4"/>
      <c r="AB78" t="s">
        <v>78</v>
      </c>
      <c r="AC78" s="87">
        <v>4557.6665856817335</v>
      </c>
      <c r="AD78" s="77">
        <v>3445.091032916931</v>
      </c>
      <c r="AE78" s="4">
        <v>6643.0763799999995</v>
      </c>
      <c r="AF78" s="4">
        <v>6122.6700699999992</v>
      </c>
      <c r="AG78" s="4">
        <v>5065.1378094428401</v>
      </c>
      <c r="AH78" s="4">
        <v>6092.177271865824</v>
      </c>
      <c r="AI78" s="77">
        <v>5592.582461641814</v>
      </c>
      <c r="AJ78" s="4">
        <v>5586.9612366645142</v>
      </c>
      <c r="AK78" s="4">
        <v>5557.6037577341522</v>
      </c>
      <c r="AL78" s="4">
        <v>5552.4308641169837</v>
      </c>
      <c r="AM78" s="4">
        <v>5550.9105153193732</v>
      </c>
      <c r="AN78" s="87">
        <v>27840.488835476841</v>
      </c>
    </row>
    <row r="79" spans="2:40" x14ac:dyDescent="0.3">
      <c r="B79" t="s">
        <v>335</v>
      </c>
      <c r="C79" s="87">
        <f t="shared" ref="C79:D79" si="92">C54+C67</f>
        <v>1914.7008474034492</v>
      </c>
      <c r="D79" s="77">
        <f t="shared" si="92"/>
        <v>499.152642871225</v>
      </c>
      <c r="E79" s="4">
        <f t="shared" ref="E79:K79" si="93">E54+E67</f>
        <v>1194.5999981952596</v>
      </c>
      <c r="F79" s="4">
        <f t="shared" si="93"/>
        <v>2767.2744500000003</v>
      </c>
      <c r="G79" s="77">
        <f t="shared" si="93"/>
        <v>944.75791843777608</v>
      </c>
      <c r="H79" s="4">
        <f t="shared" si="93"/>
        <v>976.29202673106113</v>
      </c>
      <c r="I79" s="77">
        <f t="shared" si="93"/>
        <v>866.74577641583971</v>
      </c>
      <c r="J79" s="4">
        <f t="shared" si="93"/>
        <v>852.19810086420648</v>
      </c>
      <c r="K79" s="4">
        <f t="shared" si="93"/>
        <v>0</v>
      </c>
      <c r="L79" s="4">
        <f t="shared" ref="L79:M79" si="94">L54+L67</f>
        <v>0</v>
      </c>
      <c r="M79" s="4">
        <f t="shared" si="94"/>
        <v>0</v>
      </c>
      <c r="N79" s="87">
        <f t="shared" si="82"/>
        <v>1718.9438772800463</v>
      </c>
      <c r="Y79" s="4"/>
      <c r="Z79" s="4"/>
      <c r="AA79" s="4"/>
      <c r="AB79" t="s">
        <v>335</v>
      </c>
      <c r="AC79" s="87">
        <v>1951.3488474034491</v>
      </c>
      <c r="AD79" s="77">
        <v>3799.1526428712245</v>
      </c>
      <c r="AE79" s="4">
        <v>2159.7652081952597</v>
      </c>
      <c r="AF79" s="4">
        <v>2767.2744500000003</v>
      </c>
      <c r="AG79" s="4">
        <v>6244.7579184377764</v>
      </c>
      <c r="AH79" s="4">
        <v>976.29202673106113</v>
      </c>
      <c r="AI79" s="77">
        <v>866.74577641583971</v>
      </c>
      <c r="AJ79" s="4">
        <v>852.19810086420648</v>
      </c>
      <c r="AK79" s="4">
        <v>0</v>
      </c>
      <c r="AL79" s="4">
        <v>0</v>
      </c>
      <c r="AM79" s="4">
        <v>0</v>
      </c>
      <c r="AN79" s="87">
        <v>1718.9438772800463</v>
      </c>
    </row>
    <row r="80" spans="2:40" x14ac:dyDescent="0.3">
      <c r="B80" t="s">
        <v>88</v>
      </c>
      <c r="C80" s="87">
        <f t="shared" ref="C80:D80" si="95">C55+C68</f>
        <v>320.90062903934302</v>
      </c>
      <c r="D80" s="77">
        <f t="shared" si="95"/>
        <v>663.38755913306738</v>
      </c>
      <c r="E80" s="4">
        <f t="shared" ref="E80:K80" si="96">E55+E68</f>
        <v>490.25664000000006</v>
      </c>
      <c r="F80" s="4">
        <f t="shared" si="96"/>
        <v>353.34366000000006</v>
      </c>
      <c r="G80" s="77">
        <f t="shared" si="96"/>
        <v>500.11448558285895</v>
      </c>
      <c r="H80" s="4">
        <f t="shared" si="96"/>
        <v>778.47341912226034</v>
      </c>
      <c r="I80" s="77">
        <f t="shared" si="96"/>
        <v>694.49502511873413</v>
      </c>
      <c r="J80" s="4">
        <f t="shared" si="96"/>
        <v>686.16936805557691</v>
      </c>
      <c r="K80" s="4">
        <f t="shared" si="96"/>
        <v>682.13759682166199</v>
      </c>
      <c r="L80" s="4">
        <f t="shared" ref="L80:M80" si="97">L55+L68</f>
        <v>663.85973690844503</v>
      </c>
      <c r="M80" s="4">
        <f t="shared" si="97"/>
        <v>647.14432647429533</v>
      </c>
      <c r="N80" s="87">
        <f>SUM(I80:M80)</f>
        <v>3373.8060533787134</v>
      </c>
      <c r="Y80" s="4"/>
      <c r="Z80" s="4"/>
      <c r="AA80" s="4"/>
      <c r="AB80" t="s">
        <v>88</v>
      </c>
      <c r="AC80" s="87">
        <v>320.90062903934302</v>
      </c>
      <c r="AD80" s="77">
        <v>663.38755913306738</v>
      </c>
      <c r="AE80" s="4">
        <v>490.25664000000006</v>
      </c>
      <c r="AF80" s="4">
        <v>353.34366000000006</v>
      </c>
      <c r="AG80" s="4">
        <v>500.11448558285895</v>
      </c>
      <c r="AH80" s="4">
        <v>778.47341912226034</v>
      </c>
      <c r="AI80" s="77">
        <v>694.49502511873413</v>
      </c>
      <c r="AJ80" s="4">
        <v>686.16936805557691</v>
      </c>
      <c r="AK80" s="4">
        <v>682.13759682166199</v>
      </c>
      <c r="AL80" s="4">
        <v>663.85973690844503</v>
      </c>
      <c r="AM80" s="4">
        <v>647.14432647429533</v>
      </c>
      <c r="AN80" s="87">
        <v>3373.8060533787134</v>
      </c>
    </row>
    <row r="81" spans="2:40" x14ac:dyDescent="0.3">
      <c r="B81" t="s">
        <v>236</v>
      </c>
      <c r="C81" s="87">
        <f t="shared" ref="C81:D81" si="98">C56+C69</f>
        <v>0</v>
      </c>
      <c r="D81" s="77">
        <f t="shared" si="98"/>
        <v>333.18619999999999</v>
      </c>
      <c r="E81" s="4">
        <f t="shared" ref="E81:K81" si="99">E56+E69</f>
        <v>1427.53639</v>
      </c>
      <c r="F81" s="4">
        <f t="shared" si="99"/>
        <v>1216.8561</v>
      </c>
      <c r="G81" s="77">
        <f t="shared" si="99"/>
        <v>14442.904104441399</v>
      </c>
      <c r="H81" s="4">
        <f t="shared" si="99"/>
        <v>32069.674431662093</v>
      </c>
      <c r="I81" s="77">
        <f t="shared" si="99"/>
        <v>25281.742654672256</v>
      </c>
      <c r="J81" s="4">
        <f t="shared" si="99"/>
        <v>11989.341476795073</v>
      </c>
      <c r="K81" s="4">
        <f t="shared" si="99"/>
        <v>7148.1710920254236</v>
      </c>
      <c r="L81" s="4">
        <f t="shared" ref="L81:M81" si="100">L56+L69</f>
        <v>7819.135709771851</v>
      </c>
      <c r="M81" s="4">
        <f t="shared" si="100"/>
        <v>12370.413248079321</v>
      </c>
      <c r="N81" s="87">
        <f t="shared" si="82"/>
        <v>64608.804181343927</v>
      </c>
      <c r="Y81" s="4"/>
      <c r="Z81" s="4"/>
      <c r="AA81" s="4"/>
      <c r="AB81" t="s">
        <v>236</v>
      </c>
      <c r="AC81" s="87">
        <v>0</v>
      </c>
      <c r="AD81" s="77">
        <v>333.18619999999999</v>
      </c>
      <c r="AE81" s="4">
        <v>1427.53639</v>
      </c>
      <c r="AF81" s="4">
        <v>1216.8561</v>
      </c>
      <c r="AG81" s="4">
        <v>14442.904104441399</v>
      </c>
      <c r="AH81" s="4">
        <v>32069.674431662093</v>
      </c>
      <c r="AI81" s="77">
        <v>25281.742654672256</v>
      </c>
      <c r="AJ81" s="4">
        <v>11989.341476795073</v>
      </c>
      <c r="AK81" s="4">
        <v>7148.1710920254236</v>
      </c>
      <c r="AL81" s="4">
        <v>7819.135709771851</v>
      </c>
      <c r="AM81" s="4">
        <v>12370.413248079321</v>
      </c>
      <c r="AN81" s="87">
        <v>64608.804181343927</v>
      </c>
    </row>
    <row r="82" spans="2:40" x14ac:dyDescent="0.3">
      <c r="B82" s="403" t="s">
        <v>386</v>
      </c>
      <c r="C82" s="406">
        <f t="shared" ref="C82:D82" si="101">SUM(C74:C81)</f>
        <v>56770.358805744952</v>
      </c>
      <c r="D82" s="405">
        <f t="shared" si="101"/>
        <v>53088.592169427306</v>
      </c>
      <c r="E82" s="404">
        <f t="shared" ref="E82:K82" si="102">SUM(E74:E81)</f>
        <v>74781.941998195267</v>
      </c>
      <c r="F82" s="404">
        <f t="shared" si="102"/>
        <v>81721.834019999995</v>
      </c>
      <c r="G82" s="405">
        <f t="shared" si="102"/>
        <v>104787.43680764927</v>
      </c>
      <c r="H82" s="404">
        <f t="shared" si="102"/>
        <v>120676.6062671633</v>
      </c>
      <c r="I82" s="405">
        <f t="shared" si="102"/>
        <v>105374.88836688694</v>
      </c>
      <c r="J82" s="404">
        <f t="shared" si="102"/>
        <v>91156.539039450538</v>
      </c>
      <c r="K82" s="404">
        <f t="shared" si="102"/>
        <v>84617.429926714947</v>
      </c>
      <c r="L82" s="404">
        <f t="shared" ref="L82:M82" si="103">SUM(L74:L81)</f>
        <v>85108.222267830963</v>
      </c>
      <c r="M82" s="404">
        <f t="shared" si="103"/>
        <v>89581.115908050589</v>
      </c>
      <c r="N82" s="406">
        <f t="shared" ref="N82" si="104">SUM(N74:N81)</f>
        <v>455838.19550893398</v>
      </c>
      <c r="Y82" s="4"/>
      <c r="Z82" s="4"/>
      <c r="AA82" s="4"/>
      <c r="AB82" s="410" t="s">
        <v>434</v>
      </c>
      <c r="AC82" s="413">
        <v>92646.664805744964</v>
      </c>
      <c r="AD82" s="412">
        <v>85065.828169427317</v>
      </c>
      <c r="AE82" s="411">
        <v>115474.35920819527</v>
      </c>
      <c r="AF82" s="411">
        <v>127751.72202</v>
      </c>
      <c r="AG82" s="411">
        <v>157104.60303694621</v>
      </c>
      <c r="AH82" s="411">
        <v>168475.07927765025</v>
      </c>
      <c r="AI82" s="412">
        <v>150544.48523636296</v>
      </c>
      <c r="AJ82" s="411">
        <v>136877.3840951969</v>
      </c>
      <c r="AK82" s="411">
        <v>130321.46131229187</v>
      </c>
      <c r="AL82" s="411">
        <v>130830.26830001803</v>
      </c>
      <c r="AM82" s="411">
        <v>135311.5687753224</v>
      </c>
      <c r="AN82" s="413">
        <v>683885.16771919199</v>
      </c>
    </row>
    <row r="83" spans="2:40" x14ac:dyDescent="0.3">
      <c r="C83" s="72">
        <f t="shared" ref="C83:H83" si="105">C82-(C57+C70)</f>
        <v>0</v>
      </c>
      <c r="D83" s="72">
        <f t="shared" si="105"/>
        <v>0</v>
      </c>
      <c r="E83" s="72">
        <f t="shared" si="105"/>
        <v>0</v>
      </c>
      <c r="F83" s="72">
        <f t="shared" si="105"/>
        <v>0</v>
      </c>
      <c r="G83" s="72">
        <f t="shared" si="105"/>
        <v>0</v>
      </c>
      <c r="H83" s="72">
        <f t="shared" si="105"/>
        <v>0</v>
      </c>
      <c r="I83" s="72">
        <f>I82-(I57+I70)</f>
        <v>0</v>
      </c>
      <c r="J83" s="72">
        <f t="shared" ref="J83:N83" si="106">J82-(J57+J70)</f>
        <v>0</v>
      </c>
      <c r="K83" s="72">
        <f t="shared" si="106"/>
        <v>0</v>
      </c>
      <c r="L83" s="72">
        <f t="shared" si="106"/>
        <v>0</v>
      </c>
      <c r="M83" s="72">
        <f t="shared" si="106"/>
        <v>0</v>
      </c>
      <c r="N83" s="72">
        <f t="shared" si="106"/>
        <v>0</v>
      </c>
      <c r="AB83" s="49" t="s">
        <v>61</v>
      </c>
      <c r="AC83" s="72">
        <f>AC82-Historical_Cost!K64</f>
        <v>0</v>
      </c>
      <c r="AD83" s="72">
        <f>AD82-Historical_Cost!L64</f>
        <v>0</v>
      </c>
      <c r="AE83" s="72">
        <f>AE82-Historical_Cost!M64</f>
        <v>0</v>
      </c>
      <c r="AF83" s="72">
        <f>AF82-Historical_Cost!N64</f>
        <v>0</v>
      </c>
      <c r="AI83" s="297"/>
      <c r="AJ83" s="297"/>
      <c r="AK83" s="297"/>
      <c r="AL83" s="297"/>
      <c r="AM83" s="297"/>
    </row>
  </sheetData>
  <mergeCells count="38">
    <mergeCell ref="C72:H72"/>
    <mergeCell ref="I72:M72"/>
    <mergeCell ref="AC60:AH60"/>
    <mergeCell ref="AC72:AH72"/>
    <mergeCell ref="AI72:AN72"/>
    <mergeCell ref="AI60:AN60"/>
    <mergeCell ref="AI17:AM17"/>
    <mergeCell ref="AC17:AH17"/>
    <mergeCell ref="AC16:AM16"/>
    <mergeCell ref="C46:M46"/>
    <mergeCell ref="AC46:AM46"/>
    <mergeCell ref="P17:U17"/>
    <mergeCell ref="C16:M16"/>
    <mergeCell ref="C17:H17"/>
    <mergeCell ref="C33:H33"/>
    <mergeCell ref="I33:N33"/>
    <mergeCell ref="P33:U33"/>
    <mergeCell ref="AC33:AH33"/>
    <mergeCell ref="V33:Z33"/>
    <mergeCell ref="AI33:AM33"/>
    <mergeCell ref="V17:Z17"/>
    <mergeCell ref="I17:M17"/>
    <mergeCell ref="C47:H47"/>
    <mergeCell ref="I47:M47"/>
    <mergeCell ref="AC47:AH47"/>
    <mergeCell ref="AI47:AN47"/>
    <mergeCell ref="C60:H60"/>
    <mergeCell ref="I60:M60"/>
    <mergeCell ref="P16:Z16"/>
    <mergeCell ref="G1:H1"/>
    <mergeCell ref="I3:M3"/>
    <mergeCell ref="C3:F3"/>
    <mergeCell ref="G3:H3"/>
    <mergeCell ref="T3:Z3"/>
    <mergeCell ref="I2:N2"/>
    <mergeCell ref="C2:H2"/>
    <mergeCell ref="P2:Z2"/>
    <mergeCell ref="P3:S3"/>
  </mergeCells>
  <hyperlinks>
    <hyperlink ref="B2" location="Contents!A1" display="Table of Contents" xr:uid="{00000000-0004-0000-0E00-000000000000}"/>
  </hyperlinks>
  <pageMargins left="0.7" right="0.7" top="0.75" bottom="0.75" header="0.3" footer="0.3"/>
  <pageSetup paperSize="9" orientation="portrait" verticalDpi="0" r:id="rId1"/>
  <headerFooter>
    <oddFooter>&amp;C_x000D_&amp;1#&amp;"Century Gothic"&amp;7&amp;K7F7F7F BUSINESS USE 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E5AA-2D7D-4707-897C-E8187EDA6287}">
  <sheetPr>
    <tabColor theme="8" tint="-0.249977111117893"/>
  </sheetPr>
  <dimension ref="C3:C4"/>
  <sheetViews>
    <sheetView workbookViewId="0">
      <selection activeCell="C4" sqref="C4"/>
    </sheetView>
  </sheetViews>
  <sheetFormatPr defaultColWidth="9.109375" defaultRowHeight="14.65" x14ac:dyDescent="0.3"/>
  <cols>
    <col min="1" max="16384" width="9.109375" style="26"/>
  </cols>
  <sheetData>
    <row r="3" spans="3:3" ht="18.5" x14ac:dyDescent="0.35">
      <c r="C3" s="27" t="s">
        <v>441</v>
      </c>
    </row>
    <row r="4" spans="3:3" x14ac:dyDescent="0.3">
      <c r="C4" s="41" t="s">
        <v>54</v>
      </c>
    </row>
  </sheetData>
  <hyperlinks>
    <hyperlink ref="C4" location="Contents!A1" display="Table of Contents" xr:uid="{C7777466-9D85-47B2-8A32-FC8A21CA3B2D}"/>
  </hyperlinks>
  <pageMargins left="0.7" right="0.7" top="0.75" bottom="0.75" header="0.3" footer="0.3"/>
  <headerFooter>
    <oddFooter>&amp;C_x000D_&amp;1#&amp;"Century Gothic"&amp;7&amp;K7F7F7F BUSINESS USE ONLY</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B1:V47"/>
  <sheetViews>
    <sheetView zoomScale="85" zoomScaleNormal="85" zoomScaleSheetLayoutView="115" workbookViewId="0">
      <pane xSplit="2" topLeftCell="I1" activePane="topRight" state="frozen"/>
      <selection activeCell="A6" sqref="A6"/>
      <selection pane="topRight" activeCell="M30" sqref="M30"/>
    </sheetView>
  </sheetViews>
  <sheetFormatPr defaultColWidth="9.109375" defaultRowHeight="14.65" outlineLevelCol="1" x14ac:dyDescent="0.3"/>
  <cols>
    <col min="1" max="1" width="3.33203125" customWidth="1"/>
    <col min="2" max="2" width="42.5546875" customWidth="1"/>
    <col min="3" max="3" width="10.33203125" hidden="1" customWidth="1" outlineLevel="1"/>
    <col min="4" max="8" width="8.88671875" hidden="1" customWidth="1" outlineLevel="1"/>
    <col min="9" max="9" width="10.33203125" customWidth="1" collapsed="1"/>
    <col min="10" max="12" width="10" bestFit="1" customWidth="1"/>
    <col min="13" max="13" width="10" customWidth="1"/>
    <col min="14" max="14" width="10" bestFit="1" customWidth="1"/>
    <col min="15" max="19" width="8.88671875" customWidth="1"/>
    <col min="20" max="20" width="55.77734375" customWidth="1"/>
    <col min="21" max="21" width="2.6640625" style="37" customWidth="1"/>
    <col min="22" max="34" width="9.109375" customWidth="1"/>
  </cols>
  <sheetData>
    <row r="1" spans="2:22" x14ac:dyDescent="0.3">
      <c r="V1" s="50"/>
    </row>
    <row r="2" spans="2:22" ht="18.5" x14ac:dyDescent="0.35">
      <c r="B2" s="39" t="s">
        <v>424</v>
      </c>
    </row>
    <row r="3" spans="2:22" x14ac:dyDescent="0.3">
      <c r="B3" s="40" t="s">
        <v>54</v>
      </c>
      <c r="C3" s="7"/>
      <c r="D3" s="7"/>
      <c r="E3" s="7"/>
      <c r="M3" s="4"/>
    </row>
    <row r="4" spans="2:22" x14ac:dyDescent="0.3">
      <c r="B4" s="40"/>
      <c r="D4" s="7"/>
      <c r="E4" s="7"/>
      <c r="M4" s="478" t="s">
        <v>447</v>
      </c>
      <c r="N4" s="478"/>
      <c r="O4" s="478"/>
    </row>
    <row r="5" spans="2:22" x14ac:dyDescent="0.3">
      <c r="B5" s="30" t="s">
        <v>387</v>
      </c>
      <c r="T5" s="18"/>
    </row>
    <row r="6" spans="2:22" x14ac:dyDescent="0.3">
      <c r="T6" s="18"/>
    </row>
    <row r="7" spans="2:22" x14ac:dyDescent="0.3">
      <c r="B7" s="8" t="s">
        <v>388</v>
      </c>
      <c r="D7" s="503" t="s">
        <v>242</v>
      </c>
      <c r="E7" s="504"/>
      <c r="F7" s="504"/>
      <c r="G7" s="504"/>
      <c r="H7" s="504"/>
      <c r="I7" s="504"/>
      <c r="J7" s="504"/>
      <c r="K7" s="504"/>
      <c r="L7" s="504"/>
      <c r="M7" s="504"/>
      <c r="N7" s="505"/>
      <c r="O7" s="549" t="s">
        <v>266</v>
      </c>
      <c r="P7" s="550"/>
      <c r="Q7" s="550"/>
      <c r="R7" s="550"/>
      <c r="S7" s="551"/>
    </row>
    <row r="8" spans="2:22" x14ac:dyDescent="0.3">
      <c r="B8" s="8"/>
      <c r="C8" s="208" t="s">
        <v>15</v>
      </c>
      <c r="D8" s="75" t="s">
        <v>15</v>
      </c>
      <c r="E8" s="3" t="s">
        <v>15</v>
      </c>
      <c r="F8" s="3" t="s">
        <v>15</v>
      </c>
      <c r="G8" s="3" t="s">
        <v>15</v>
      </c>
      <c r="H8" s="3" t="s">
        <v>15</v>
      </c>
      <c r="I8" s="75" t="s">
        <v>15</v>
      </c>
      <c r="J8" s="202" t="s">
        <v>15</v>
      </c>
      <c r="K8" s="203" t="s">
        <v>15</v>
      </c>
      <c r="L8" s="203" t="s">
        <v>15</v>
      </c>
      <c r="M8" s="203" t="s">
        <v>16</v>
      </c>
      <c r="N8" s="204" t="s">
        <v>16</v>
      </c>
      <c r="O8" s="503" t="s">
        <v>262</v>
      </c>
      <c r="P8" s="504"/>
      <c r="Q8" s="504"/>
      <c r="R8" s="504"/>
      <c r="S8" s="505"/>
      <c r="T8" s="10"/>
    </row>
    <row r="9" spans="2:22" x14ac:dyDescent="0.3">
      <c r="B9" s="245" t="s">
        <v>243</v>
      </c>
      <c r="C9" s="101" t="s">
        <v>4</v>
      </c>
      <c r="D9" s="75" t="s">
        <v>5</v>
      </c>
      <c r="E9" s="3" t="s">
        <v>6</v>
      </c>
      <c r="F9" s="3" t="s">
        <v>7</v>
      </c>
      <c r="G9" s="3" t="s">
        <v>8</v>
      </c>
      <c r="H9" s="3" t="str">
        <f>Allocations!F$50</f>
        <v>CY2020</v>
      </c>
      <c r="I9" s="75" t="str">
        <f>Allocations!G$50</f>
        <v>2020-21</v>
      </c>
      <c r="J9" s="75" t="str">
        <f>Allocations!H$50</f>
        <v>2021-22</v>
      </c>
      <c r="K9" s="3" t="str">
        <f>Allocations!I$50</f>
        <v>2022-23</v>
      </c>
      <c r="L9" s="3" t="str">
        <f>Allocations!J$50</f>
        <v>2023-24</v>
      </c>
      <c r="M9" s="3" t="str">
        <f>Allocations!K$50</f>
        <v>2024-25</v>
      </c>
      <c r="N9" s="100" t="str">
        <f>Allocations!L$50</f>
        <v>2025-26</v>
      </c>
      <c r="O9" s="75" t="str">
        <f>Allocations!M$50</f>
        <v>2026-27</v>
      </c>
      <c r="P9" s="3" t="str">
        <f>Allocations!N$50</f>
        <v>2027–28</v>
      </c>
      <c r="Q9" s="3" t="str">
        <f>Allocations!O$50</f>
        <v>2028–29</v>
      </c>
      <c r="R9" s="3" t="str">
        <f>Allocations!P$50</f>
        <v>2029–30</v>
      </c>
      <c r="S9" s="100" t="str">
        <f>Allocations!Q$50</f>
        <v>2030–31</v>
      </c>
      <c r="T9" s="10"/>
    </row>
    <row r="10" spans="2:22" x14ac:dyDescent="0.3">
      <c r="B10" s="128" t="s">
        <v>83</v>
      </c>
      <c r="C10" s="210">
        <f>Cost_Recovery!E62</f>
        <v>2453.0372600000001</v>
      </c>
      <c r="D10" s="211">
        <f>Cost_Recovery!F62</f>
        <v>2140.8954600000002</v>
      </c>
      <c r="E10" s="212">
        <f>Cost_Recovery!G62</f>
        <v>2941.4721699999991</v>
      </c>
      <c r="F10" s="212">
        <f>Cost_Recovery!H62</f>
        <v>3030.9726900000023</v>
      </c>
      <c r="G10" s="212">
        <f>Cost_Recovery!I62</f>
        <v>2407.9747200000056</v>
      </c>
      <c r="H10" s="212">
        <f>Cost_Recovery!J62</f>
        <v>1842.4482999999998</v>
      </c>
      <c r="I10" s="211">
        <f>Cost_Recovery!K62</f>
        <v>1854.8511700000004</v>
      </c>
      <c r="J10" s="211">
        <f>Cost_Recovery!L62</f>
        <v>1641.3568799999998</v>
      </c>
      <c r="K10" s="212">
        <f>Cost_Recovery!M62</f>
        <v>1902.43803</v>
      </c>
      <c r="L10" s="212">
        <f>Cost_Recovery!N62</f>
        <v>2393.04592</v>
      </c>
      <c r="M10" s="212">
        <f>Cost_Recovery!O62</f>
        <v>3071.2937771279094</v>
      </c>
      <c r="N10" s="276">
        <f>Cost_Recovery!P62</f>
        <v>3149.7516738604104</v>
      </c>
      <c r="O10" s="212">
        <f>O23*Capex_Fcast_Total!I74</f>
        <v>2345.0784798457862</v>
      </c>
      <c r="P10" s="212">
        <f>P23*Capex_Fcast_Total!J74</f>
        <v>2304.2772035502467</v>
      </c>
      <c r="Q10" s="212">
        <f>Q23*Capex_Fcast_Total!K74</f>
        <v>2279.8613098318192</v>
      </c>
      <c r="R10" s="212">
        <f>R23*Capex_Fcast_Total!L74</f>
        <v>2275.9806559276644</v>
      </c>
      <c r="S10" s="276">
        <f>S23*Capex_Fcast_Total!M74</f>
        <v>2273.3593029325666</v>
      </c>
      <c r="T10" s="10"/>
    </row>
    <row r="11" spans="2:22" x14ac:dyDescent="0.3">
      <c r="B11" s="221" t="s">
        <v>84</v>
      </c>
      <c r="C11" s="302">
        <f>Cost_Recovery!E63</f>
        <v>654.77161999999998</v>
      </c>
      <c r="D11" s="225">
        <f>Cost_Recovery!F63</f>
        <v>1841.6381399999996</v>
      </c>
      <c r="E11" s="83">
        <f>Cost_Recovery!G63</f>
        <v>3639.6056499999995</v>
      </c>
      <c r="F11" s="83">
        <f>Cost_Recovery!H63</f>
        <v>5195.525529999999</v>
      </c>
      <c r="G11" s="83">
        <f>Cost_Recovery!I63</f>
        <v>5497.6494000000002</v>
      </c>
      <c r="H11" s="83">
        <f>Cost_Recovery!J63</f>
        <v>4968.4601900000007</v>
      </c>
      <c r="I11" s="225">
        <f>Cost_Recovery!K63</f>
        <v>5553.2940699999999</v>
      </c>
      <c r="J11" s="225">
        <f>Cost_Recovery!L63</f>
        <v>4996.9075799999991</v>
      </c>
      <c r="K11" s="83">
        <f>Cost_Recovery!M63</f>
        <v>5255.6906399999998</v>
      </c>
      <c r="L11" s="83">
        <f>Cost_Recovery!N63</f>
        <v>4830.1115899999995</v>
      </c>
      <c r="M11" s="4">
        <f>Cost_Recovery!O63</f>
        <v>6206.3770111201275</v>
      </c>
      <c r="N11" s="98">
        <f>Cost_Recovery!P63</f>
        <v>6987.4136900621497</v>
      </c>
      <c r="O11" s="4">
        <f>O24*Capex_Fcast_Total!I75</f>
        <v>10149.671836634861</v>
      </c>
      <c r="P11" s="4">
        <f>P24*Capex_Fcast_Total!J75</f>
        <v>10128.059126907378</v>
      </c>
      <c r="Q11" s="4">
        <f>Q24*Capex_Fcast_Total!K75</f>
        <v>10015.184322391433</v>
      </c>
      <c r="R11" s="4">
        <f>R24*Capex_Fcast_Total!L75</f>
        <v>9995.2953749377193</v>
      </c>
      <c r="S11" s="98">
        <f>S24*Capex_Fcast_Total!M75</f>
        <v>9989.4498773139785</v>
      </c>
    </row>
    <row r="12" spans="2:22" x14ac:dyDescent="0.3">
      <c r="B12" s="76" t="s">
        <v>85</v>
      </c>
      <c r="C12" s="87">
        <f>Cost_Recovery!E64</f>
        <v>2276.7452000000003</v>
      </c>
      <c r="D12" s="77">
        <f>Cost_Recovery!F64</f>
        <v>4406.4466899999989</v>
      </c>
      <c r="E12" s="4">
        <f>Cost_Recovery!G64</f>
        <v>5658.4607899999992</v>
      </c>
      <c r="F12" s="4">
        <f>Cost_Recovery!H64</f>
        <v>5661.4387800000004</v>
      </c>
      <c r="G12" s="4">
        <f>Cost_Recovery!I64</f>
        <v>7370.5216600000003</v>
      </c>
      <c r="H12" s="4">
        <f>Cost_Recovery!J64</f>
        <v>6207.5566200000003</v>
      </c>
      <c r="I12" s="77">
        <f>Cost_Recovery!K64</f>
        <v>6233.6216299999996</v>
      </c>
      <c r="J12" s="77">
        <f>Cost_Recovery!L64</f>
        <v>5374.5672200000008</v>
      </c>
      <c r="K12" s="4">
        <f>Cost_Recovery!M64</f>
        <v>8793.9093999999986</v>
      </c>
      <c r="L12" s="4">
        <f>Cost_Recovery!N64</f>
        <v>7431.700170000001</v>
      </c>
      <c r="M12" s="4">
        <f>Cost_Recovery!O64</f>
        <v>9818.2620115001846</v>
      </c>
      <c r="N12" s="98">
        <f>Cost_Recovery!P64</f>
        <v>8456.626320557436</v>
      </c>
      <c r="O12" s="4">
        <f>O25*Capex_Fcast_Total!I76</f>
        <v>9301.4154990230581</v>
      </c>
      <c r="P12" s="4">
        <f>P25*Capex_Fcast_Total!J76</f>
        <v>9145.298240038228</v>
      </c>
      <c r="Q12" s="4">
        <f>Q25*Capex_Fcast_Total!K76</f>
        <v>9047.4288006769511</v>
      </c>
      <c r="R12" s="4">
        <f>R25*Capex_Fcast_Total!L76</f>
        <v>9025.1282506389907</v>
      </c>
      <c r="S12" s="98">
        <f>S25*Capex_Fcast_Total!M76</f>
        <v>9017.8304600315423</v>
      </c>
      <c r="T12" s="10"/>
    </row>
    <row r="13" spans="2:22" x14ac:dyDescent="0.3">
      <c r="B13" s="76" t="s">
        <v>86</v>
      </c>
      <c r="C13" s="87">
        <f>Cost_Recovery!E65</f>
        <v>176.96199999999999</v>
      </c>
      <c r="D13" s="77">
        <f>Cost_Recovery!F65</f>
        <v>810.3508700000001</v>
      </c>
      <c r="E13" s="4">
        <f>Cost_Recovery!G65</f>
        <v>3197.7241100000001</v>
      </c>
      <c r="F13" s="4">
        <f>Cost_Recovery!H65</f>
        <v>3433.7036699999999</v>
      </c>
      <c r="G13" s="4">
        <f>Cost_Recovery!I65</f>
        <v>4045.9027300000007</v>
      </c>
      <c r="H13" s="4">
        <f>Cost_Recovery!J65</f>
        <v>4235.9633700000004</v>
      </c>
      <c r="I13" s="77">
        <f>Cost_Recovery!K65</f>
        <v>5678.36276</v>
      </c>
      <c r="J13" s="77">
        <f>Cost_Recovery!L65</f>
        <v>5829.9338699999989</v>
      </c>
      <c r="K13" s="4">
        <f>Cost_Recovery!M65</f>
        <v>5086.5892800000001</v>
      </c>
      <c r="L13" s="4">
        <f>Cost_Recovery!N65</f>
        <v>5271.7725899999996</v>
      </c>
      <c r="M13" s="4">
        <f>Cost_Recovery!O65</f>
        <v>6645.5858964522986</v>
      </c>
      <c r="N13" s="98">
        <f>Cost_Recovery!P65</f>
        <v>7061.0838790532362</v>
      </c>
      <c r="O13" s="4">
        <f>O26*Capex_Fcast_Total!I77</f>
        <v>8677.9151925584938</v>
      </c>
      <c r="P13" s="4">
        <f>P26*Capex_Fcast_Total!J77</f>
        <v>8659.4364412140876</v>
      </c>
      <c r="Q13" s="4">
        <f>Q26*Capex_Fcast_Total!K77</f>
        <v>8562.9290864215491</v>
      </c>
      <c r="R13" s="4">
        <f>R26*Capex_Fcast_Total!L77</f>
        <v>8545.9241426114804</v>
      </c>
      <c r="S13" s="98">
        <f>S26*Capex_Fcast_Total!M77</f>
        <v>8540.9262733745672</v>
      </c>
      <c r="T13" s="10"/>
    </row>
    <row r="14" spans="2:22" x14ac:dyDescent="0.3">
      <c r="B14" s="76" t="s">
        <v>78</v>
      </c>
      <c r="C14" s="87">
        <f>Cost_Recovery!E66</f>
        <v>4781.60275</v>
      </c>
      <c r="D14" s="77">
        <f>Cost_Recovery!F66</f>
        <v>3472.06583</v>
      </c>
      <c r="E14" s="4">
        <f>Cost_Recovery!G66</f>
        <v>3562.5261399999999</v>
      </c>
      <c r="F14" s="4">
        <f>Cost_Recovery!H66</f>
        <v>2428.6474199999993</v>
      </c>
      <c r="G14" s="4">
        <f>Cost_Recovery!I66</f>
        <v>2358.836859999999</v>
      </c>
      <c r="H14" s="4">
        <f>Cost_Recovery!J66</f>
        <v>1618.5523800000003</v>
      </c>
      <c r="I14" s="77">
        <f>Cost_Recovery!K66</f>
        <v>1312.5291</v>
      </c>
      <c r="J14" s="77">
        <f>Cost_Recovery!L66</f>
        <v>1251.9633199999998</v>
      </c>
      <c r="K14" s="4">
        <f>Cost_Recovery!M66</f>
        <v>937.3918000000001</v>
      </c>
      <c r="L14" s="4">
        <f>Cost_Recovery!N66</f>
        <v>1524.4162699999999</v>
      </c>
      <c r="M14" s="4">
        <f>Cost_Recovery!O66</f>
        <v>1096.7579200705404</v>
      </c>
      <c r="N14" s="98">
        <f>Cost_Recovery!P66</f>
        <v>1611.2906837714654</v>
      </c>
      <c r="O14" s="4">
        <f>O27*Capex_Fcast_Total!I78</f>
        <v>2034.9442802441704</v>
      </c>
      <c r="P14" s="4">
        <f>P27*Capex_Fcast_Total!J78</f>
        <v>2030.6110701908381</v>
      </c>
      <c r="Q14" s="4">
        <f>Q27*Capex_Fcast_Total!K78</f>
        <v>2007.980393896032</v>
      </c>
      <c r="R14" s="4">
        <f>R27*Capex_Fcast_Total!L78</f>
        <v>2003.992787152439</v>
      </c>
      <c r="S14" s="98">
        <f>S27*Capex_Fcast_Total!M78</f>
        <v>2002.8208022699657</v>
      </c>
    </row>
    <row r="15" spans="2:22" x14ac:dyDescent="0.3">
      <c r="B15" s="76" t="s">
        <v>335</v>
      </c>
      <c r="C15" s="87">
        <f>Cost_Recovery!E67</f>
        <v>3847.0500200000024</v>
      </c>
      <c r="D15" s="77">
        <f>Cost_Recovery!F67</f>
        <v>5.5000000000000284</v>
      </c>
      <c r="E15" s="4">
        <f>Cost_Recovery!G67</f>
        <v>335.24520000000001</v>
      </c>
      <c r="F15" s="4">
        <f>Cost_Recovery!H67</f>
        <v>236.71700000000001</v>
      </c>
      <c r="G15" s="4">
        <f>Cost_Recovery!I67</f>
        <v>59.794150000000002</v>
      </c>
      <c r="H15" s="4">
        <f>Cost_Recovery!J67</f>
        <v>5822.3575300000002</v>
      </c>
      <c r="I15" s="77">
        <f>Cost_Recovery!K67</f>
        <v>7250.72145</v>
      </c>
      <c r="J15" s="225">
        <f>Cost_Recovery!L67</f>
        <v>0</v>
      </c>
      <c r="K15" s="83">
        <f>Cost_Recovery!M67</f>
        <v>186.27600000000001</v>
      </c>
      <c r="L15" s="83">
        <f>Cost_Recovery!N67</f>
        <v>82.167249999999996</v>
      </c>
      <c r="M15" s="568">
        <f>Cost_Recovery!O67</f>
        <v>4719.3555508107856</v>
      </c>
      <c r="N15" s="569">
        <f>Cost_Recovery!P67</f>
        <v>235.94246233578693</v>
      </c>
      <c r="O15" s="83">
        <f>O28*Capex_Fcast_Total!I79</f>
        <v>259.51233894689705</v>
      </c>
      <c r="P15" s="83">
        <f>P28*Capex_Fcast_Total!J79</f>
        <v>255.15661964445462</v>
      </c>
      <c r="Q15" s="83">
        <f>Q28*Capex_Fcast_Total!K79</f>
        <v>0</v>
      </c>
      <c r="R15" s="83">
        <f>R28*Capex_Fcast_Total!L79</f>
        <v>0</v>
      </c>
      <c r="S15" s="226">
        <f>S28*Capex_Fcast_Total!M79</f>
        <v>0</v>
      </c>
      <c r="T15" s="2"/>
    </row>
    <row r="16" spans="2:22" x14ac:dyDescent="0.3">
      <c r="B16" s="76" t="s">
        <v>88</v>
      </c>
      <c r="C16" s="87">
        <f>Cost_Recovery!E68</f>
        <v>0.5</v>
      </c>
      <c r="D16" s="77">
        <f>Cost_Recovery!F68</f>
        <v>325.93799999999999</v>
      </c>
      <c r="E16" s="4">
        <f>Cost_Recovery!G68</f>
        <v>49.964730000000003</v>
      </c>
      <c r="F16" s="4">
        <f>Cost_Recovery!H68</f>
        <v>31.336099999999998</v>
      </c>
      <c r="G16" s="4">
        <f>Cost_Recovery!I68</f>
        <v>6.0510000000000002</v>
      </c>
      <c r="H16" s="4">
        <f>Cost_Recovery!J68</f>
        <v>0.5</v>
      </c>
      <c r="I16" s="77">
        <f>Cost_Recovery!K68</f>
        <v>0</v>
      </c>
      <c r="J16" s="225">
        <f>Cost_Recovery!L68</f>
        <v>2.4</v>
      </c>
      <c r="K16" s="83">
        <f>Cost_Recovery!M68</f>
        <v>3.073</v>
      </c>
      <c r="L16" s="83">
        <f>Cost_Recovery!N68</f>
        <v>0</v>
      </c>
      <c r="M16" s="568">
        <f>Cost_Recovery!O68</f>
        <v>0</v>
      </c>
      <c r="N16" s="569">
        <f>Cost_Recovery!P68</f>
        <v>0</v>
      </c>
      <c r="O16" s="83">
        <f>O29*Capex_Fcast_Total!I80</f>
        <v>1.7164340901122774</v>
      </c>
      <c r="P16" s="83">
        <f>P29*Capex_Fcast_Total!J80</f>
        <v>1.6958573529306915</v>
      </c>
      <c r="Q16" s="83">
        <f>Q29*Capex_Fcast_Total!K80</f>
        <v>1.6858928904952084</v>
      </c>
      <c r="R16" s="83">
        <f>R29*Capex_Fcast_Total!L80</f>
        <v>1.6407194324938661</v>
      </c>
      <c r="S16" s="226">
        <f>S29*Capex_Fcast_Total!M80</f>
        <v>1.5994075450624365</v>
      </c>
    </row>
    <row r="17" spans="2:22" x14ac:dyDescent="0.3">
      <c r="B17" s="213" t="s">
        <v>236</v>
      </c>
      <c r="C17" s="209">
        <f>Cost_Recovery!E69</f>
        <v>0</v>
      </c>
      <c r="D17" s="205">
        <f>Cost_Recovery!F69</f>
        <v>0</v>
      </c>
      <c r="E17" s="206">
        <f>Cost_Recovery!G69</f>
        <v>0</v>
      </c>
      <c r="F17" s="206">
        <f>Cost_Recovery!H69</f>
        <v>0</v>
      </c>
      <c r="G17" s="206">
        <f>Cost_Recovery!I69</f>
        <v>0</v>
      </c>
      <c r="H17" s="206">
        <f>Cost_Recovery!J69</f>
        <v>0</v>
      </c>
      <c r="I17" s="205">
        <f>Cost_Recovery!K69</f>
        <v>0</v>
      </c>
      <c r="J17" s="205">
        <f>Cost_Recovery!L69</f>
        <v>0</v>
      </c>
      <c r="K17" s="206">
        <f>Cost_Recovery!M69</f>
        <v>0</v>
      </c>
      <c r="L17" s="206">
        <f>Cost_Recovery!N69</f>
        <v>78.673000000000002</v>
      </c>
      <c r="M17" s="570">
        <f>Cost_Recovery!O69</f>
        <v>13182.708977854867</v>
      </c>
      <c r="N17" s="571">
        <f>Cost_Recovery!P69</f>
        <v>25959.90969437997</v>
      </c>
      <c r="O17" s="206">
        <f>O30*Capex_Fcast_Total!I81</f>
        <v>19862.88721187225</v>
      </c>
      <c r="P17" s="206">
        <f>P30*Capex_Fcast_Total!J81</f>
        <v>8502.235752069615</v>
      </c>
      <c r="Q17" s="206">
        <f>Q30*Capex_Fcast_Total!K81</f>
        <v>4165.9958301537163</v>
      </c>
      <c r="R17" s="206">
        <f>R30*Capex_Fcast_Total!L81</f>
        <v>3938.5276167739698</v>
      </c>
      <c r="S17" s="207">
        <f>S30*Capex_Fcast_Total!M81</f>
        <v>6231.0229694029167</v>
      </c>
    </row>
    <row r="18" spans="2:22" x14ac:dyDescent="0.3">
      <c r="B18" s="28" t="s">
        <v>411</v>
      </c>
      <c r="C18" s="286">
        <f>SUM(C10:C16)</f>
        <v>14190.668850000002</v>
      </c>
      <c r="D18" s="286">
        <f t="shared" ref="D18:G18" si="0">SUM(D10:D17)</f>
        <v>13002.834989999999</v>
      </c>
      <c r="E18" s="285">
        <f t="shared" si="0"/>
        <v>19384.998790000001</v>
      </c>
      <c r="F18" s="285">
        <f t="shared" si="0"/>
        <v>20018.341190000003</v>
      </c>
      <c r="G18" s="285">
        <f t="shared" si="0"/>
        <v>21746.730520000008</v>
      </c>
      <c r="H18" s="285">
        <f>SUM(H10:H17)</f>
        <v>24695.838390000004</v>
      </c>
      <c r="I18" s="286">
        <f t="shared" ref="I18:N18" si="1">SUM(I10:I17)</f>
        <v>27883.38018</v>
      </c>
      <c r="J18" s="415">
        <f t="shared" si="1"/>
        <v>19097.128869999997</v>
      </c>
      <c r="K18" s="416">
        <f t="shared" si="1"/>
        <v>22165.368150000002</v>
      </c>
      <c r="L18" s="416">
        <f t="shared" si="1"/>
        <v>21611.88679</v>
      </c>
      <c r="M18" s="416">
        <f t="shared" si="1"/>
        <v>44740.341144936712</v>
      </c>
      <c r="N18" s="417">
        <f t="shared" si="1"/>
        <v>53462.018404020462</v>
      </c>
      <c r="O18" s="286">
        <f t="shared" ref="O18" si="2">SUM(O10:O17)</f>
        <v>52633.141273215631</v>
      </c>
      <c r="P18" s="285">
        <f t="shared" ref="P18" si="3">SUM(P10:P17)</f>
        <v>41026.770310967775</v>
      </c>
      <c r="Q18" s="285">
        <f t="shared" ref="Q18" si="4">SUM(Q10:Q17)</f>
        <v>36081.065636261999</v>
      </c>
      <c r="R18" s="285">
        <f t="shared" ref="R18" si="5">SUM(R10:R17)</f>
        <v>35786.489547474754</v>
      </c>
      <c r="S18" s="402">
        <f t="shared" ref="S18" si="6">SUM(S10:S17)</f>
        <v>38057.009092870598</v>
      </c>
    </row>
    <row r="19" spans="2:22" x14ac:dyDescent="0.3">
      <c r="C19" s="104">
        <f>C18-Cost_Recovery!E70</f>
        <v>0</v>
      </c>
      <c r="D19" s="104">
        <f>D18-Cost_Recovery!F70</f>
        <v>0</v>
      </c>
      <c r="E19" s="104">
        <f>E18-Cost_Recovery!G70</f>
        <v>0</v>
      </c>
      <c r="F19" s="104">
        <f>F18-Cost_Recovery!H70</f>
        <v>0</v>
      </c>
      <c r="G19" s="104">
        <f>G18-Cost_Recovery!I70</f>
        <v>0</v>
      </c>
      <c r="H19" s="104">
        <f>H18-Cost_Recovery!J70</f>
        <v>0</v>
      </c>
      <c r="I19" s="104">
        <f>I18-Cost_Recovery!K70</f>
        <v>0</v>
      </c>
      <c r="J19" s="104">
        <f>J18-Cost_Recovery!L70</f>
        <v>0</v>
      </c>
      <c r="K19" s="104">
        <f>K18-Cost_Recovery!M70</f>
        <v>0</v>
      </c>
      <c r="L19" s="104">
        <f>L18-Cost_Recovery!N70</f>
        <v>0</v>
      </c>
      <c r="M19" s="99">
        <f>M18-(Capex_Model_Inputs!P17*(1+M20))*1/Escalation!P11</f>
        <v>0</v>
      </c>
      <c r="N19" s="99">
        <f>N18-(Capex_Model_Inputs!Q17*(1+N20))*1/Escalation!Q11</f>
        <v>0</v>
      </c>
      <c r="O19" s="99">
        <f>O18-Capex_Model_Inputs!R17*(1+O20)</f>
        <v>0</v>
      </c>
      <c r="P19" s="99">
        <f>P18-Capex_Model_Inputs!S17*(1+P20)</f>
        <v>0</v>
      </c>
      <c r="Q19" s="99">
        <f>Q18-Capex_Model_Inputs!T17*(1+Q20)</f>
        <v>0</v>
      </c>
      <c r="R19" s="99">
        <f>R18-Capex_Model_Inputs!U17*(1+R20)</f>
        <v>0</v>
      </c>
      <c r="S19" s="99">
        <f>S18-Capex_Model_Inputs!V17*(1+S20)</f>
        <v>0</v>
      </c>
    </row>
    <row r="20" spans="2:22" x14ac:dyDescent="0.3">
      <c r="B20" t="s">
        <v>346</v>
      </c>
      <c r="C20" s="105"/>
      <c r="D20" s="105"/>
      <c r="E20" s="105"/>
      <c r="F20" s="105"/>
      <c r="G20" s="105"/>
      <c r="H20" s="105"/>
      <c r="I20" s="256">
        <f>Allocations!D46</f>
        <v>0.11015105966309197</v>
      </c>
      <c r="J20" s="256">
        <f>Allocations!E46</f>
        <v>0.11214972534928357</v>
      </c>
      <c r="K20" s="256">
        <f>Allocations!F46</f>
        <v>0.13631825105446069</v>
      </c>
      <c r="L20" s="256">
        <f>Allocations!G46</f>
        <v>0.14118272372737342</v>
      </c>
      <c r="M20" s="256">
        <f>Allocations!H46</f>
        <v>0.1076</v>
      </c>
      <c r="N20" s="256">
        <f>Allocations!I46</f>
        <v>0.1157</v>
      </c>
      <c r="O20" s="256">
        <f>Allocations!J46</f>
        <v>8.7749907641103214E-2</v>
      </c>
      <c r="P20" s="256">
        <f>Allocations!K46</f>
        <v>7.6529371495482987E-2</v>
      </c>
      <c r="Q20" s="256">
        <f>Allocations!L46</f>
        <v>6.9606064857935093E-2</v>
      </c>
      <c r="R20" s="256">
        <f>Allocations!M46</f>
        <v>6.8448460003532982E-2</v>
      </c>
      <c r="S20" s="256">
        <f>Allocations!N46</f>
        <v>6.7852052699625312E-2</v>
      </c>
    </row>
    <row r="21" spans="2:22" x14ac:dyDescent="0.3">
      <c r="B21" s="30" t="s">
        <v>170</v>
      </c>
      <c r="V21" s="9"/>
    </row>
    <row r="22" spans="2:22" x14ac:dyDescent="0.3">
      <c r="C22" s="127" t="s">
        <v>4</v>
      </c>
      <c r="D22" s="127" t="s">
        <v>5</v>
      </c>
      <c r="E22" s="199" t="s">
        <v>6</v>
      </c>
      <c r="F22" s="199" t="s">
        <v>7</v>
      </c>
      <c r="G22" s="199" t="s">
        <v>8</v>
      </c>
      <c r="H22" s="199" t="s">
        <v>9</v>
      </c>
      <c r="I22" s="29" t="str">
        <f>Allocations!G$50</f>
        <v>2020-21</v>
      </c>
      <c r="J22" s="127" t="str">
        <f>Allocations!H$50</f>
        <v>2021-22</v>
      </c>
      <c r="K22" s="199" t="str">
        <f>Allocations!I$50</f>
        <v>2022-23</v>
      </c>
      <c r="L22" s="199" t="str">
        <f>Allocations!J$50</f>
        <v>2023-24</v>
      </c>
      <c r="M22" s="199" t="str">
        <f>Allocations!K$50</f>
        <v>2024-25</v>
      </c>
      <c r="N22" s="227" t="str">
        <f>Allocations!L$50</f>
        <v>2025-26</v>
      </c>
      <c r="O22" s="202" t="str">
        <f>Allocations!M$50</f>
        <v>2026-27</v>
      </c>
      <c r="P22" s="203" t="str">
        <f>Allocations!N$50</f>
        <v>2027–28</v>
      </c>
      <c r="Q22" s="203" t="str">
        <f>Allocations!O$50</f>
        <v>2028–29</v>
      </c>
      <c r="R22" s="203" t="str">
        <f>Allocations!P$50</f>
        <v>2029–30</v>
      </c>
      <c r="S22" s="204" t="str">
        <f>Allocations!Q$50</f>
        <v>2030–31</v>
      </c>
      <c r="T22" s="7"/>
    </row>
    <row r="23" spans="2:22" x14ac:dyDescent="0.3">
      <c r="B23" s="128" t="s">
        <v>83</v>
      </c>
      <c r="C23" s="216">
        <f>Cost_Recovery!E73</f>
        <v>0.18458286318732742</v>
      </c>
      <c r="D23" s="215">
        <f>Cost_Recovery!F73</f>
        <v>7.6320195352792719E-2</v>
      </c>
      <c r="E23" s="214">
        <f>Cost_Recovery!G73</f>
        <v>0.12561569774287465</v>
      </c>
      <c r="F23" s="214">
        <f>Cost_Recovery!H73</f>
        <v>0.16388251387245734</v>
      </c>
      <c r="G23" s="214">
        <f>Cost_Recovery!I73</f>
        <v>0.17052725842794397</v>
      </c>
      <c r="H23" s="214">
        <f>Cost_Recovery!J73</f>
        <v>0.14671359179691235</v>
      </c>
      <c r="I23" s="216">
        <f>Cost_Recovery!K73</f>
        <v>0.13825955885302846</v>
      </c>
      <c r="J23" s="214">
        <f>Cost_Recovery!L73</f>
        <v>0.15003319556511538</v>
      </c>
      <c r="K23" s="214">
        <f>Cost_Recovery!M73</f>
        <v>0.11318162824060725</v>
      </c>
      <c r="L23" s="214">
        <f>Cost_Recovery!N73</f>
        <v>0.11963995932559411</v>
      </c>
      <c r="M23" s="214">
        <f>Cost_Recovery!O73</f>
        <v>0.12761826104377225</v>
      </c>
      <c r="N23" s="214">
        <f>Cost_Recovery!P73</f>
        <v>0.12761826104377225</v>
      </c>
      <c r="O23" s="352">
        <f t="shared" ref="O23:S23" si="7">$M23</f>
        <v>0.12761826104377225</v>
      </c>
      <c r="P23" s="353">
        <f t="shared" si="7"/>
        <v>0.12761826104377225</v>
      </c>
      <c r="Q23" s="353">
        <f t="shared" si="7"/>
        <v>0.12761826104377225</v>
      </c>
      <c r="R23" s="353">
        <f t="shared" si="7"/>
        <v>0.12761826104377225</v>
      </c>
      <c r="S23" s="354">
        <f t="shared" si="7"/>
        <v>0.12761826104377225</v>
      </c>
    </row>
    <row r="24" spans="2:22" x14ac:dyDescent="0.3">
      <c r="B24" s="221" t="s">
        <v>84</v>
      </c>
      <c r="C24" s="303">
        <f>Cost_Recovery!E74</f>
        <v>5.7449882143197864E-2</v>
      </c>
      <c r="D24" s="304">
        <f>Cost_Recovery!F74</f>
        <v>0.15179174166067255</v>
      </c>
      <c r="E24" s="305">
        <f>Cost_Recovery!G74</f>
        <v>0.31144032838298596</v>
      </c>
      <c r="F24" s="305">
        <f>Cost_Recovery!H74</f>
        <v>0.40376494459630813</v>
      </c>
      <c r="G24" s="305">
        <f>Cost_Recovery!I74</f>
        <v>0.50358791173881601</v>
      </c>
      <c r="H24" s="305">
        <f>Cost_Recovery!J74</f>
        <v>0.48582302225611063</v>
      </c>
      <c r="I24" s="303">
        <f>Cost_Recovery!K74</f>
        <v>0.82170988887040186</v>
      </c>
      <c r="J24" s="305">
        <f>Cost_Recovery!L74</f>
        <v>0.60182603411070168</v>
      </c>
      <c r="K24" s="305">
        <f>Cost_Recovery!M74</f>
        <v>0.67102295317276939</v>
      </c>
      <c r="L24" s="305">
        <f>Cost_Recovery!N74</f>
        <v>0.54605078902736526</v>
      </c>
      <c r="M24" s="21">
        <f>Cost_Recovery!O74</f>
        <v>0.60629992543694555</v>
      </c>
      <c r="N24" s="21">
        <f>Cost_Recovery!P74</f>
        <v>0.60629992543694555</v>
      </c>
      <c r="O24" s="484">
        <v>0.67778050308073168</v>
      </c>
      <c r="P24" s="485">
        <v>0.67778050308073168</v>
      </c>
      <c r="Q24" s="485">
        <v>0.67778050308073168</v>
      </c>
      <c r="R24" s="485">
        <v>0.67778050308073168</v>
      </c>
      <c r="S24" s="486">
        <v>0.67778050308073168</v>
      </c>
      <c r="T24" s="408" t="s">
        <v>389</v>
      </c>
    </row>
    <row r="25" spans="2:22" x14ac:dyDescent="0.3">
      <c r="B25" s="76" t="s">
        <v>85</v>
      </c>
      <c r="C25" s="201">
        <f>Cost_Recovery!E75</f>
        <v>0.16066936194723599</v>
      </c>
      <c r="D25" s="200">
        <f>Cost_Recovery!F75</f>
        <v>0.29638998936522581</v>
      </c>
      <c r="E25" s="217">
        <f>Cost_Recovery!G75</f>
        <v>0.3246333873528881</v>
      </c>
      <c r="F25" s="21">
        <f>Cost_Recovery!H75</f>
        <v>0.21246427368714854</v>
      </c>
      <c r="G25" s="21">
        <f>Cost_Recovery!I75</f>
        <v>0.28071877121864147</v>
      </c>
      <c r="H25" s="21">
        <f>Cost_Recovery!J75</f>
        <v>0.26364563430837124</v>
      </c>
      <c r="I25" s="201">
        <f>Cost_Recovery!K75</f>
        <v>0.26557068698747227</v>
      </c>
      <c r="J25" s="21">
        <f>Cost_Recovery!L75</f>
        <v>0.2664513028567766</v>
      </c>
      <c r="K25" s="21">
        <f>Cost_Recovery!M75</f>
        <v>0.25404450434859255</v>
      </c>
      <c r="L25" s="21">
        <f>Cost_Recovery!N75</f>
        <v>0.20452024088978332</v>
      </c>
      <c r="M25" s="21">
        <f>Cost_Recovery!O75</f>
        <v>0.24167201603171748</v>
      </c>
      <c r="N25" s="21">
        <f>Cost_Recovery!P75</f>
        <v>0.24167201603171748</v>
      </c>
      <c r="O25" s="484">
        <v>0.29940998388250639</v>
      </c>
      <c r="P25" s="485">
        <v>0.29940998388250639</v>
      </c>
      <c r="Q25" s="485">
        <v>0.29940998388250639</v>
      </c>
      <c r="R25" s="485">
        <v>0.29940998388250639</v>
      </c>
      <c r="S25" s="486">
        <v>0.29940998388250639</v>
      </c>
      <c r="T25" s="11" t="s">
        <v>467</v>
      </c>
    </row>
    <row r="26" spans="2:22" x14ac:dyDescent="0.3">
      <c r="B26" s="76" t="s">
        <v>86</v>
      </c>
      <c r="C26" s="201">
        <f>Cost_Recovery!E76</f>
        <v>2.4585121900680823E-2</v>
      </c>
      <c r="D26" s="200">
        <f>Cost_Recovery!F76</f>
        <v>0.25812649807255111</v>
      </c>
      <c r="E26" s="217">
        <f>Cost_Recovery!G76</f>
        <v>0.45947977492077857</v>
      </c>
      <c r="F26" s="21">
        <f>Cost_Recovery!H76</f>
        <v>0.4289918029962535</v>
      </c>
      <c r="G26" s="21">
        <f>Cost_Recovery!I76</f>
        <v>0.48094691390333899</v>
      </c>
      <c r="H26" s="21">
        <f>Cost_Recovery!J76</f>
        <v>0.60345786766351017</v>
      </c>
      <c r="I26" s="201">
        <f>Cost_Recovery!K76</f>
        <v>0.66488420955935645</v>
      </c>
      <c r="J26" s="21">
        <f>Cost_Recovery!L76</f>
        <v>0.54443981326321189</v>
      </c>
      <c r="K26" s="21">
        <f>Cost_Recovery!M76</f>
        <v>0.52734844317637541</v>
      </c>
      <c r="L26" s="21">
        <f>Cost_Recovery!N76</f>
        <v>0.59268664943063576</v>
      </c>
      <c r="M26" s="21">
        <f>Cost_Recovery!O76</f>
        <v>0.55482496862340769</v>
      </c>
      <c r="N26" s="21">
        <f>Cost_Recovery!P76</f>
        <v>0.55482496862340769</v>
      </c>
      <c r="O26" s="484">
        <v>0.75620061329535215</v>
      </c>
      <c r="P26" s="485">
        <v>0.75620061329535215</v>
      </c>
      <c r="Q26" s="485">
        <v>0.75620061329535215</v>
      </c>
      <c r="R26" s="485">
        <v>0.75620061329535215</v>
      </c>
      <c r="S26" s="486">
        <v>0.75620061329535215</v>
      </c>
      <c r="T26" s="11" t="s">
        <v>468</v>
      </c>
    </row>
    <row r="27" spans="2:22" x14ac:dyDescent="0.3">
      <c r="B27" s="76" t="s">
        <v>78</v>
      </c>
      <c r="C27" s="201">
        <f>Cost_Recovery!E77</f>
        <v>0.55539178439621339</v>
      </c>
      <c r="D27" s="200">
        <f>Cost_Recovery!F77</f>
        <v>0.50648707439786234</v>
      </c>
      <c r="E27" s="217">
        <f>Cost_Recovery!G77</f>
        <v>0.64808306703589869</v>
      </c>
      <c r="F27" s="21">
        <f>Cost_Recovery!H77</f>
        <v>0.50751146701367578</v>
      </c>
      <c r="G27" s="21">
        <f>Cost_Recovery!I77</f>
        <v>0.56833259539361791</v>
      </c>
      <c r="H27" s="21">
        <f>Cost_Recovery!J77</f>
        <v>0.38401131943481542</v>
      </c>
      <c r="I27" s="201">
        <f>Cost_Recovery!K77</f>
        <v>0.55902433867897505</v>
      </c>
      <c r="J27" s="21">
        <f>Cost_Recovery!L77</f>
        <v>0.85112739750888211</v>
      </c>
      <c r="K27" s="21">
        <f>Cost_Recovery!M77</f>
        <v>0.33874423256157882</v>
      </c>
      <c r="L27" s="21">
        <f>Cost_Recovery!N77</f>
        <v>0.46127030070335989</v>
      </c>
      <c r="M27" s="21">
        <f>Cost_Recovery!O77</f>
        <v>0.55038064359127359</v>
      </c>
      <c r="N27" s="21">
        <f>Cost_Recovery!P77</f>
        <v>0.55038064359127359</v>
      </c>
      <c r="O27" s="484">
        <v>0.77086579363598906</v>
      </c>
      <c r="P27" s="485">
        <v>0.77086579363598906</v>
      </c>
      <c r="Q27" s="485">
        <v>0.77086579363598906</v>
      </c>
      <c r="R27" s="485">
        <v>0.77086579363598906</v>
      </c>
      <c r="S27" s="486">
        <v>0.77086579363598906</v>
      </c>
      <c r="T27" s="11" t="s">
        <v>469</v>
      </c>
    </row>
    <row r="28" spans="2:22" x14ac:dyDescent="0.3">
      <c r="B28" s="221" t="s">
        <v>335</v>
      </c>
      <c r="C28" s="201">
        <f>Cost_Recovery!E78</f>
        <v>1.624182847895884</v>
      </c>
      <c r="D28" s="200">
        <f>Cost_Recovery!F78</f>
        <v>2.0517749176047977E-2</v>
      </c>
      <c r="E28" s="217">
        <f>Cost_Recovery!G78</f>
        <v>2.4845346382773523</v>
      </c>
      <c r="F28" s="21">
        <f>Cost_Recovery!H78</f>
        <v>1.7709831734216028</v>
      </c>
      <c r="G28" s="21">
        <f>Cost_Recovery!I78</f>
        <v>1.2326851301038251E-2</v>
      </c>
      <c r="H28" s="21">
        <f>Cost_Recovery!J78</f>
        <v>1.6483557583515969</v>
      </c>
      <c r="I28" s="201">
        <f>Cost_Recovery!K78</f>
        <v>3.7868690870601527</v>
      </c>
      <c r="J28" s="21">
        <f>Cost_Recovery!L78</f>
        <v>0</v>
      </c>
      <c r="K28" s="21">
        <f>Cost_Recovery!M78</f>
        <v>0.15593169285234912</v>
      </c>
      <c r="L28" s="21">
        <f>Cost_Recovery!N78</f>
        <v>2.9692483157931802E-2</v>
      </c>
      <c r="M28" s="21">
        <f>Cost_Recovery!O78</f>
        <v>4.9953066904319483</v>
      </c>
      <c r="N28" s="21">
        <f>Cost_Recovery!P78</f>
        <v>0.24167201603171748</v>
      </c>
      <c r="O28" s="355">
        <f t="shared" ref="O28:S28" si="8">O25</f>
        <v>0.29940998388250639</v>
      </c>
      <c r="P28" s="217">
        <f t="shared" si="8"/>
        <v>0.29940998388250639</v>
      </c>
      <c r="Q28" s="217">
        <f t="shared" si="8"/>
        <v>0.29940998388250639</v>
      </c>
      <c r="R28" s="217">
        <f t="shared" si="8"/>
        <v>0.29940998388250639</v>
      </c>
      <c r="S28" s="356">
        <f t="shared" si="8"/>
        <v>0.29940998388250639</v>
      </c>
    </row>
    <row r="29" spans="2:22" x14ac:dyDescent="0.3">
      <c r="B29" s="221" t="s">
        <v>88</v>
      </c>
      <c r="C29" s="201">
        <f>Cost_Recovery!E79</f>
        <v>4.2473145679199E-4</v>
      </c>
      <c r="D29" s="200">
        <f>Cost_Recovery!F79</f>
        <v>0.26783730750666696</v>
      </c>
      <c r="E29" s="217">
        <f>Cost_Recovery!G79</f>
        <v>8.1145079106234128E-2</v>
      </c>
      <c r="F29" s="21">
        <f>Cost_Recovery!H79</f>
        <v>2.8099507436697743E-2</v>
      </c>
      <c r="G29" s="21">
        <f>Cost_Recovery!I79</f>
        <v>7.160487877360424E-3</v>
      </c>
      <c r="H29" s="21">
        <f>Cost_Recovery!J79</f>
        <v>1.2435652941871038E-3</v>
      </c>
      <c r="I29" s="201">
        <f>Cost_Recovery!K79</f>
        <v>0</v>
      </c>
      <c r="J29" s="21">
        <f>Cost_Recovery!L79</f>
        <v>3.6177947068172099E-3</v>
      </c>
      <c r="K29" s="21">
        <f>Cost_Recovery!M79</f>
        <v>6.2681455981911834E-3</v>
      </c>
      <c r="L29" s="21">
        <f>Cost_Recovery!N79</f>
        <v>0</v>
      </c>
      <c r="M29" s="21">
        <f>Cost_Recovery!O79</f>
        <v>0</v>
      </c>
      <c r="N29" s="21">
        <f>Cost_Recovery!P79</f>
        <v>0</v>
      </c>
      <c r="O29" s="355">
        <f>AVERAGE(I29:L29)</f>
        <v>2.4714850762520982E-3</v>
      </c>
      <c r="P29" s="217">
        <f>$O29</f>
        <v>2.4714850762520982E-3</v>
      </c>
      <c r="Q29" s="217">
        <f t="shared" ref="Q29:S29" si="9">$O29</f>
        <v>2.4714850762520982E-3</v>
      </c>
      <c r="R29" s="217">
        <f t="shared" si="9"/>
        <v>2.4714850762520982E-3</v>
      </c>
      <c r="S29" s="356">
        <f t="shared" si="9"/>
        <v>2.4714850762520982E-3</v>
      </c>
    </row>
    <row r="30" spans="2:22" x14ac:dyDescent="0.3">
      <c r="B30" s="213" t="s">
        <v>236</v>
      </c>
      <c r="C30" s="220"/>
      <c r="D30" s="218"/>
      <c r="E30" s="219"/>
      <c r="F30" s="189"/>
      <c r="G30" s="189"/>
      <c r="H30" s="189"/>
      <c r="I30" s="220"/>
      <c r="J30" s="189">
        <f>Cost_Recovery!L80</f>
        <v>0</v>
      </c>
      <c r="K30" s="189">
        <f>Cost_Recovery!M80</f>
        <v>0</v>
      </c>
      <c r="L30" s="189">
        <f>Cost_Recovery!N80</f>
        <v>6.4652673393345364E-2</v>
      </c>
      <c r="M30" s="479">
        <v>0.91274641737744411</v>
      </c>
      <c r="N30" s="480">
        <v>0.80948466594815172</v>
      </c>
      <c r="O30" s="481">
        <v>0.78566131627803115</v>
      </c>
      <c r="P30" s="482">
        <v>0.70914951989026065</v>
      </c>
      <c r="Q30" s="482">
        <v>0.58280583613916936</v>
      </c>
      <c r="R30" s="482">
        <v>0.50370370370370376</v>
      </c>
      <c r="S30" s="483">
        <v>0.50370370370370365</v>
      </c>
      <c r="T30" s="11" t="s">
        <v>390</v>
      </c>
    </row>
    <row r="31" spans="2:22" x14ac:dyDescent="0.3">
      <c r="C31" s="21"/>
      <c r="D31" s="21"/>
      <c r="E31" s="21"/>
      <c r="F31" s="21"/>
      <c r="G31" s="21"/>
      <c r="H31" s="21"/>
      <c r="I31" s="21"/>
      <c r="O31" s="11"/>
    </row>
    <row r="32" spans="2:22" x14ac:dyDescent="0.3">
      <c r="B32" t="s">
        <v>444</v>
      </c>
      <c r="C32" s="21"/>
      <c r="D32" s="21"/>
      <c r="E32" s="21"/>
      <c r="F32" s="21"/>
      <c r="G32" s="21"/>
      <c r="H32" s="21"/>
      <c r="I32" s="11">
        <f>I18/Capex_Fcast_Total!C82</f>
        <v>0.49116089393428852</v>
      </c>
      <c r="J32" s="11">
        <f>J18/Capex_Fcast_Total!D82</f>
        <v>0.35972189296437335</v>
      </c>
      <c r="K32" s="11">
        <f>K18/Capex_Fcast_Total!E82</f>
        <v>0.29640000724419441</v>
      </c>
      <c r="L32" s="11">
        <f>L18/Capex_Fcast_Total!F82</f>
        <v>0.26445670302395402</v>
      </c>
      <c r="M32" s="11">
        <f>M18/Capex_Fcast_Total!G82</f>
        <v>0.42696283550730729</v>
      </c>
      <c r="N32" s="11">
        <f>N18/Capex_Fcast_Total!H82</f>
        <v>0.44301890861648918</v>
      </c>
      <c r="O32" s="11">
        <f>O18/Capex_Fcast_Total!I82</f>
        <v>0.49948466934514069</v>
      </c>
      <c r="P32" s="11">
        <f>P18/Capex_Fcast_Total!J82</f>
        <v>0.45006941622928764</v>
      </c>
      <c r="Q32" s="11">
        <f>Q18/Capex_Fcast_Total!K82</f>
        <v>0.42640228694621091</v>
      </c>
      <c r="R32" s="11">
        <f>R18/Capex_Fcast_Total!L82</f>
        <v>0.42048216487070555</v>
      </c>
      <c r="S32" s="11">
        <f>S18/Capex_Fcast_Total!M82</f>
        <v>0.42483294282618378</v>
      </c>
    </row>
    <row r="33" spans="2:19" x14ac:dyDescent="0.3">
      <c r="C33" s="21"/>
      <c r="D33" s="21"/>
      <c r="E33" s="21"/>
      <c r="F33" s="21"/>
      <c r="G33" s="21"/>
      <c r="H33" s="21"/>
      <c r="I33" s="11"/>
      <c r="J33" s="11"/>
      <c r="K33" s="11"/>
      <c r="L33" s="11"/>
      <c r="M33" s="11"/>
      <c r="N33" s="11"/>
      <c r="O33" s="11"/>
      <c r="P33" s="11"/>
      <c r="Q33" s="11"/>
      <c r="R33" s="11"/>
      <c r="S33" s="11"/>
    </row>
    <row r="34" spans="2:19" x14ac:dyDescent="0.3">
      <c r="C34" s="21"/>
      <c r="D34" s="21"/>
      <c r="E34" s="21"/>
      <c r="F34" s="21"/>
      <c r="G34" s="21"/>
      <c r="H34" s="21"/>
      <c r="I34" s="21"/>
      <c r="J34" s="25"/>
      <c r="K34" s="25"/>
      <c r="L34" s="25"/>
      <c r="M34" s="25"/>
      <c r="N34" s="25"/>
      <c r="O34" s="25"/>
      <c r="P34" s="25"/>
      <c r="Q34" s="25"/>
      <c r="R34" s="25"/>
      <c r="S34" s="25"/>
    </row>
    <row r="35" spans="2:19" x14ac:dyDescent="0.3">
      <c r="C35" s="21"/>
      <c r="D35" s="21"/>
      <c r="E35" s="21"/>
      <c r="F35" s="21"/>
      <c r="G35" s="21"/>
      <c r="H35" s="21"/>
      <c r="I35" s="426"/>
      <c r="J35" s="426"/>
      <c r="K35" s="426"/>
      <c r="L35" s="426"/>
      <c r="M35" s="25"/>
      <c r="N35" s="25"/>
      <c r="O35" s="11"/>
      <c r="P35" s="11"/>
      <c r="Q35" s="11"/>
      <c r="R35" s="11"/>
      <c r="S35" s="11"/>
    </row>
    <row r="36" spans="2:19" x14ac:dyDescent="0.3">
      <c r="C36" s="21"/>
      <c r="D36" s="21"/>
      <c r="E36" s="21"/>
      <c r="F36" s="21"/>
      <c r="G36" s="21"/>
      <c r="H36" s="21"/>
      <c r="I36" s="21"/>
      <c r="J36" s="25"/>
      <c r="K36" s="25"/>
      <c r="L36" s="25"/>
      <c r="M36" s="25"/>
      <c r="N36" s="25"/>
      <c r="O36" s="25"/>
      <c r="P36" s="25"/>
      <c r="Q36" s="25"/>
      <c r="R36" s="25"/>
      <c r="S36" s="25"/>
    </row>
    <row r="37" spans="2:19" x14ac:dyDescent="0.3">
      <c r="C37" s="21"/>
      <c r="D37" s="21"/>
      <c r="E37" s="21"/>
      <c r="F37" s="21"/>
      <c r="G37" s="21"/>
      <c r="H37" s="21"/>
      <c r="I37" s="21"/>
      <c r="J37" s="25"/>
      <c r="K37" s="25"/>
      <c r="L37" s="25"/>
      <c r="M37" s="25"/>
      <c r="N37" s="25"/>
      <c r="O37" s="11"/>
      <c r="P37" s="11"/>
      <c r="Q37" s="11"/>
      <c r="R37" s="11"/>
      <c r="S37" s="11"/>
    </row>
    <row r="38" spans="2:19" x14ac:dyDescent="0.3">
      <c r="G38" s="25"/>
      <c r="H38" s="25"/>
      <c r="I38" s="25"/>
      <c r="J38" s="25"/>
      <c r="K38" s="25"/>
      <c r="L38" s="25"/>
      <c r="M38" s="25"/>
      <c r="N38" s="25"/>
      <c r="O38" s="11"/>
      <c r="P38" s="11"/>
      <c r="Q38" s="11"/>
      <c r="R38" s="11"/>
      <c r="S38" s="11"/>
    </row>
    <row r="39" spans="2:19" x14ac:dyDescent="0.3">
      <c r="O39" s="11"/>
      <c r="P39" s="11"/>
      <c r="Q39" s="11"/>
      <c r="R39" s="11"/>
      <c r="S39" s="11"/>
    </row>
    <row r="40" spans="2:19" x14ac:dyDescent="0.3">
      <c r="B40" s="1"/>
      <c r="O40" s="11"/>
      <c r="P40" s="11"/>
      <c r="Q40" s="11"/>
      <c r="R40" s="11"/>
      <c r="S40" s="11"/>
    </row>
    <row r="41" spans="2:19" x14ac:dyDescent="0.3">
      <c r="B41" s="1"/>
    </row>
    <row r="42" spans="2:19" x14ac:dyDescent="0.3">
      <c r="B42" s="1"/>
      <c r="C42" s="3"/>
      <c r="D42" s="3"/>
      <c r="E42" s="3"/>
      <c r="F42" s="3"/>
      <c r="G42" s="3"/>
      <c r="H42" s="3"/>
      <c r="I42" s="3"/>
      <c r="J42" s="3"/>
      <c r="K42" s="3"/>
      <c r="L42" s="3"/>
      <c r="M42" s="3"/>
      <c r="N42" s="3"/>
      <c r="O42" s="3"/>
      <c r="P42" s="3"/>
      <c r="Q42" s="3"/>
      <c r="R42" s="3"/>
      <c r="S42" s="3"/>
    </row>
    <row r="43" spans="2:19" x14ac:dyDescent="0.3">
      <c r="C43" s="21"/>
      <c r="D43" s="21"/>
      <c r="E43" s="21"/>
      <c r="F43" s="21"/>
      <c r="G43" s="21"/>
      <c r="H43" s="21"/>
      <c r="I43" s="21"/>
      <c r="J43" s="21"/>
      <c r="K43" s="21"/>
      <c r="L43" s="21"/>
      <c r="M43" s="21"/>
      <c r="N43" s="21"/>
      <c r="O43" s="21"/>
      <c r="P43" s="21"/>
      <c r="Q43" s="21"/>
      <c r="R43" s="21"/>
      <c r="S43" s="21"/>
    </row>
    <row r="44" spans="2:19" x14ac:dyDescent="0.3">
      <c r="C44" s="21"/>
      <c r="D44" s="21"/>
      <c r="E44" s="21"/>
      <c r="F44" s="21"/>
      <c r="G44" s="21"/>
      <c r="H44" s="21"/>
      <c r="I44" s="21"/>
      <c r="J44" s="21"/>
      <c r="K44" s="21"/>
      <c r="L44" s="21"/>
      <c r="M44" s="21"/>
      <c r="N44" s="21"/>
      <c r="O44" s="21"/>
      <c r="P44" s="21"/>
      <c r="Q44" s="21"/>
      <c r="R44" s="21"/>
      <c r="S44" s="21"/>
    </row>
    <row r="45" spans="2:19" x14ac:dyDescent="0.3">
      <c r="C45" s="21"/>
      <c r="D45" s="21"/>
      <c r="E45" s="21"/>
      <c r="F45" s="21"/>
      <c r="G45" s="21"/>
      <c r="H45" s="21"/>
      <c r="I45" s="21"/>
      <c r="J45" s="21"/>
      <c r="K45" s="21"/>
      <c r="L45" s="21"/>
      <c r="M45" s="21"/>
      <c r="N45" s="21"/>
      <c r="O45" s="21"/>
      <c r="P45" s="21"/>
      <c r="Q45" s="21"/>
      <c r="R45" s="21"/>
      <c r="S45" s="21"/>
    </row>
    <row r="46" spans="2:19" x14ac:dyDescent="0.3">
      <c r="C46" s="21"/>
      <c r="D46" s="21"/>
      <c r="E46" s="21"/>
      <c r="F46" s="21"/>
      <c r="G46" s="21"/>
      <c r="H46" s="21"/>
      <c r="I46" s="21"/>
      <c r="J46" s="21"/>
      <c r="K46" s="21"/>
      <c r="L46" s="21"/>
      <c r="M46" s="21"/>
      <c r="N46" s="21"/>
      <c r="O46" s="21"/>
      <c r="P46" s="21"/>
      <c r="Q46" s="21"/>
      <c r="R46" s="21"/>
      <c r="S46" s="21"/>
    </row>
    <row r="47" spans="2:19" x14ac:dyDescent="0.3">
      <c r="B47" s="8"/>
    </row>
  </sheetData>
  <mergeCells count="3">
    <mergeCell ref="O8:S8"/>
    <mergeCell ref="D7:N7"/>
    <mergeCell ref="O7:S7"/>
  </mergeCells>
  <phoneticPr fontId="30" type="noConversion"/>
  <hyperlinks>
    <hyperlink ref="B3" location="Contents!A1" display="Table of Contents" xr:uid="{00000000-0004-0000-1000-000000000000}"/>
  </hyperlinks>
  <pageMargins left="0.25" right="0.25" top="0.75" bottom="0.75" header="0.3" footer="0.3"/>
  <pageSetup paperSize="9" scale="85" orientation="portrait" r:id="rId1"/>
  <headerFooter>
    <oddFooter>&amp;C_x000D_&amp;1#&amp;"Century Gothic"&amp;7&amp;K7F7F7F BUSINESS USE ONLY</oddFooter>
  </headerFooter>
  <colBreaks count="2" manualBreakCount="2">
    <brk id="19" max="44" man="1"/>
    <brk id="21" max="44"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B59C-6324-4288-8971-05D391D83E93}">
  <dimension ref="B1:AA32"/>
  <sheetViews>
    <sheetView topLeftCell="A3" zoomScale="85" zoomScaleNormal="85" workbookViewId="0">
      <pane xSplit="3" topLeftCell="D1" activePane="topRight" state="frozen"/>
      <selection pane="topRight" activeCell="B3" sqref="B3"/>
    </sheetView>
  </sheetViews>
  <sheetFormatPr defaultRowHeight="14.65" x14ac:dyDescent="0.3"/>
  <cols>
    <col min="1" max="1" width="3.77734375" customWidth="1"/>
    <col min="2" max="2" width="49.33203125" bestFit="1" customWidth="1"/>
    <col min="4" max="4" width="3.77734375" customWidth="1"/>
    <col min="5" max="5" width="12.6640625" bestFit="1" customWidth="1"/>
    <col min="6" max="6" width="21" bestFit="1" customWidth="1"/>
    <col min="7" max="7" width="3.6640625" customWidth="1"/>
    <col min="8" max="14" width="10.5546875" customWidth="1"/>
    <col min="15" max="15" width="4.44140625" customWidth="1"/>
    <col min="16" max="22" width="10.109375" bestFit="1" customWidth="1"/>
    <col min="23" max="23" width="3.44140625" customWidth="1"/>
    <col min="24" max="24" width="14.88671875" bestFit="1" customWidth="1"/>
    <col min="25" max="25" width="22.77734375" bestFit="1" customWidth="1"/>
    <col min="26" max="26" width="10.6640625" customWidth="1"/>
  </cols>
  <sheetData>
    <row r="1" spans="2:27" x14ac:dyDescent="0.3">
      <c r="B1" s="387"/>
      <c r="C1" s="387"/>
      <c r="D1" s="387"/>
      <c r="E1" s="387"/>
      <c r="F1" s="387"/>
      <c r="G1" s="387"/>
      <c r="H1" s="387"/>
      <c r="I1" s="387"/>
      <c r="J1" s="387"/>
      <c r="K1" s="387"/>
      <c r="L1" s="387"/>
      <c r="M1" s="387"/>
      <c r="N1" s="387"/>
      <c r="O1" s="387"/>
      <c r="P1" s="387"/>
      <c r="Q1" s="387"/>
      <c r="R1" s="387"/>
      <c r="S1" s="387"/>
      <c r="T1" s="387"/>
      <c r="U1" s="387"/>
      <c r="V1" s="387"/>
    </row>
    <row r="2" spans="2:27" ht="18.5" x14ac:dyDescent="0.35">
      <c r="B2" s="39" t="s">
        <v>382</v>
      </c>
      <c r="C2" s="387"/>
      <c r="D2" s="387"/>
      <c r="E2" s="387"/>
      <c r="F2" s="387"/>
      <c r="G2" s="387"/>
      <c r="H2" s="387"/>
      <c r="I2" s="387"/>
      <c r="J2" s="387"/>
      <c r="K2" s="387"/>
      <c r="L2" s="387"/>
      <c r="M2" s="387"/>
      <c r="N2" s="387"/>
      <c r="O2" s="387"/>
      <c r="P2" s="387"/>
      <c r="Q2" s="387"/>
      <c r="R2" s="387"/>
      <c r="S2" s="387"/>
      <c r="T2" s="387"/>
      <c r="U2" s="387"/>
      <c r="V2" s="387"/>
    </row>
    <row r="3" spans="2:27" x14ac:dyDescent="0.3">
      <c r="B3" s="40" t="s">
        <v>54</v>
      </c>
      <c r="C3" s="387"/>
      <c r="D3" s="387"/>
      <c r="E3" s="387"/>
      <c r="F3" s="387"/>
      <c r="G3" s="387"/>
      <c r="H3" s="397" t="s">
        <v>160</v>
      </c>
      <c r="I3" s="397" t="s">
        <v>159</v>
      </c>
      <c r="J3" s="397"/>
      <c r="K3" s="397"/>
      <c r="L3" s="397"/>
      <c r="M3" s="397"/>
      <c r="N3" s="397"/>
      <c r="O3" s="387"/>
      <c r="P3" s="397" t="s">
        <v>160</v>
      </c>
      <c r="Q3" s="397" t="s">
        <v>159</v>
      </c>
      <c r="R3" s="387"/>
      <c r="S3" s="387"/>
      <c r="T3" s="387"/>
      <c r="U3" s="387"/>
      <c r="V3" s="387"/>
    </row>
    <row r="4" spans="2:27" x14ac:dyDescent="0.3">
      <c r="B4" s="387"/>
      <c r="C4" s="387"/>
      <c r="D4" s="387"/>
      <c r="E4" s="398"/>
      <c r="F4" s="1" t="s">
        <v>287</v>
      </c>
      <c r="G4" s="387"/>
      <c r="H4" s="399">
        <f>1/Escalation!P11</f>
        <v>1.0405198776758409</v>
      </c>
      <c r="I4" s="399">
        <f>1/Escalation!Q11</f>
        <v>1.071735474006116</v>
      </c>
      <c r="J4" s="399"/>
      <c r="K4" s="399"/>
      <c r="L4" s="399"/>
      <c r="M4" s="399"/>
      <c r="O4" s="419" t="s">
        <v>396</v>
      </c>
      <c r="P4" s="418">
        <f>Escalation!P11</f>
        <v>0.96105804555473928</v>
      </c>
      <c r="Q4" s="418">
        <f>Escalation!Q11</f>
        <v>0.93306606364537792</v>
      </c>
      <c r="R4" s="418"/>
      <c r="S4" s="418"/>
      <c r="T4" s="418"/>
      <c r="U4" s="418"/>
      <c r="V4" s="418"/>
    </row>
    <row r="5" spans="2:27" x14ac:dyDescent="0.3">
      <c r="B5" s="387"/>
      <c r="C5" s="387"/>
      <c r="D5" s="387"/>
      <c r="E5" s="387"/>
      <c r="F5" s="387"/>
      <c r="G5" s="387"/>
      <c r="H5" s="387"/>
      <c r="I5" s="387"/>
      <c r="J5" s="387"/>
      <c r="K5" s="387"/>
      <c r="L5" s="387"/>
      <c r="M5" s="387"/>
      <c r="N5" s="387"/>
      <c r="O5" s="387"/>
      <c r="P5" s="387"/>
      <c r="Q5" s="387"/>
      <c r="R5" s="387"/>
      <c r="S5" s="387"/>
      <c r="T5" s="387"/>
      <c r="U5" s="387"/>
      <c r="V5" s="387"/>
    </row>
    <row r="6" spans="2:27" ht="26.8" customHeight="1" x14ac:dyDescent="0.3">
      <c r="B6" s="387"/>
      <c r="C6" s="387"/>
      <c r="D6" s="387"/>
      <c r="E6" s="387"/>
      <c r="F6" s="387"/>
      <c r="G6" s="387"/>
      <c r="H6" s="561" t="s">
        <v>374</v>
      </c>
      <c r="I6" s="561"/>
      <c r="J6" s="561"/>
      <c r="K6" s="561"/>
      <c r="L6" s="561"/>
      <c r="M6" s="561"/>
      <c r="N6" s="561"/>
      <c r="O6" s="387"/>
      <c r="P6" s="561" t="s">
        <v>375</v>
      </c>
      <c r="Q6" s="561"/>
      <c r="R6" s="561"/>
      <c r="S6" s="561"/>
      <c r="T6" s="561"/>
      <c r="U6" s="561"/>
      <c r="V6" s="561"/>
      <c r="X6" s="561" t="s">
        <v>462</v>
      </c>
      <c r="Y6" s="561"/>
    </row>
    <row r="7" spans="2:27" x14ac:dyDescent="0.3">
      <c r="B7" s="386" t="s">
        <v>376</v>
      </c>
      <c r="C7" s="386" t="s">
        <v>377</v>
      </c>
      <c r="D7" s="387"/>
      <c r="E7" s="386" t="s">
        <v>378</v>
      </c>
      <c r="F7" s="386" t="s">
        <v>379</v>
      </c>
      <c r="G7" s="387"/>
      <c r="H7" s="386" t="s">
        <v>160</v>
      </c>
      <c r="I7" s="386" t="s">
        <v>159</v>
      </c>
      <c r="J7" s="386" t="s">
        <v>225</v>
      </c>
      <c r="K7" s="386" t="s">
        <v>232</v>
      </c>
      <c r="L7" s="386" t="s">
        <v>233</v>
      </c>
      <c r="M7" s="386" t="s">
        <v>234</v>
      </c>
      <c r="N7" s="386" t="s">
        <v>235</v>
      </c>
      <c r="O7" s="387"/>
      <c r="P7" s="386" t="s">
        <v>160</v>
      </c>
      <c r="Q7" s="386" t="s">
        <v>159</v>
      </c>
      <c r="R7" s="386" t="s">
        <v>225</v>
      </c>
      <c r="S7" s="386" t="s">
        <v>232</v>
      </c>
      <c r="T7" s="386" t="s">
        <v>233</v>
      </c>
      <c r="U7" s="386" t="s">
        <v>234</v>
      </c>
      <c r="V7" s="386" t="s">
        <v>235</v>
      </c>
      <c r="X7" s="501" t="s">
        <v>119</v>
      </c>
      <c r="Y7" s="501" t="s">
        <v>461</v>
      </c>
    </row>
    <row r="8" spans="2:27" x14ac:dyDescent="0.3">
      <c r="B8" s="388" t="s">
        <v>83</v>
      </c>
      <c r="C8" s="389">
        <v>1012</v>
      </c>
      <c r="D8" s="387"/>
      <c r="E8" s="390" t="s">
        <v>59</v>
      </c>
      <c r="F8" s="391" t="s">
        <v>381</v>
      </c>
      <c r="G8" s="385"/>
      <c r="H8" s="392">
        <f>Capex_Fcast_Total!G49/H$4</f>
        <v>20882.149901233468</v>
      </c>
      <c r="I8" s="392">
        <f>Capex_Fcast_Total!H49/I$4</f>
        <v>20640.891638595876</v>
      </c>
      <c r="J8" s="392">
        <f>Capex_Fcast_Total!I49</f>
        <v>16893.339252940663</v>
      </c>
      <c r="K8" s="392">
        <f>Capex_Fcast_Total!J49</f>
        <v>16772.43113501908</v>
      </c>
      <c r="L8" s="392">
        <f>Capex_Fcast_Total!K49</f>
        <v>16702.125750597952</v>
      </c>
      <c r="M8" s="392">
        <f>Capex_Fcast_Total!L49</f>
        <v>16691.761343761602</v>
      </c>
      <c r="N8" s="392">
        <f>Capex_Fcast_Total!M49</f>
        <v>16681.848462321366</v>
      </c>
      <c r="O8" s="385"/>
      <c r="P8" s="392">
        <f>Contr_Fcast!M23*H8</f>
        <v>2664.9436572507957</v>
      </c>
      <c r="Q8" s="392">
        <f>Contr_Fcast!N23*I8</f>
        <v>2634.1546973105446</v>
      </c>
      <c r="R8" s="392">
        <f>Contr_Fcast!O23*J8</f>
        <v>2155.8985786827861</v>
      </c>
      <c r="S8" s="392">
        <f>Contr_Fcast!P23*K8</f>
        <v>2140.4684949275584</v>
      </c>
      <c r="T8" s="392">
        <f>Contr_Fcast!Q23*L8</f>
        <v>2131.49624402572</v>
      </c>
      <c r="U8" s="392">
        <f>Contr_Fcast!R23*M8</f>
        <v>2130.1735564485148</v>
      </c>
      <c r="V8" s="392">
        <f>Contr_Fcast!S23*N8</f>
        <v>2128.9084917571786</v>
      </c>
      <c r="X8" s="502">
        <v>0</v>
      </c>
      <c r="Y8" s="502">
        <v>1</v>
      </c>
      <c r="Z8" s="71"/>
      <c r="AA8" s="71"/>
    </row>
    <row r="9" spans="2:27" x14ac:dyDescent="0.3">
      <c r="B9" s="388" t="s">
        <v>84</v>
      </c>
      <c r="C9" s="390">
        <v>1013</v>
      </c>
      <c r="D9" s="387"/>
      <c r="E9" s="390" t="s">
        <v>59</v>
      </c>
      <c r="F9" s="391" t="s">
        <v>381</v>
      </c>
      <c r="G9" s="385"/>
      <c r="H9" s="392">
        <f>Capex_Fcast_Total!G50/H$4</f>
        <v>8882.1337879305065</v>
      </c>
      <c r="I9" s="392">
        <f>Capex_Fcast_Total!H50/I$4</f>
        <v>9638.1549179319718</v>
      </c>
      <c r="J9" s="392">
        <f>Capex_Fcast_Total!I50</f>
        <v>13766.827597407999</v>
      </c>
      <c r="K9" s="392">
        <f>Capex_Fcast_Total!J50</f>
        <v>13880.696957236592</v>
      </c>
      <c r="L9" s="392">
        <f>Capex_Fcast_Total!K50</f>
        <v>13814.845043964613</v>
      </c>
      <c r="M9" s="392">
        <f>Capex_Fcast_Total!L50</f>
        <v>13802.348326036736</v>
      </c>
      <c r="N9" s="392">
        <f>Capex_Fcast_Total!M50</f>
        <v>13801.980626542616</v>
      </c>
      <c r="O9" s="385"/>
      <c r="P9" s="392">
        <f>Contr_Fcast!M24*H9</f>
        <v>5385.2370533432413</v>
      </c>
      <c r="Q9" s="392">
        <f>Contr_Fcast!N24*I9</f>
        <v>5843.6126080918848</v>
      </c>
      <c r="R9" s="392">
        <f>Contr_Fcast!O24*J9</f>
        <v>9330.8873347968947</v>
      </c>
      <c r="S9" s="392">
        <f>Contr_Fcast!P24*K9</f>
        <v>9408.0657667869982</v>
      </c>
      <c r="T9" s="392">
        <f>Contr_Fcast!Q24*L9</f>
        <v>9363.432623880688</v>
      </c>
      <c r="U9" s="392">
        <f>Contr_Fcast!R24*M9</f>
        <v>9354.9625921166735</v>
      </c>
      <c r="V9" s="392">
        <f>Contr_Fcast!S24*N9</f>
        <v>9354.7133725685671</v>
      </c>
      <c r="X9" s="502">
        <v>0</v>
      </c>
      <c r="Y9" s="502">
        <v>1</v>
      </c>
      <c r="Z9" s="71"/>
      <c r="AA9" s="71"/>
    </row>
    <row r="10" spans="2:27" x14ac:dyDescent="0.3">
      <c r="B10" s="388" t="s">
        <v>85</v>
      </c>
      <c r="C10" s="390">
        <v>1014</v>
      </c>
      <c r="D10" s="387"/>
      <c r="E10" s="390" t="s">
        <v>59</v>
      </c>
      <c r="F10" s="391" t="s">
        <v>381</v>
      </c>
      <c r="G10" s="385"/>
      <c r="H10" s="393">
        <f>Capex_Fcast_Total!G51/H$4</f>
        <v>35251.282688355423</v>
      </c>
      <c r="I10" s="393">
        <f>Capex_Fcast_Total!H51/I$4</f>
        <v>29264.13802701858</v>
      </c>
      <c r="J10" s="393">
        <f>Capex_Fcast_Total!I51</f>
        <v>28559.704658087521</v>
      </c>
      <c r="K10" s="393">
        <f>Capex_Fcast_Total!J51</f>
        <v>28373.029635245861</v>
      </c>
      <c r="L10" s="393">
        <f>Capex_Fcast_Total!K51</f>
        <v>28251.078989262995</v>
      </c>
      <c r="M10" s="393">
        <f>Capex_Fcast_Total!L51</f>
        <v>28211.977369709384</v>
      </c>
      <c r="N10" s="393">
        <f>Capex_Fcast_Total!M51</f>
        <v>28204.908903653519</v>
      </c>
      <c r="O10" s="385"/>
      <c r="P10" s="393">
        <f>Contr_Fcast!M25*H10</f>
        <v>8519.248554998836</v>
      </c>
      <c r="Q10" s="393">
        <f>Contr_Fcast!N25*I10</f>
        <v>7072.3232344200278</v>
      </c>
      <c r="R10" s="393">
        <f>Contr_Fcast!O25*J10</f>
        <v>8551.0607113671267</v>
      </c>
      <c r="S10" s="393">
        <f>Contr_Fcast!P25*K10</f>
        <v>8495.1683457868403</v>
      </c>
      <c r="T10" s="393">
        <f>Contr_Fcast!Q25*L10</f>
        <v>8458.6551048386482</v>
      </c>
      <c r="U10" s="393">
        <f>Contr_Fcast!R25*M10</f>
        <v>8446.9476895583211</v>
      </c>
      <c r="V10" s="393">
        <f>Contr_Fcast!S25*N10</f>
        <v>8444.8313202504614</v>
      </c>
      <c r="X10" s="502">
        <v>0</v>
      </c>
      <c r="Y10" s="502">
        <v>1</v>
      </c>
      <c r="Z10" s="71"/>
      <c r="AA10" s="71"/>
    </row>
    <row r="11" spans="2:27" x14ac:dyDescent="0.3">
      <c r="B11" s="388" t="s">
        <v>86</v>
      </c>
      <c r="C11" s="390">
        <v>1018</v>
      </c>
      <c r="D11" s="387"/>
      <c r="E11" s="390" t="s">
        <v>59</v>
      </c>
      <c r="F11" s="391" t="s">
        <v>381</v>
      </c>
      <c r="G11" s="385"/>
      <c r="H11" s="393">
        <f>Capex_Fcast_Total!G52/H$4</f>
        <v>10393.072341480163</v>
      </c>
      <c r="I11" s="393">
        <f>Capex_Fcast_Total!H52/I$4</f>
        <v>10643.39877876227</v>
      </c>
      <c r="J11" s="393">
        <f>Capex_Fcast_Total!I52</f>
        <v>10549.923760747866</v>
      </c>
      <c r="K11" s="393">
        <f>Capex_Fcast_Total!J52</f>
        <v>10637.185190905022</v>
      </c>
      <c r="L11" s="393">
        <f>Capex_Fcast_Total!K52</f>
        <v>10586.720938367311</v>
      </c>
      <c r="M11" s="393">
        <f>Capex_Fcast_Total!L52</f>
        <v>10577.144336897882</v>
      </c>
      <c r="N11" s="393">
        <f>Capex_Fcast_Total!M52</f>
        <v>10576.862557991133</v>
      </c>
      <c r="O11" s="385"/>
      <c r="P11" s="393">
        <f>Contr_Fcast!M26*H11</f>
        <v>5766.3360357625379</v>
      </c>
      <c r="Q11" s="393">
        <f>Contr_Fcast!N26*I11</f>
        <v>5905.2233934731921</v>
      </c>
      <c r="R11" s="393">
        <f>Contr_Fcast!O26*J11</f>
        <v>7977.8588180967445</v>
      </c>
      <c r="S11" s="393">
        <f>Contr_Fcast!P26*K11</f>
        <v>8043.8459650986151</v>
      </c>
      <c r="T11" s="393">
        <f>Contr_Fcast!Q26*L11</f>
        <v>8005.6848663801065</v>
      </c>
      <c r="U11" s="393">
        <f>Contr_Fcast!R26*M11</f>
        <v>7998.4430344756393</v>
      </c>
      <c r="V11" s="393">
        <f>Contr_Fcast!S26*N11</f>
        <v>7998.2299530935425</v>
      </c>
      <c r="X11" s="502">
        <v>0</v>
      </c>
      <c r="Y11" s="502">
        <v>1</v>
      </c>
      <c r="Z11" s="71"/>
      <c r="AA11" s="71"/>
    </row>
    <row r="12" spans="2:27" x14ac:dyDescent="0.3">
      <c r="B12" s="388" t="s">
        <v>78</v>
      </c>
      <c r="C12" s="390">
        <v>1019</v>
      </c>
      <c r="D12" s="387"/>
      <c r="E12" s="390" t="s">
        <v>59</v>
      </c>
      <c r="F12" s="391" t="s">
        <v>381</v>
      </c>
      <c r="G12" s="385"/>
      <c r="H12" s="393">
        <f>Capex_Fcast_Total!G53/H$4</f>
        <v>1729.0768620920937</v>
      </c>
      <c r="I12" s="393">
        <f>Capex_Fcast_Total!H53/I$4</f>
        <v>2448.3624226354191</v>
      </c>
      <c r="J12" s="393">
        <f>Capex_Fcast_Total!I53</f>
        <v>2426.8598249860393</v>
      </c>
      <c r="K12" s="393">
        <f>Capex_Fcast_Total!J53</f>
        <v>2446.933075174551</v>
      </c>
      <c r="L12" s="393">
        <f>Capex_Fcast_Total!K53</f>
        <v>2435.3244920360285</v>
      </c>
      <c r="M12" s="393">
        <f>Capex_Fcast_Total!L53</f>
        <v>2433.1215311527908</v>
      </c>
      <c r="N12" s="393">
        <f>Capex_Fcast_Total!M53</f>
        <v>2433.0567119252951</v>
      </c>
      <c r="O12" s="385"/>
      <c r="P12" s="393">
        <f>Contr_Fcast!M27*H12</f>
        <v>951.65043617702634</v>
      </c>
      <c r="Q12" s="393">
        <f>Contr_Fcast!N27*I12</f>
        <v>1347.5312859147718</v>
      </c>
      <c r="R12" s="393">
        <f>Contr_Fcast!O27*J12</f>
        <v>1870.7832250311606</v>
      </c>
      <c r="S12" s="393">
        <f>Contr_Fcast!P27*K12</f>
        <v>1886.2570069685817</v>
      </c>
      <c r="T12" s="393">
        <f>Contr_Fcast!Q27*L12</f>
        <v>1877.308347314515</v>
      </c>
      <c r="U12" s="393">
        <f>Contr_Fcast!R27*M12</f>
        <v>1875.610160124909</v>
      </c>
      <c r="V12" s="393">
        <f>Contr_Fcast!S27*N12</f>
        <v>1875.5601931996625</v>
      </c>
      <c r="X12" s="502">
        <v>0</v>
      </c>
      <c r="Y12" s="502">
        <v>1</v>
      </c>
      <c r="Z12" s="71"/>
      <c r="AA12" s="71"/>
    </row>
    <row r="13" spans="2:27" x14ac:dyDescent="0.3">
      <c r="B13" s="388" t="s">
        <v>335</v>
      </c>
      <c r="C13" s="390">
        <v>1015</v>
      </c>
      <c r="D13" s="387"/>
      <c r="E13" s="390" t="s">
        <v>59</v>
      </c>
      <c r="F13" s="391" t="s">
        <v>381</v>
      </c>
      <c r="G13" s="385"/>
      <c r="H13" s="393">
        <f>Capex_Fcast_Total!G54/H$4</f>
        <v>819.7609232720954</v>
      </c>
      <c r="I13" s="393">
        <f>Capex_Fcast_Total!H54/I$4</f>
        <v>816.47840669563448</v>
      </c>
      <c r="J13" s="393">
        <f>Capex_Fcast_Total!I54</f>
        <v>796.82450012380741</v>
      </c>
      <c r="K13" s="393">
        <f>Capex_Fcast_Total!J54</f>
        <v>791.6162098581276</v>
      </c>
      <c r="L13" s="393">
        <f>Capex_Fcast_Total!K54</f>
        <v>0</v>
      </c>
      <c r="M13" s="393">
        <f>Capex_Fcast_Total!L54</f>
        <v>0</v>
      </c>
      <c r="N13" s="393">
        <f>Capex_Fcast_Total!M54</f>
        <v>0</v>
      </c>
      <c r="O13" s="385"/>
      <c r="P13" s="393">
        <f>Contr_Fcast!M28*H13</f>
        <v>4094.957224575769</v>
      </c>
      <c r="Q13" s="393">
        <f>Contr_Fcast!N28*I13</f>
        <v>197.31998259249852</v>
      </c>
      <c r="R13" s="393">
        <f>Contr_Fcast!O28*J13</f>
        <v>238.57721073925538</v>
      </c>
      <c r="S13" s="393">
        <f>Contr_Fcast!P28*K13</f>
        <v>237.01779663475278</v>
      </c>
      <c r="T13" s="393">
        <f>Contr_Fcast!Q28*L13</f>
        <v>0</v>
      </c>
      <c r="U13" s="393">
        <f>Contr_Fcast!R28*M13</f>
        <v>0</v>
      </c>
      <c r="V13" s="393">
        <f>Contr_Fcast!S28*N13</f>
        <v>0</v>
      </c>
      <c r="X13" s="502">
        <v>0</v>
      </c>
      <c r="Y13" s="502">
        <v>1</v>
      </c>
      <c r="Z13" s="71"/>
      <c r="AA13" s="71"/>
    </row>
    <row r="14" spans="2:27" x14ac:dyDescent="0.3">
      <c r="B14" s="388" t="s">
        <v>88</v>
      </c>
      <c r="C14" s="390">
        <v>1016</v>
      </c>
      <c r="D14" s="387"/>
      <c r="E14" s="390" t="s">
        <v>59</v>
      </c>
      <c r="F14" s="391" t="s">
        <v>381</v>
      </c>
      <c r="G14" s="385"/>
      <c r="H14" s="393">
        <f>Capex_Fcast_Total!G55/H$4</f>
        <v>433.94641573481061</v>
      </c>
      <c r="I14" s="393">
        <f>Capex_Fcast_Total!H55/I$4</f>
        <v>651.04161408350456</v>
      </c>
      <c r="J14" s="393">
        <f>Capex_Fcast_Total!I55</f>
        <v>638.4693947019656</v>
      </c>
      <c r="K14" s="393">
        <f>Capex_Fcast_Total!J55</f>
        <v>637.3902897812909</v>
      </c>
      <c r="L14" s="393">
        <f>Capex_Fcast_Total!K55</f>
        <v>637.74656785651587</v>
      </c>
      <c r="M14" s="393">
        <f>Capex_Fcast_Total!L55</f>
        <v>621.33061327661039</v>
      </c>
      <c r="N14" s="393">
        <f>Capex_Fcast_Total!M55</f>
        <v>606.02433158999577</v>
      </c>
      <c r="O14" s="385"/>
      <c r="P14" s="393">
        <f>Contr_Fcast!M29*H14</f>
        <v>0</v>
      </c>
      <c r="Q14" s="393">
        <f>Contr_Fcast!N29*I14</f>
        <v>0</v>
      </c>
      <c r="R14" s="393">
        <f>Contr_Fcast!O29*J14</f>
        <v>1.5779675806496185</v>
      </c>
      <c r="S14" s="393">
        <f>Contr_Fcast!P29*K14</f>
        <v>1.5753005889424607</v>
      </c>
      <c r="T14" s="393">
        <f>Contr_Fcast!Q29*L14</f>
        <v>1.576181124888375</v>
      </c>
      <c r="U14" s="393">
        <f>Contr_Fcast!R29*M14</f>
        <v>1.5356093381317064</v>
      </c>
      <c r="V14" s="393">
        <f>Contr_Fcast!S29*N14</f>
        <v>1.4977800913703276</v>
      </c>
      <c r="X14" s="502">
        <v>0</v>
      </c>
      <c r="Y14" s="502">
        <v>1</v>
      </c>
      <c r="Z14" s="71"/>
      <c r="AA14" s="71"/>
    </row>
    <row r="15" spans="2:27" x14ac:dyDescent="0.3">
      <c r="B15" s="388" t="s">
        <v>236</v>
      </c>
      <c r="C15" s="390">
        <v>1048</v>
      </c>
      <c r="D15" s="387"/>
      <c r="E15" s="390" t="s">
        <v>59</v>
      </c>
      <c r="F15" s="391" t="s">
        <v>263</v>
      </c>
      <c r="G15" s="385"/>
      <c r="H15" s="393">
        <f>Capex_Fcast_Total!G56/H$4</f>
        <v>12532.023465826085</v>
      </c>
      <c r="I15" s="393">
        <f>Capex_Fcast_Total!H56/I$4</f>
        <v>26820.045607546632</v>
      </c>
      <c r="J15" s="393">
        <f>Capex_Fcast_Total!I56</f>
        <v>23242.238383176053</v>
      </c>
      <c r="K15" s="393">
        <f>Capex_Fcast_Total!J56</f>
        <v>11137.031458918609</v>
      </c>
      <c r="L15" s="393">
        <f>Capex_Fcast_Total!K56</f>
        <v>6682.9941666185696</v>
      </c>
      <c r="M15" s="393">
        <f>Capex_Fcast_Total!L56</f>
        <v>7318.2151526017415</v>
      </c>
      <c r="N15" s="393">
        <f>Capex_Fcast_Total!M56</f>
        <v>11584.388695799022</v>
      </c>
      <c r="O15" s="385"/>
      <c r="P15" s="393">
        <f>Contr_Fcast!M30*H15</f>
        <v>11438.55952092282</v>
      </c>
      <c r="Q15" s="393">
        <f>Contr_Fcast!N30*I15</f>
        <v>21710.41565933908</v>
      </c>
      <c r="R15" s="393">
        <f>Contr_Fcast!O30*J15</f>
        <v>18260.527601373877</v>
      </c>
      <c r="S15" s="393">
        <f>Contr_Fcast!P30*K15</f>
        <v>7897.8205120948605</v>
      </c>
      <c r="T15" s="393">
        <f>Contr_Fcast!Q30*L15</f>
        <v>3894.8880031893268</v>
      </c>
      <c r="U15" s="393">
        <f>Contr_Fcast!R30*M15</f>
        <v>3686.2120768660629</v>
      </c>
      <c r="V15" s="393">
        <f>Contr_Fcast!S30*N15</f>
        <v>5835.0994912172846</v>
      </c>
      <c r="X15" s="502">
        <v>0.5</v>
      </c>
      <c r="Y15" s="502">
        <v>0.5</v>
      </c>
      <c r="Z15" s="71" t="s">
        <v>463</v>
      </c>
      <c r="AA15" s="71"/>
    </row>
    <row r="16" spans="2:27" x14ac:dyDescent="0.3">
      <c r="B16" s="387"/>
      <c r="C16" s="387"/>
      <c r="D16" s="387"/>
      <c r="E16" s="387"/>
      <c r="F16" s="387"/>
      <c r="G16" s="387"/>
      <c r="H16" s="394"/>
      <c r="I16" s="394"/>
      <c r="J16" s="394"/>
      <c r="K16" s="394"/>
      <c r="L16" s="394"/>
      <c r="M16" s="394"/>
      <c r="N16" s="394"/>
      <c r="O16" s="394"/>
      <c r="P16" s="394"/>
      <c r="Q16" s="394"/>
      <c r="R16" s="394"/>
      <c r="S16" s="394"/>
      <c r="T16" s="394"/>
      <c r="U16" s="394"/>
      <c r="V16" s="394"/>
    </row>
    <row r="17" spans="2:22" x14ac:dyDescent="0.3">
      <c r="C17" s="387"/>
      <c r="D17" s="387"/>
      <c r="E17" s="387"/>
      <c r="F17" s="395" t="s">
        <v>380</v>
      </c>
      <c r="G17" s="387"/>
      <c r="H17" s="396">
        <f>SUM(H8:H15)</f>
        <v>90923.446385924661</v>
      </c>
      <c r="I17" s="396">
        <f t="shared" ref="I17:N17" si="0">SUM(I8:I15)</f>
        <v>100922.51141326989</v>
      </c>
      <c r="J17" s="396">
        <f t="shared" si="0"/>
        <v>96874.187372171917</v>
      </c>
      <c r="K17" s="396">
        <f t="shared" si="0"/>
        <v>84676.313952139142</v>
      </c>
      <c r="L17" s="396">
        <f t="shared" si="0"/>
        <v>79110.835948703985</v>
      </c>
      <c r="M17" s="396">
        <f t="shared" si="0"/>
        <v>79655.89867343675</v>
      </c>
      <c r="N17" s="396">
        <f t="shared" si="0"/>
        <v>83889.07028982295</v>
      </c>
      <c r="O17" s="387"/>
      <c r="P17" s="396">
        <f>SUM(P8:P15)</f>
        <v>38820.932483031029</v>
      </c>
      <c r="Q17" s="396">
        <f t="shared" ref="Q17:V17" si="1">SUM(Q8:Q15)</f>
        <v>44710.580861142</v>
      </c>
      <c r="R17" s="396">
        <f t="shared" si="1"/>
        <v>48387.171447668501</v>
      </c>
      <c r="S17" s="396">
        <f t="shared" si="1"/>
        <v>38110.219188887146</v>
      </c>
      <c r="T17" s="396">
        <f t="shared" si="1"/>
        <v>33733.041370753897</v>
      </c>
      <c r="U17" s="396">
        <f t="shared" si="1"/>
        <v>33493.884718928253</v>
      </c>
      <c r="V17" s="396">
        <f t="shared" si="1"/>
        <v>35638.840602178061</v>
      </c>
    </row>
    <row r="18" spans="2:22" x14ac:dyDescent="0.3">
      <c r="F18" t="s">
        <v>230</v>
      </c>
      <c r="H18" s="71">
        <f>H17-Capex_Fcast_Total!G$57/H4</f>
        <v>0</v>
      </c>
      <c r="I18" s="71">
        <f>I17-Capex_Fcast_Total!H$57/I4</f>
        <v>0</v>
      </c>
      <c r="J18" s="71">
        <f>J17-Capex_Fcast_Total!I$57</f>
        <v>0</v>
      </c>
      <c r="K18" s="71">
        <f>K17-Capex_Fcast_Total!J$57</f>
        <v>0</v>
      </c>
      <c r="L18" s="71">
        <f>L17-Capex_Fcast_Total!K$57</f>
        <v>0</v>
      </c>
      <c r="M18" s="71">
        <f>M17-Capex_Fcast_Total!L$57</f>
        <v>0</v>
      </c>
      <c r="N18" s="71">
        <f>N17-Capex_Fcast_Total!M$57</f>
        <v>0</v>
      </c>
      <c r="P18" s="400">
        <f>P17-SUMPRODUCT(Contr_Fcast!M23:M30,Capex_Model_Inputs!H8:H15)</f>
        <v>0</v>
      </c>
      <c r="Q18" s="400">
        <f>Q17-SUMPRODUCT(Contr_Fcast!N23:N30,Capex_Model_Inputs!I8:I15)</f>
        <v>0</v>
      </c>
      <c r="R18" s="400">
        <f>R17-SUMPRODUCT(Contr_Fcast!O23:O30,Capex_Model_Inputs!J8:J15)</f>
        <v>0</v>
      </c>
      <c r="S18" s="400">
        <f>S17-SUMPRODUCT(Contr_Fcast!P23:P30,Capex_Model_Inputs!K8:K15)</f>
        <v>0</v>
      </c>
      <c r="T18" s="400">
        <f>T17-SUMPRODUCT(Contr_Fcast!Q23:Q30,Capex_Model_Inputs!L8:L15)</f>
        <v>0</v>
      </c>
      <c r="U18" s="400">
        <f>U17-SUMPRODUCT(Contr_Fcast!R23:R30,Capex_Model_Inputs!M8:M15)</f>
        <v>0</v>
      </c>
      <c r="V18" s="400">
        <f>V17-SUMPRODUCT(Contr_Fcast!S23:S30,Capex_Model_Inputs!N8:N15)</f>
        <v>0</v>
      </c>
    </row>
    <row r="19" spans="2:22" x14ac:dyDescent="0.3">
      <c r="P19" s="71"/>
      <c r="Q19" s="71"/>
      <c r="R19" s="71"/>
      <c r="S19" s="71"/>
      <c r="T19" s="71"/>
      <c r="U19" s="71"/>
      <c r="V19" s="71"/>
    </row>
    <row r="20" spans="2:22" ht="26.8" customHeight="1" x14ac:dyDescent="0.3">
      <c r="H20" s="561" t="s">
        <v>384</v>
      </c>
      <c r="I20" s="561"/>
      <c r="J20" s="561"/>
      <c r="K20" s="561"/>
      <c r="L20" s="561"/>
      <c r="M20" s="561"/>
      <c r="N20" s="561"/>
      <c r="V20" s="71"/>
    </row>
    <row r="21" spans="2:22" x14ac:dyDescent="0.3">
      <c r="B21" s="386" t="s">
        <v>376</v>
      </c>
      <c r="C21" s="386" t="s">
        <v>377</v>
      </c>
      <c r="D21" s="387"/>
      <c r="E21" s="386" t="s">
        <v>378</v>
      </c>
      <c r="F21" s="386" t="s">
        <v>379</v>
      </c>
      <c r="H21" s="386"/>
      <c r="I21" s="386"/>
      <c r="J21" s="386"/>
      <c r="K21" s="386"/>
      <c r="L21" s="386"/>
      <c r="M21" s="386"/>
      <c r="N21" s="386"/>
      <c r="P21" s="71"/>
      <c r="Q21" s="71"/>
      <c r="V21" s="71"/>
    </row>
    <row r="22" spans="2:22" x14ac:dyDescent="0.3">
      <c r="B22" s="388" t="s">
        <v>83</v>
      </c>
      <c r="C22" s="389">
        <v>1012</v>
      </c>
      <c r="D22" s="387"/>
      <c r="E22" s="390" t="s">
        <v>59</v>
      </c>
      <c r="F22" s="391" t="s">
        <v>381</v>
      </c>
      <c r="H22" s="392">
        <f>Capex_Fcast_Total!T5</f>
        <v>37000.698504995831</v>
      </c>
      <c r="I22" s="392">
        <f>Capex_Fcast_Total!U5</f>
        <v>36413.605681300309</v>
      </c>
      <c r="J22" s="392">
        <f>Capex_Fcast_Total!V5</f>
        <v>36984.06949062147</v>
      </c>
      <c r="K22" s="392">
        <f>Capex_Fcast_Total!W5</f>
        <v>37535.317676891813</v>
      </c>
      <c r="L22" s="392">
        <f>Capex_Fcast_Total!X5</f>
        <v>37518.504006722345</v>
      </c>
      <c r="M22" s="392">
        <f>Capex_Fcast_Total!Y5</f>
        <v>37536.518653332489</v>
      </c>
      <c r="N22" s="392">
        <f>Capex_Fcast_Total!Z5</f>
        <v>37544.925488417219</v>
      </c>
    </row>
    <row r="23" spans="2:22" x14ac:dyDescent="0.3">
      <c r="B23" s="388" t="s">
        <v>84</v>
      </c>
      <c r="C23" s="390">
        <v>1013</v>
      </c>
      <c r="D23" s="387"/>
      <c r="E23" s="390" t="s">
        <v>59</v>
      </c>
      <c r="F23" s="391" t="s">
        <v>381</v>
      </c>
      <c r="H23" s="392">
        <f>Capex_Fcast_Total!T6</f>
        <v>0</v>
      </c>
      <c r="I23" s="392">
        <f>Capex_Fcast_Total!U6</f>
        <v>0</v>
      </c>
      <c r="J23" s="392">
        <f>Capex_Fcast_Total!V6</f>
        <v>0</v>
      </c>
      <c r="K23" s="392">
        <f>Capex_Fcast_Total!W6</f>
        <v>0</v>
      </c>
      <c r="L23" s="392">
        <f>Capex_Fcast_Total!X6</f>
        <v>0</v>
      </c>
      <c r="M23" s="392">
        <f>Capex_Fcast_Total!Y6</f>
        <v>0</v>
      </c>
      <c r="N23" s="392">
        <f>Capex_Fcast_Total!Z6</f>
        <v>0</v>
      </c>
      <c r="R23" s="71"/>
      <c r="S23" s="71"/>
      <c r="T23" s="71"/>
      <c r="U23" s="71"/>
      <c r="V23" s="71"/>
    </row>
    <row r="24" spans="2:22" x14ac:dyDescent="0.3">
      <c r="B24" s="388" t="s">
        <v>85</v>
      </c>
      <c r="C24" s="390">
        <v>1014</v>
      </c>
      <c r="D24" s="387"/>
      <c r="E24" s="390" t="s">
        <v>59</v>
      </c>
      <c r="F24" s="391" t="s">
        <v>381</v>
      </c>
      <c r="H24" s="392">
        <f>Capex_Fcast_Total!T7</f>
        <v>5232.7614676992389</v>
      </c>
      <c r="I24" s="392">
        <f>Capex_Fcast_Total!U7</f>
        <v>5232.7614676992389</v>
      </c>
      <c r="J24" s="392">
        <f>Capex_Fcast_Total!V7</f>
        <v>5232.7614676992389</v>
      </c>
      <c r="K24" s="392">
        <f>Capex_Fcast_Total!W7</f>
        <v>5232.7614676992389</v>
      </c>
      <c r="L24" s="392">
        <f>Capex_Fcast_Total!X7</f>
        <v>5232.7614676992389</v>
      </c>
      <c r="M24" s="392">
        <f>Capex_Fcast_Total!Y7</f>
        <v>5232.7614676992389</v>
      </c>
      <c r="N24" s="392">
        <f>Capex_Fcast_Total!Z7</f>
        <v>5232.7614676992389</v>
      </c>
      <c r="R24" s="71"/>
      <c r="S24" s="71"/>
      <c r="T24" s="71"/>
      <c r="U24" s="71"/>
      <c r="V24" s="71"/>
    </row>
    <row r="25" spans="2:22" x14ac:dyDescent="0.3">
      <c r="B25" s="388" t="s">
        <v>86</v>
      </c>
      <c r="C25" s="390">
        <v>1018</v>
      </c>
      <c r="D25" s="387"/>
      <c r="E25" s="390" t="s">
        <v>59</v>
      </c>
      <c r="F25" s="391" t="s">
        <v>381</v>
      </c>
      <c r="H25" s="392">
        <f>Capex_Fcast_Total!T8</f>
        <v>0</v>
      </c>
      <c r="I25" s="392">
        <f>Capex_Fcast_Total!U8</f>
        <v>0</v>
      </c>
      <c r="J25" s="392">
        <f>Capex_Fcast_Total!V8</f>
        <v>0</v>
      </c>
      <c r="K25" s="392">
        <f>Capex_Fcast_Total!W8</f>
        <v>0</v>
      </c>
      <c r="L25" s="392">
        <f>Capex_Fcast_Total!X8</f>
        <v>0</v>
      </c>
      <c r="M25" s="392">
        <f>Capex_Fcast_Total!Y8</f>
        <v>0</v>
      </c>
      <c r="N25" s="392">
        <f>Capex_Fcast_Total!Z8</f>
        <v>0</v>
      </c>
      <c r="R25" s="71"/>
      <c r="S25" s="71"/>
      <c r="T25" s="71"/>
      <c r="U25" s="71"/>
      <c r="V25" s="71"/>
    </row>
    <row r="26" spans="2:22" x14ac:dyDescent="0.3">
      <c r="B26" s="388" t="s">
        <v>78</v>
      </c>
      <c r="C26" s="390">
        <v>1019</v>
      </c>
      <c r="D26" s="387"/>
      <c r="E26" s="390" t="s">
        <v>59</v>
      </c>
      <c r="F26" s="391" t="s">
        <v>381</v>
      </c>
      <c r="H26" s="392">
        <f>Capex_Fcast_Total!T9</f>
        <v>2952.7659111553467</v>
      </c>
      <c r="I26" s="392">
        <f>Capex_Fcast_Total!U9</f>
        <v>2952.7659111553467</v>
      </c>
      <c r="J26" s="392">
        <f>Capex_Fcast_Total!V9</f>
        <v>2952.7659111553467</v>
      </c>
      <c r="K26" s="392">
        <f>Capex_Fcast_Total!W9</f>
        <v>2952.7659111553467</v>
      </c>
      <c r="L26" s="392">
        <f>Capex_Fcast_Total!X9</f>
        <v>2952.7659111553467</v>
      </c>
      <c r="M26" s="392">
        <f>Capex_Fcast_Total!Y9</f>
        <v>2952.7659111553467</v>
      </c>
      <c r="N26" s="392">
        <f>Capex_Fcast_Total!Z9</f>
        <v>2952.7659111553467</v>
      </c>
      <c r="V26" s="71"/>
    </row>
    <row r="27" spans="2:22" x14ac:dyDescent="0.3">
      <c r="B27" s="388" t="s">
        <v>335</v>
      </c>
      <c r="C27" s="390">
        <v>1015</v>
      </c>
      <c r="D27" s="387"/>
      <c r="E27" s="390" t="s">
        <v>59</v>
      </c>
      <c r="F27" s="391" t="s">
        <v>381</v>
      </c>
      <c r="H27" s="392">
        <f>Capex_Fcast_Total!T10</f>
        <v>5093.6076414401186</v>
      </c>
      <c r="I27" s="392">
        <f>Capex_Fcast_Total!U10</f>
        <v>0</v>
      </c>
      <c r="J27" s="392">
        <f>Capex_Fcast_Total!V10</f>
        <v>0</v>
      </c>
      <c r="K27" s="392">
        <f>Capex_Fcast_Total!W10</f>
        <v>0</v>
      </c>
      <c r="L27" s="392">
        <f>Capex_Fcast_Total!X10</f>
        <v>0</v>
      </c>
      <c r="M27" s="392">
        <f>Capex_Fcast_Total!Y10</f>
        <v>0</v>
      </c>
      <c r="N27" s="392">
        <f>Capex_Fcast_Total!Z10</f>
        <v>0</v>
      </c>
      <c r="O27" s="71"/>
      <c r="P27" s="71"/>
      <c r="Q27" s="71"/>
      <c r="R27" s="71"/>
      <c r="S27" s="71"/>
      <c r="T27" s="71"/>
      <c r="U27" s="71"/>
      <c r="V27" s="71"/>
    </row>
    <row r="28" spans="2:22" x14ac:dyDescent="0.3">
      <c r="B28" s="388" t="s">
        <v>88</v>
      </c>
      <c r="C28" s="390">
        <v>1016</v>
      </c>
      <c r="D28" s="387"/>
      <c r="E28" s="390" t="s">
        <v>59</v>
      </c>
      <c r="F28" s="391" t="s">
        <v>381</v>
      </c>
      <c r="H28" s="392">
        <f>Capex_Fcast_Total!T11</f>
        <v>0</v>
      </c>
      <c r="I28" s="392">
        <f>Capex_Fcast_Total!U11</f>
        <v>0</v>
      </c>
      <c r="J28" s="392">
        <f>Capex_Fcast_Total!V11</f>
        <v>0</v>
      </c>
      <c r="K28" s="392">
        <f>Capex_Fcast_Total!W11</f>
        <v>0</v>
      </c>
      <c r="L28" s="392">
        <f>Capex_Fcast_Total!X11</f>
        <v>0</v>
      </c>
      <c r="M28" s="392">
        <f>Capex_Fcast_Total!Y11</f>
        <v>0</v>
      </c>
      <c r="N28" s="392">
        <f>Capex_Fcast_Total!Z11</f>
        <v>0</v>
      </c>
      <c r="O28" s="71"/>
      <c r="P28" s="71"/>
      <c r="Q28" s="71"/>
      <c r="R28" s="71"/>
      <c r="S28" s="71"/>
      <c r="T28" s="71"/>
      <c r="U28" s="71"/>
    </row>
    <row r="29" spans="2:22" x14ac:dyDescent="0.3">
      <c r="B29" s="388" t="s">
        <v>236</v>
      </c>
      <c r="C29" s="390">
        <v>1048</v>
      </c>
      <c r="D29" s="387"/>
      <c r="E29" s="390" t="s">
        <v>59</v>
      </c>
      <c r="F29" s="391" t="s">
        <v>263</v>
      </c>
      <c r="H29" s="392">
        <f>Capex_Fcast_Total!T12</f>
        <v>0</v>
      </c>
      <c r="I29" s="392">
        <f>Capex_Fcast_Total!U12</f>
        <v>0</v>
      </c>
      <c r="J29" s="392">
        <f>Capex_Fcast_Total!V12</f>
        <v>0</v>
      </c>
      <c r="K29" s="392">
        <f>Capex_Fcast_Total!W12</f>
        <v>0</v>
      </c>
      <c r="L29" s="392">
        <f>Capex_Fcast_Total!X12</f>
        <v>0</v>
      </c>
      <c r="M29" s="392">
        <f>Capex_Fcast_Total!Y12</f>
        <v>0</v>
      </c>
      <c r="N29" s="392">
        <f>Capex_Fcast_Total!Z12</f>
        <v>0</v>
      </c>
      <c r="O29" s="71"/>
      <c r="P29" s="71"/>
      <c r="Q29" s="71"/>
      <c r="R29" s="71"/>
      <c r="S29" s="71"/>
      <c r="T29" s="71"/>
      <c r="U29" s="71"/>
    </row>
    <row r="30" spans="2:22" x14ac:dyDescent="0.3">
      <c r="H30" s="394"/>
      <c r="I30" s="394"/>
      <c r="J30" s="394"/>
      <c r="K30" s="394"/>
      <c r="L30" s="394"/>
      <c r="M30" s="394"/>
      <c r="N30" s="394"/>
      <c r="O30" s="71"/>
      <c r="P30" s="71"/>
      <c r="Q30" s="71"/>
      <c r="R30" s="71"/>
      <c r="S30" s="71"/>
      <c r="T30" s="71"/>
      <c r="U30" s="71"/>
    </row>
    <row r="31" spans="2:22" x14ac:dyDescent="0.3">
      <c r="F31" s="395" t="s">
        <v>380</v>
      </c>
      <c r="H31" s="396">
        <f>SUM(H22:H29)</f>
        <v>50279.833525290531</v>
      </c>
      <c r="I31" s="396">
        <f t="shared" ref="I31:N31" si="2">SUM(I22:I29)</f>
        <v>44599.133060154891</v>
      </c>
      <c r="J31" s="396">
        <f t="shared" si="2"/>
        <v>45169.596869476052</v>
      </c>
      <c r="K31" s="396">
        <f t="shared" si="2"/>
        <v>45720.845055746395</v>
      </c>
      <c r="L31" s="396">
        <f t="shared" si="2"/>
        <v>45704.031385576927</v>
      </c>
      <c r="M31" s="396">
        <f t="shared" si="2"/>
        <v>45722.046032187071</v>
      </c>
      <c r="N31" s="396">
        <f t="shared" si="2"/>
        <v>45730.452867271801</v>
      </c>
      <c r="O31" s="71"/>
      <c r="P31" s="71"/>
      <c r="Q31" s="71"/>
      <c r="R31" s="71"/>
      <c r="S31" s="71"/>
      <c r="T31" s="71"/>
      <c r="U31" s="71"/>
    </row>
    <row r="32" spans="2:22" x14ac:dyDescent="0.3">
      <c r="F32" t="s">
        <v>230</v>
      </c>
      <c r="H32" s="71">
        <f>H31-Capex_Fcast_Total!T13</f>
        <v>0</v>
      </c>
      <c r="I32" s="71">
        <f>I31-Capex_Fcast_Total!U13</f>
        <v>0</v>
      </c>
      <c r="J32" s="71">
        <f>J31-Capex_Fcast_Total!V13</f>
        <v>0</v>
      </c>
      <c r="K32" s="71">
        <f>K31-Capex_Fcast_Total!W13</f>
        <v>0</v>
      </c>
      <c r="L32" s="71">
        <f>L31-Capex_Fcast_Total!X13</f>
        <v>0</v>
      </c>
      <c r="M32" s="71">
        <f>M31-Capex_Fcast_Total!Y13</f>
        <v>0</v>
      </c>
      <c r="N32" s="71">
        <f>N31-Capex_Fcast_Total!Z13</f>
        <v>0</v>
      </c>
    </row>
  </sheetData>
  <mergeCells count="4">
    <mergeCell ref="H6:N6"/>
    <mergeCell ref="P6:V6"/>
    <mergeCell ref="H20:N20"/>
    <mergeCell ref="X6:Y6"/>
  </mergeCells>
  <hyperlinks>
    <hyperlink ref="B3" location="Contents!A1" display="Table of Contents" xr:uid="{F77DBC78-763C-4CBE-A8B9-02B10AA2D62F}"/>
  </hyperlinks>
  <pageMargins left="0.7" right="0.7" top="0.75" bottom="0.75" header="0.3" footer="0.3"/>
  <ignoredErrors>
    <ignoredError sqref="P8:V12 J9:N15 P14:V15 R13:V13 J8:N8 H8:I15 P13:Q13 H22:N29"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8" tint="-0.249977111117893"/>
  </sheetPr>
  <dimension ref="C3:C4"/>
  <sheetViews>
    <sheetView workbookViewId="0">
      <selection activeCell="C4" sqref="C4"/>
    </sheetView>
  </sheetViews>
  <sheetFormatPr defaultColWidth="9.109375" defaultRowHeight="14.65" x14ac:dyDescent="0.3"/>
  <cols>
    <col min="1" max="16384" width="9.109375" style="26"/>
  </cols>
  <sheetData>
    <row r="3" spans="3:3" ht="18.5" x14ac:dyDescent="0.35">
      <c r="C3" s="27" t="s">
        <v>32</v>
      </c>
    </row>
    <row r="4" spans="3:3" x14ac:dyDescent="0.3">
      <c r="C4" s="41" t="s">
        <v>54</v>
      </c>
    </row>
  </sheetData>
  <hyperlinks>
    <hyperlink ref="C4" location="Contents!A1" display="Table of Contents" xr:uid="{00000000-0004-0000-1800-000000000000}"/>
  </hyperlinks>
  <pageMargins left="0.7" right="0.7" top="0.75" bottom="0.75" header="0.3" footer="0.3"/>
  <headerFooter>
    <oddFooter>&amp;C_x000D_&amp;1#&amp;"Century Gothic"&amp;7&amp;K7F7F7F BUSINESS USE ONLY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B1:AC120"/>
  <sheetViews>
    <sheetView zoomScale="85" zoomScaleNormal="85" workbookViewId="0"/>
  </sheetViews>
  <sheetFormatPr defaultColWidth="9.109375" defaultRowHeight="14.65" x14ac:dyDescent="0.3"/>
  <cols>
    <col min="1" max="1" width="4.88671875" style="31" customWidth="1"/>
    <col min="2" max="2" width="29" style="31" customWidth="1"/>
    <col min="3" max="3" width="68.88671875" style="31" bestFit="1" customWidth="1"/>
    <col min="4" max="4" width="10" style="31" customWidth="1"/>
    <col min="5" max="11" width="9.44140625" style="31" customWidth="1"/>
    <col min="12" max="12" width="9.109375" style="31" customWidth="1"/>
    <col min="13" max="13" width="9" style="31" bestFit="1" customWidth="1"/>
    <col min="14" max="14" width="10.88671875" style="31" customWidth="1"/>
    <col min="15" max="15" width="10.33203125" style="31" customWidth="1"/>
    <col min="16" max="21" width="10.5546875" style="31" bestFit="1" customWidth="1"/>
    <col min="22" max="16384" width="9.109375" style="31"/>
  </cols>
  <sheetData>
    <row r="1" spans="2:29" x14ac:dyDescent="0.3">
      <c r="B1" s="51" t="s">
        <v>54</v>
      </c>
    </row>
    <row r="2" spans="2:29" x14ac:dyDescent="0.3">
      <c r="B2" s="51"/>
    </row>
    <row r="3" spans="2:29" x14ac:dyDescent="0.3">
      <c r="B3" s="168" t="s">
        <v>166</v>
      </c>
    </row>
    <row r="4" spans="2:29" x14ac:dyDescent="0.3">
      <c r="B4" s="168" t="s">
        <v>332</v>
      </c>
      <c r="D4" s="32" t="s">
        <v>15</v>
      </c>
      <c r="E4" s="32"/>
      <c r="F4" s="32"/>
      <c r="G4" s="503" t="s">
        <v>303</v>
      </c>
      <c r="H4" s="504"/>
      <c r="I4" s="504"/>
      <c r="J4" s="504"/>
      <c r="K4" s="505"/>
      <c r="L4" s="32" t="s">
        <v>304</v>
      </c>
    </row>
    <row r="5" spans="2:29" x14ac:dyDescent="0.3">
      <c r="B5" s="165" t="s">
        <v>31</v>
      </c>
      <c r="C5" s="161" t="s">
        <v>145</v>
      </c>
      <c r="D5" s="320" t="str">
        <f>Allocations!J$50</f>
        <v>2023-24</v>
      </c>
      <c r="E5" s="57" t="str">
        <f>Allocations!K$50</f>
        <v>2024-25</v>
      </c>
      <c r="F5" s="57" t="str">
        <f>Allocations!L$50</f>
        <v>2025-26</v>
      </c>
      <c r="G5" s="57" t="str">
        <f>Allocations!M$50</f>
        <v>2026-27</v>
      </c>
      <c r="H5" s="160" t="str">
        <f>Allocations!N$50</f>
        <v>2027–28</v>
      </c>
      <c r="I5" s="58" t="str">
        <f>Allocations!O$50</f>
        <v>2028–29</v>
      </c>
      <c r="J5" s="58" t="str">
        <f>Allocations!P$50</f>
        <v>2029–30</v>
      </c>
      <c r="K5" s="58" t="str">
        <f>Allocations!Q$50</f>
        <v>2030–31</v>
      </c>
      <c r="L5" s="32" t="s">
        <v>305</v>
      </c>
    </row>
    <row r="6" spans="2:29" x14ac:dyDescent="0.3">
      <c r="B6" s="135" t="s">
        <v>26</v>
      </c>
      <c r="C6" s="162" t="s">
        <v>131</v>
      </c>
      <c r="D6" s="326">
        <v>12490.96777351042</v>
      </c>
      <c r="E6" s="375">
        <f>E25+[2]Sheet1!E$21/Thousands*$L6</f>
        <v>11849.219657645815</v>
      </c>
      <c r="F6" s="375">
        <f>F25+[2]Sheet1!F$21/Thousands*$L6</f>
        <v>12277.586520140447</v>
      </c>
      <c r="G6" s="375">
        <f>G25+[2]Sheet1!G$21/Thousands*$L6</f>
        <v>13307.452036364342</v>
      </c>
      <c r="H6" s="376">
        <f>H25+[2]Sheet1!H$21/Thousands*$L6</f>
        <v>13448.887670597987</v>
      </c>
      <c r="I6" s="377">
        <f>I25+[2]Sheet1!I$21/Thousands*$L6</f>
        <v>13558.504153682592</v>
      </c>
      <c r="J6" s="377">
        <f>J25+[2]Sheet1!J$21/Thousands*$L6</f>
        <v>13718.075055764702</v>
      </c>
      <c r="K6" s="377">
        <f>K25+[2]Sheet1!K$21/Thousands*$L6</f>
        <v>13846.924577326819</v>
      </c>
      <c r="L6" s="123">
        <v>0.9</v>
      </c>
      <c r="M6" s="55"/>
      <c r="N6" s="59"/>
      <c r="O6" s="59"/>
      <c r="P6" s="59"/>
      <c r="Q6" s="59"/>
      <c r="R6" s="59"/>
      <c r="S6" s="59"/>
      <c r="T6" s="59"/>
      <c r="U6" s="59"/>
      <c r="W6" s="151"/>
      <c r="X6" s="151"/>
      <c r="Y6" s="151"/>
      <c r="Z6" s="151"/>
      <c r="AA6" s="151"/>
      <c r="AB6" s="151"/>
      <c r="AC6" s="151"/>
    </row>
    <row r="7" spans="2:29" x14ac:dyDescent="0.3">
      <c r="B7" s="140"/>
      <c r="C7" s="163" t="s">
        <v>132</v>
      </c>
      <c r="D7" s="327">
        <v>8993.0583240862306</v>
      </c>
      <c r="E7" s="65">
        <f t="shared" ref="E7:K7" si="0">E26</f>
        <v>11022.895258893392</v>
      </c>
      <c r="F7" s="65">
        <f t="shared" si="0"/>
        <v>11813.074933890632</v>
      </c>
      <c r="G7" s="65">
        <f t="shared" si="0"/>
        <v>14327.960998259099</v>
      </c>
      <c r="H7" s="141">
        <f t="shared" si="0"/>
        <v>14553.663304229915</v>
      </c>
      <c r="I7" s="67">
        <f t="shared" si="0"/>
        <v>14622.25033292847</v>
      </c>
      <c r="J7" s="67">
        <f t="shared" si="0"/>
        <v>14764.613288642377</v>
      </c>
      <c r="K7" s="67">
        <f t="shared" si="0"/>
        <v>14894.076020230959</v>
      </c>
      <c r="M7" s="55"/>
      <c r="N7" s="59"/>
      <c r="O7" s="59"/>
      <c r="P7" s="59"/>
      <c r="Q7" s="59"/>
      <c r="R7" s="59"/>
      <c r="S7" s="59"/>
      <c r="T7" s="59"/>
      <c r="U7" s="59"/>
      <c r="W7" s="151"/>
      <c r="X7" s="151"/>
      <c r="Y7" s="151"/>
      <c r="Z7" s="151"/>
      <c r="AA7" s="151"/>
      <c r="AB7" s="151"/>
      <c r="AC7" s="151"/>
    </row>
    <row r="8" spans="2:29" x14ac:dyDescent="0.3">
      <c r="B8" s="143"/>
      <c r="C8" s="164" t="s">
        <v>133</v>
      </c>
      <c r="D8" s="328">
        <v>6029.2695280586086</v>
      </c>
      <c r="E8" s="125">
        <f t="shared" ref="E8:K8" si="1">E27</f>
        <v>6689.3157123320361</v>
      </c>
      <c r="F8" s="125">
        <f t="shared" si="1"/>
        <v>7168.8413896952361</v>
      </c>
      <c r="G8" s="125">
        <f t="shared" si="1"/>
        <v>8695.0163618770675</v>
      </c>
      <c r="H8" s="142">
        <f t="shared" si="1"/>
        <v>8831.9852748695066</v>
      </c>
      <c r="I8" s="126">
        <f t="shared" si="1"/>
        <v>8873.6077595216448</v>
      </c>
      <c r="J8" s="126">
        <f t="shared" si="1"/>
        <v>8960.0016455329205</v>
      </c>
      <c r="K8" s="126">
        <f t="shared" si="1"/>
        <v>9038.5669465937499</v>
      </c>
      <c r="M8" s="55"/>
      <c r="N8" s="59"/>
      <c r="O8" s="59"/>
      <c r="P8" s="59"/>
      <c r="Q8" s="59"/>
      <c r="R8" s="59"/>
      <c r="S8" s="59"/>
      <c r="T8" s="59"/>
      <c r="U8" s="59"/>
      <c r="W8" s="151"/>
      <c r="X8" s="151"/>
      <c r="Y8" s="151"/>
      <c r="Z8" s="151"/>
      <c r="AA8" s="151"/>
      <c r="AB8" s="151"/>
      <c r="AC8" s="151"/>
    </row>
    <row r="9" spans="2:29" x14ac:dyDescent="0.3">
      <c r="B9" s="135" t="s">
        <v>27</v>
      </c>
      <c r="C9" s="162" t="s">
        <v>131</v>
      </c>
      <c r="D9" s="326">
        <v>1054.8214843517251</v>
      </c>
      <c r="E9" s="375">
        <f>E28+[2]Sheet1!E$21/Thousands*$L9</f>
        <v>898.91472538660332</v>
      </c>
      <c r="F9" s="375">
        <f>F28+[2]Sheet1!F$21/Thousands*$L9</f>
        <v>910.57540767781052</v>
      </c>
      <c r="G9" s="375">
        <f>G28+[2]Sheet1!G$21/Thousands*$L9</f>
        <v>929.36833137396764</v>
      </c>
      <c r="H9" s="376">
        <f>H28+[2]Sheet1!H$21/Thousands*$L9</f>
        <v>936.87533307389015</v>
      </c>
      <c r="I9" s="377">
        <f>I28+[2]Sheet1!I$21/Thousands*$L9</f>
        <v>947.18882565154775</v>
      </c>
      <c r="J9" s="377">
        <f>J28+[2]Sheet1!J$21/Thousands*$L9</f>
        <v>960.41620571865121</v>
      </c>
      <c r="K9" s="377">
        <f>K28+[2]Sheet1!K$21/Thousands*$L9</f>
        <v>970.69084323637458</v>
      </c>
      <c r="L9" s="123">
        <v>0.1</v>
      </c>
      <c r="M9" s="55"/>
      <c r="N9" s="59"/>
      <c r="O9" s="59"/>
      <c r="P9" s="59"/>
      <c r="Q9" s="59"/>
      <c r="R9" s="59"/>
      <c r="S9" s="59"/>
      <c r="T9" s="59"/>
      <c r="U9" s="59"/>
      <c r="W9" s="151"/>
      <c r="X9" s="151"/>
      <c r="Y9" s="151"/>
      <c r="Z9" s="151"/>
      <c r="AA9" s="151"/>
      <c r="AB9" s="151"/>
      <c r="AC9" s="151"/>
    </row>
    <row r="10" spans="2:29" x14ac:dyDescent="0.3">
      <c r="B10" s="140"/>
      <c r="C10" s="163" t="s">
        <v>134</v>
      </c>
      <c r="D10" s="327">
        <v>7134.3917430307365</v>
      </c>
      <c r="E10" s="65">
        <f t="shared" ref="E10:K10" si="2">E29</f>
        <v>7548.0936173613072</v>
      </c>
      <c r="F10" s="65">
        <f t="shared" si="2"/>
        <v>6478.0016072104936</v>
      </c>
      <c r="G10" s="65">
        <f t="shared" si="2"/>
        <v>8107.1806189799254</v>
      </c>
      <c r="H10" s="141">
        <f t="shared" si="2"/>
        <v>8354.1688905928113</v>
      </c>
      <c r="I10" s="67">
        <f t="shared" si="2"/>
        <v>8598.0435433999428</v>
      </c>
      <c r="J10" s="67">
        <f t="shared" si="2"/>
        <v>8935.1191280927542</v>
      </c>
      <c r="K10" s="67">
        <f t="shared" si="2"/>
        <v>9255.8215875772967</v>
      </c>
      <c r="M10" s="55"/>
      <c r="N10" s="59"/>
      <c r="O10" s="59"/>
      <c r="P10" s="59"/>
      <c r="Q10" s="59"/>
      <c r="R10" s="59"/>
      <c r="S10" s="59"/>
      <c r="T10" s="59"/>
      <c r="U10" s="59"/>
      <c r="W10" s="151"/>
      <c r="X10" s="151"/>
      <c r="Y10" s="151"/>
      <c r="Z10" s="151"/>
      <c r="AA10" s="151"/>
      <c r="AB10" s="151"/>
      <c r="AC10" s="151"/>
    </row>
    <row r="11" spans="2:29" x14ac:dyDescent="0.3">
      <c r="B11" s="140"/>
      <c r="C11" s="163" t="s">
        <v>135</v>
      </c>
      <c r="D11" s="327">
        <v>10067.522472319517</v>
      </c>
      <c r="E11" s="65">
        <f t="shared" ref="E11:K11" si="3">E30</f>
        <v>13187.996467829351</v>
      </c>
      <c r="F11" s="65">
        <f t="shared" si="3"/>
        <v>11318.336343627712</v>
      </c>
      <c r="G11" s="65">
        <f t="shared" si="3"/>
        <v>14164.830854938238</v>
      </c>
      <c r="H11" s="141">
        <f t="shared" si="3"/>
        <v>14596.367693078928</v>
      </c>
      <c r="I11" s="67">
        <f t="shared" si="3"/>
        <v>15022.46442993126</v>
      </c>
      <c r="J11" s="67">
        <f t="shared" si="3"/>
        <v>15611.401431202095</v>
      </c>
      <c r="K11" s="67">
        <f t="shared" si="3"/>
        <v>16171.731379041939</v>
      </c>
      <c r="M11" s="55"/>
      <c r="N11" s="59"/>
      <c r="O11" s="59"/>
      <c r="P11" s="59"/>
      <c r="Q11" s="59"/>
      <c r="R11" s="59"/>
      <c r="S11" s="59"/>
      <c r="T11" s="59"/>
      <c r="U11" s="59"/>
      <c r="W11" s="151"/>
      <c r="X11" s="151"/>
      <c r="Y11" s="151"/>
      <c r="Z11" s="151"/>
      <c r="AA11" s="151"/>
      <c r="AB11" s="151"/>
      <c r="AC11" s="151"/>
    </row>
    <row r="12" spans="2:29" x14ac:dyDescent="0.3">
      <c r="B12" s="140"/>
      <c r="C12" s="163" t="s">
        <v>136</v>
      </c>
      <c r="D12" s="327">
        <v>16013.379878462219</v>
      </c>
      <c r="E12" s="65">
        <f t="shared" ref="E12:K12" si="4">E31</f>
        <v>17220.388452465355</v>
      </c>
      <c r="F12" s="65">
        <f t="shared" si="4"/>
        <v>14779.056769417357</v>
      </c>
      <c r="G12" s="65">
        <f t="shared" si="4"/>
        <v>18495.901957551214</v>
      </c>
      <c r="H12" s="141">
        <f t="shared" si="4"/>
        <v>19059.386487021555</v>
      </c>
      <c r="I12" s="67">
        <f t="shared" si="4"/>
        <v>19615.767537382329</v>
      </c>
      <c r="J12" s="67">
        <f t="shared" si="4"/>
        <v>20384.779264118341</v>
      </c>
      <c r="K12" s="67">
        <f t="shared" si="4"/>
        <v>21116.436979290593</v>
      </c>
      <c r="M12" s="55"/>
      <c r="N12" s="59"/>
      <c r="O12" s="59"/>
      <c r="P12" s="59"/>
      <c r="Q12" s="59"/>
      <c r="R12" s="59"/>
      <c r="S12" s="59"/>
      <c r="T12" s="59"/>
      <c r="U12" s="59"/>
      <c r="W12" s="151"/>
      <c r="X12" s="151"/>
      <c r="Y12" s="151"/>
      <c r="Z12" s="151"/>
      <c r="AA12" s="151"/>
      <c r="AB12" s="151"/>
      <c r="AC12" s="151"/>
    </row>
    <row r="13" spans="2:29" x14ac:dyDescent="0.3">
      <c r="B13" s="143"/>
      <c r="C13" s="164" t="s">
        <v>137</v>
      </c>
      <c r="D13" s="328">
        <v>969.60674022755825</v>
      </c>
      <c r="E13" s="125">
        <f t="shared" ref="E13:K13" si="5">E32</f>
        <v>710.76178666605983</v>
      </c>
      <c r="F13" s="125">
        <f t="shared" si="5"/>
        <v>5651.6750736329423</v>
      </c>
      <c r="G13" s="125">
        <f t="shared" si="5"/>
        <v>10945.461701490343</v>
      </c>
      <c r="H13" s="142">
        <f t="shared" si="5"/>
        <v>10892.175748377018</v>
      </c>
      <c r="I13" s="126">
        <f t="shared" si="5"/>
        <v>13038.826470496411</v>
      </c>
      <c r="J13" s="126">
        <f t="shared" si="5"/>
        <v>7969.5081154694981</v>
      </c>
      <c r="K13" s="126">
        <f t="shared" si="5"/>
        <v>871.56898445418699</v>
      </c>
      <c r="M13" s="55"/>
      <c r="N13" s="59"/>
      <c r="O13" s="59"/>
      <c r="P13" s="59"/>
      <c r="Q13" s="59"/>
      <c r="R13" s="59"/>
      <c r="S13" s="59"/>
      <c r="T13" s="59"/>
      <c r="U13" s="59"/>
      <c r="W13" s="151"/>
      <c r="X13" s="151"/>
      <c r="Y13" s="151"/>
      <c r="Z13" s="151"/>
      <c r="AA13" s="151"/>
      <c r="AB13" s="151"/>
      <c r="AC13" s="151"/>
    </row>
    <row r="14" spans="2:29" x14ac:dyDescent="0.3">
      <c r="B14" s="135" t="s">
        <v>28</v>
      </c>
      <c r="C14" s="162" t="s">
        <v>132</v>
      </c>
      <c r="D14" s="326">
        <v>1214.0940172444957</v>
      </c>
      <c r="E14" s="159">
        <f t="shared" ref="E14:K14" si="6">E33</f>
        <v>2623.0844638689896</v>
      </c>
      <c r="F14" s="159">
        <f t="shared" si="6"/>
        <v>2650.1061960629727</v>
      </c>
      <c r="G14" s="159">
        <f t="shared" si="6"/>
        <v>2255.6919985591499</v>
      </c>
      <c r="H14" s="138">
        <f t="shared" si="6"/>
        <v>2260.2701834588815</v>
      </c>
      <c r="I14" s="153">
        <f t="shared" si="6"/>
        <v>2272.55414926511</v>
      </c>
      <c r="J14" s="153">
        <f t="shared" si="6"/>
        <v>2297.4382581319373</v>
      </c>
      <c r="K14" s="153">
        <f t="shared" si="6"/>
        <v>2318.3629312465218</v>
      </c>
      <c r="M14" s="55"/>
      <c r="N14" s="59"/>
      <c r="O14" s="59"/>
      <c r="P14" s="59"/>
      <c r="Q14" s="59"/>
      <c r="R14" s="59"/>
      <c r="S14" s="59"/>
      <c r="T14" s="59"/>
      <c r="U14" s="59"/>
      <c r="W14" s="151"/>
      <c r="X14" s="151"/>
      <c r="Y14" s="151"/>
      <c r="Z14" s="151"/>
      <c r="AA14" s="151"/>
      <c r="AB14" s="151"/>
      <c r="AC14" s="151"/>
    </row>
    <row r="15" spans="2:29" x14ac:dyDescent="0.3">
      <c r="B15" s="140"/>
      <c r="C15" s="163" t="s">
        <v>138</v>
      </c>
      <c r="D15" s="327">
        <v>18017.806549398916</v>
      </c>
      <c r="E15" s="65">
        <f t="shared" ref="E15:K15" si="7">E34</f>
        <v>19924.213611449042</v>
      </c>
      <c r="F15" s="65">
        <f t="shared" si="7"/>
        <v>20129.463107529005</v>
      </c>
      <c r="G15" s="65">
        <f t="shared" si="7"/>
        <v>17133.6035266814</v>
      </c>
      <c r="H15" s="141">
        <f t="shared" si="7"/>
        <v>17168.378134648246</v>
      </c>
      <c r="I15" s="67">
        <f t="shared" si="7"/>
        <v>17261.683692319089</v>
      </c>
      <c r="J15" s="67">
        <f t="shared" si="7"/>
        <v>17450.696401373047</v>
      </c>
      <c r="K15" s="67">
        <f t="shared" si="7"/>
        <v>17609.634347377956</v>
      </c>
      <c r="M15" s="55"/>
      <c r="N15" s="59"/>
      <c r="O15" s="59"/>
      <c r="P15" s="59"/>
      <c r="Q15" s="59"/>
      <c r="R15" s="59"/>
      <c r="S15" s="59"/>
      <c r="T15" s="59"/>
      <c r="U15" s="59"/>
      <c r="W15" s="151"/>
      <c r="X15" s="151"/>
      <c r="Y15" s="151"/>
      <c r="Z15" s="151"/>
      <c r="AA15" s="151"/>
      <c r="AB15" s="151"/>
      <c r="AC15" s="151"/>
    </row>
    <row r="16" spans="2:29" x14ac:dyDescent="0.3">
      <c r="B16" s="143"/>
      <c r="C16" s="164" t="s">
        <v>139</v>
      </c>
      <c r="D16" s="328">
        <v>1017.4388544730222</v>
      </c>
      <c r="E16" s="125">
        <f t="shared" ref="E16:K16" si="8">E35</f>
        <v>1038.4709875879571</v>
      </c>
      <c r="F16" s="125">
        <f t="shared" si="8"/>
        <v>1049.1688073891664</v>
      </c>
      <c r="G16" s="125">
        <f t="shared" si="8"/>
        <v>893.021452303096</v>
      </c>
      <c r="H16" s="142">
        <f t="shared" si="8"/>
        <v>894.8339414774523</v>
      </c>
      <c r="I16" s="126">
        <f t="shared" si="8"/>
        <v>899.69712536573422</v>
      </c>
      <c r="J16" s="126">
        <f t="shared" si="8"/>
        <v>909.54866673473191</v>
      </c>
      <c r="K16" s="126">
        <f t="shared" si="8"/>
        <v>917.83267979400148</v>
      </c>
      <c r="M16" s="55"/>
      <c r="N16" s="59"/>
      <c r="O16" s="59"/>
      <c r="P16" s="59"/>
      <c r="Q16" s="59"/>
      <c r="R16" s="59"/>
      <c r="S16" s="59"/>
      <c r="T16" s="59"/>
      <c r="U16" s="59"/>
      <c r="W16" s="151"/>
      <c r="X16" s="151"/>
      <c r="Y16" s="151"/>
      <c r="Z16" s="151"/>
      <c r="AA16" s="151"/>
      <c r="AB16" s="151"/>
      <c r="AC16" s="151"/>
    </row>
    <row r="17" spans="2:29" x14ac:dyDescent="0.3">
      <c r="B17" s="135" t="s">
        <v>29</v>
      </c>
      <c r="C17" s="162" t="s">
        <v>131</v>
      </c>
      <c r="D17" s="326">
        <v>0</v>
      </c>
      <c r="E17" s="159">
        <f t="shared" ref="E17:K17" si="9">E36</f>
        <v>0</v>
      </c>
      <c r="F17" s="159">
        <f t="shared" si="9"/>
        <v>0</v>
      </c>
      <c r="G17" s="159">
        <f t="shared" si="9"/>
        <v>0</v>
      </c>
      <c r="H17" s="138">
        <f t="shared" si="9"/>
        <v>0</v>
      </c>
      <c r="I17" s="153">
        <f t="shared" si="9"/>
        <v>0</v>
      </c>
      <c r="J17" s="153">
        <f t="shared" si="9"/>
        <v>0</v>
      </c>
      <c r="K17" s="153">
        <f t="shared" si="9"/>
        <v>0</v>
      </c>
      <c r="M17" s="55"/>
      <c r="N17" s="59"/>
      <c r="O17" s="59"/>
      <c r="P17" s="59"/>
      <c r="Q17" s="59"/>
      <c r="R17" s="59"/>
      <c r="S17" s="59"/>
      <c r="T17" s="59"/>
      <c r="U17" s="59"/>
      <c r="W17" s="151"/>
      <c r="X17" s="151"/>
      <c r="Y17" s="151"/>
      <c r="Z17" s="151"/>
      <c r="AA17" s="151"/>
      <c r="AB17" s="151"/>
      <c r="AC17" s="151"/>
    </row>
    <row r="18" spans="2:29" x14ac:dyDescent="0.3">
      <c r="B18" s="140"/>
      <c r="C18" s="163" t="s">
        <v>140</v>
      </c>
      <c r="D18" s="327">
        <v>-83.634785403210984</v>
      </c>
      <c r="E18" s="65">
        <f t="shared" ref="E18:K18" si="10">E37</f>
        <v>878.56686167471048</v>
      </c>
      <c r="F18" s="65">
        <f t="shared" si="10"/>
        <v>875.04887221570414</v>
      </c>
      <c r="G18" s="65">
        <f t="shared" si="10"/>
        <v>874.08812858181841</v>
      </c>
      <c r="H18" s="141">
        <f t="shared" si="10"/>
        <v>874.98636878760919</v>
      </c>
      <c r="I18" s="67">
        <f t="shared" si="10"/>
        <v>0</v>
      </c>
      <c r="J18" s="67">
        <f t="shared" si="10"/>
        <v>0</v>
      </c>
      <c r="K18" s="67">
        <f t="shared" si="10"/>
        <v>0</v>
      </c>
      <c r="M18" s="55"/>
      <c r="N18" s="59"/>
      <c r="O18" s="59"/>
      <c r="P18" s="59"/>
      <c r="Q18" s="59"/>
      <c r="R18" s="59"/>
      <c r="S18" s="59"/>
      <c r="T18" s="59"/>
      <c r="U18" s="59"/>
      <c r="W18" s="151"/>
      <c r="X18" s="151"/>
      <c r="Y18" s="151"/>
      <c r="Z18" s="151"/>
      <c r="AA18" s="151"/>
      <c r="AB18" s="151"/>
      <c r="AC18" s="151"/>
    </row>
    <row r="19" spans="2:29" x14ac:dyDescent="0.3">
      <c r="B19" s="143"/>
      <c r="C19" s="164" t="s">
        <v>141</v>
      </c>
      <c r="D19" s="328">
        <v>5261.9102026048922</v>
      </c>
      <c r="E19" s="125">
        <f t="shared" ref="E19:K19" si="11">E38</f>
        <v>13431.01410940289</v>
      </c>
      <c r="F19" s="125">
        <f t="shared" si="11"/>
        <v>28743.994292069638</v>
      </c>
      <c r="G19" s="125">
        <f t="shared" si="11"/>
        <v>25470.684174354566</v>
      </c>
      <c r="H19" s="142">
        <f t="shared" si="11"/>
        <v>12293.855199877898</v>
      </c>
      <c r="I19" s="126">
        <f t="shared" si="11"/>
        <v>7443.2524336529586</v>
      </c>
      <c r="J19" s="126">
        <f t="shared" si="11"/>
        <v>8237.9953750380664</v>
      </c>
      <c r="K19" s="126">
        <f t="shared" si="11"/>
        <v>13156.668769795637</v>
      </c>
      <c r="M19" s="55"/>
      <c r="N19" s="59"/>
      <c r="O19" s="59"/>
      <c r="P19" s="59"/>
      <c r="Q19" s="59"/>
      <c r="R19" s="59"/>
      <c r="S19" s="59"/>
      <c r="T19" s="59"/>
      <c r="U19" s="59"/>
      <c r="W19" s="151"/>
      <c r="X19" s="151"/>
      <c r="Y19" s="151"/>
      <c r="Z19" s="151"/>
      <c r="AA19" s="151"/>
      <c r="AB19" s="151"/>
      <c r="AC19" s="151"/>
    </row>
    <row r="20" spans="2:29" x14ac:dyDescent="0.3">
      <c r="B20" s="146"/>
      <c r="C20" s="148"/>
      <c r="D20" s="167">
        <f>SUM(D6:D19)</f>
        <v>88180.632782365137</v>
      </c>
      <c r="E20" s="167">
        <f>SUM(E6:E19)</f>
        <v>107022.93571256351</v>
      </c>
      <c r="F20" s="167">
        <f t="shared" ref="F20:K20" si="12">SUM(F6:F19)</f>
        <v>123844.92932055912</v>
      </c>
      <c r="G20" s="167">
        <f t="shared" si="12"/>
        <v>135600.26214131425</v>
      </c>
      <c r="H20" s="167">
        <f t="shared" si="12"/>
        <v>124165.83423009168</v>
      </c>
      <c r="I20" s="167">
        <f t="shared" si="12"/>
        <v>122153.84045359709</v>
      </c>
      <c r="J20" s="167">
        <f t="shared" si="12"/>
        <v>120199.59283581912</v>
      </c>
      <c r="K20" s="167">
        <f t="shared" si="12"/>
        <v>120168.31604596604</v>
      </c>
    </row>
    <row r="21" spans="2:29" x14ac:dyDescent="0.3">
      <c r="B21" s="51"/>
      <c r="D21" s="158">
        <v>0</v>
      </c>
      <c r="E21" s="158">
        <v>0</v>
      </c>
      <c r="F21" s="158">
        <v>0</v>
      </c>
      <c r="G21" s="158">
        <v>0</v>
      </c>
      <c r="H21" s="158">
        <v>0</v>
      </c>
      <c r="I21" s="158">
        <v>0</v>
      </c>
      <c r="J21" s="158">
        <v>0</v>
      </c>
      <c r="K21" s="158">
        <v>1.6370904631912708E-11</v>
      </c>
    </row>
    <row r="22" spans="2:29" x14ac:dyDescent="0.3">
      <c r="B22" s="168" t="s">
        <v>156</v>
      </c>
    </row>
    <row r="23" spans="2:29" x14ac:dyDescent="0.3">
      <c r="B23" s="168" t="s">
        <v>332</v>
      </c>
      <c r="D23" s="32" t="s">
        <v>15</v>
      </c>
      <c r="G23" s="503" t="s">
        <v>303</v>
      </c>
      <c r="H23" s="504"/>
      <c r="I23" s="504"/>
      <c r="J23" s="504"/>
      <c r="K23" s="505"/>
    </row>
    <row r="24" spans="2:29" x14ac:dyDescent="0.3">
      <c r="B24" s="165" t="s">
        <v>31</v>
      </c>
      <c r="C24" s="161" t="s">
        <v>145</v>
      </c>
      <c r="D24" s="320" t="str">
        <f>Allocations!J$50</f>
        <v>2023-24</v>
      </c>
      <c r="E24" s="57" t="str">
        <f>Allocations!K$50</f>
        <v>2024-25</v>
      </c>
      <c r="F24" s="57" t="str">
        <f>Allocations!L$50</f>
        <v>2025-26</v>
      </c>
      <c r="G24" s="57" t="str">
        <f>Allocations!M$50</f>
        <v>2026-27</v>
      </c>
      <c r="H24" s="160" t="str">
        <f>Allocations!N$50</f>
        <v>2027–28</v>
      </c>
      <c r="I24" s="58" t="str">
        <f>Allocations!O$50</f>
        <v>2028–29</v>
      </c>
      <c r="J24" s="58" t="str">
        <f>Allocations!P$50</f>
        <v>2029–30</v>
      </c>
      <c r="K24" s="58" t="str">
        <f>Allocations!Q$50</f>
        <v>2030–31</v>
      </c>
    </row>
    <row r="25" spans="2:29" x14ac:dyDescent="0.3">
      <c r="B25" s="135" t="s">
        <v>26</v>
      </c>
      <c r="C25" s="162" t="s">
        <v>131</v>
      </c>
      <c r="D25" s="326">
        <v>3511.9495082486765</v>
      </c>
      <c r="E25" s="159">
        <f>Direct_view!H$36*Historical_CY!$O5</f>
        <v>4011.7641673953412</v>
      </c>
      <c r="F25" s="159">
        <f>Direct_view!I$36*Historical_CY!$O5</f>
        <v>4299.3487294821871</v>
      </c>
      <c r="G25" s="159">
        <f>Direct_view!J$36*Historical_CY!$O5</f>
        <v>5214.6372776497201</v>
      </c>
      <c r="H25" s="138">
        <f>Direct_view!K$36*Historical_CY!$O5</f>
        <v>5296.7812518348755</v>
      </c>
      <c r="I25" s="153">
        <f>Direct_view!L$36*Historical_CY!$O5</f>
        <v>5321.7433854321243</v>
      </c>
      <c r="J25" s="153">
        <f>Direct_view!M$36*Historical_CY!$O5</f>
        <v>5373.5561434311403</v>
      </c>
      <c r="K25" s="153">
        <f>Direct_view!N$36*Historical_CY!$O5</f>
        <v>5420.6738865831639</v>
      </c>
      <c r="N25" s="54"/>
      <c r="O25" s="32"/>
    </row>
    <row r="26" spans="2:29" x14ac:dyDescent="0.3">
      <c r="B26" s="140"/>
      <c r="C26" s="163" t="s">
        <v>132</v>
      </c>
      <c r="D26" s="327">
        <v>8993.0583240862306</v>
      </c>
      <c r="E26" s="65">
        <f>Direct_view!H$36*Historical_CY!$O6</f>
        <v>11022.895258893392</v>
      </c>
      <c r="F26" s="65">
        <f>Direct_view!I$36*Historical_CY!$O6</f>
        <v>11813.074933890632</v>
      </c>
      <c r="G26" s="65">
        <f>Direct_view!J$36*Historical_CY!$O6</f>
        <v>14327.960998259099</v>
      </c>
      <c r="H26" s="141">
        <f>Direct_view!K$36*Historical_CY!$O6</f>
        <v>14553.663304229915</v>
      </c>
      <c r="I26" s="67">
        <f>Direct_view!L$36*Historical_CY!$O6</f>
        <v>14622.25033292847</v>
      </c>
      <c r="J26" s="67">
        <f>Direct_view!M$36*Historical_CY!$O6</f>
        <v>14764.613288642377</v>
      </c>
      <c r="K26" s="67">
        <f>Direct_view!N$36*Historical_CY!$O6</f>
        <v>14894.076020230959</v>
      </c>
    </row>
    <row r="27" spans="2:29" x14ac:dyDescent="0.3">
      <c r="B27" s="143"/>
      <c r="C27" s="164" t="s">
        <v>133</v>
      </c>
      <c r="D27" s="328">
        <v>6029.2695280586086</v>
      </c>
      <c r="E27" s="125">
        <f>Direct_view!H$36*Historical_CY!$O7</f>
        <v>6689.3157123320361</v>
      </c>
      <c r="F27" s="125">
        <f>Direct_view!I$36*Historical_CY!$O7</f>
        <v>7168.8413896952361</v>
      </c>
      <c r="G27" s="125">
        <f>Direct_view!J$36*Historical_CY!$O7</f>
        <v>8695.0163618770675</v>
      </c>
      <c r="H27" s="142">
        <f>Direct_view!K$36*Historical_CY!$O7</f>
        <v>8831.9852748695066</v>
      </c>
      <c r="I27" s="126">
        <f>Direct_view!L$36*Historical_CY!$O7</f>
        <v>8873.6077595216448</v>
      </c>
      <c r="J27" s="126">
        <f>Direct_view!M$36*Historical_CY!$O7</f>
        <v>8960.0016455329205</v>
      </c>
      <c r="K27" s="126">
        <f>Direct_view!N$36*Historical_CY!$O7</f>
        <v>9038.5669465937499</v>
      </c>
      <c r="N27" s="55"/>
    </row>
    <row r="28" spans="2:29" x14ac:dyDescent="0.3">
      <c r="B28" s="135" t="s">
        <v>27</v>
      </c>
      <c r="C28" s="162" t="s">
        <v>131</v>
      </c>
      <c r="D28" s="326">
        <v>14.044920216224325</v>
      </c>
      <c r="E28" s="159">
        <f>(Direct_view!H$42-Direct_view!H$39)*Historical_CY!$O8</f>
        <v>28.08633758099494</v>
      </c>
      <c r="F28" s="159">
        <f>(Direct_view!I$42-Direct_view!I$39)*Historical_CY!$O8</f>
        <v>24.104542049114936</v>
      </c>
      <c r="G28" s="159">
        <f>(Direct_view!J$42-Direct_view!J$39)*Historical_CY!$O8</f>
        <v>30.166691516787296</v>
      </c>
      <c r="H28" s="138">
        <f>(Direct_view!K$42-Direct_view!K$39)*Historical_CY!$O8</f>
        <v>31.085730989099915</v>
      </c>
      <c r="I28" s="153">
        <f>(Direct_view!L$42-Direct_view!L$39)*Historical_CY!$O8</f>
        <v>31.993184734829097</v>
      </c>
      <c r="J28" s="153">
        <f>(Direct_view!M$42-Direct_view!M$39)*Historical_CY!$O8</f>
        <v>33.247437681588799</v>
      </c>
      <c r="K28" s="153">
        <f>(Direct_view!N$42-Direct_view!N$39)*Historical_CY!$O8</f>
        <v>34.440766487079557</v>
      </c>
      <c r="N28" s="55"/>
    </row>
    <row r="29" spans="2:29" x14ac:dyDescent="0.3">
      <c r="B29" s="140"/>
      <c r="C29" s="163" t="s">
        <v>134</v>
      </c>
      <c r="D29" s="327">
        <v>7134.3917430307365</v>
      </c>
      <c r="E29" s="65">
        <f>(Direct_view!H$42-Direct_view!H$39)*Historical_CY!$O9</f>
        <v>7548.0936173613072</v>
      </c>
      <c r="F29" s="65">
        <f>(Direct_view!I$42-Direct_view!I$39)*Historical_CY!$O9</f>
        <v>6478.0016072104936</v>
      </c>
      <c r="G29" s="65">
        <f>(Direct_view!J$42-Direct_view!J$39)*Historical_CY!$O9</f>
        <v>8107.1806189799254</v>
      </c>
      <c r="H29" s="141">
        <f>(Direct_view!K$42-Direct_view!K$39)*Historical_CY!$O9</f>
        <v>8354.1688905928113</v>
      </c>
      <c r="I29" s="67">
        <f>(Direct_view!L$42-Direct_view!L$39)*Historical_CY!$O9</f>
        <v>8598.0435433999428</v>
      </c>
      <c r="J29" s="67">
        <f>(Direct_view!M$42-Direct_view!M$39)*Historical_CY!$O9</f>
        <v>8935.1191280927542</v>
      </c>
      <c r="K29" s="67">
        <f>(Direct_view!N$42-Direct_view!N$39)*Historical_CY!$O9</f>
        <v>9255.8215875772967</v>
      </c>
      <c r="N29" s="55"/>
    </row>
    <row r="30" spans="2:29" x14ac:dyDescent="0.3">
      <c r="B30" s="140"/>
      <c r="C30" s="163" t="s">
        <v>135</v>
      </c>
      <c r="D30" s="327">
        <v>10067.522472319517</v>
      </c>
      <c r="E30" s="65">
        <f>(Direct_view!H$42-Direct_view!H$39)*Historical_CY!$O10</f>
        <v>13187.996467829351</v>
      </c>
      <c r="F30" s="65">
        <f>(Direct_view!I$42-Direct_view!I$39)*Historical_CY!$O10</f>
        <v>11318.336343627712</v>
      </c>
      <c r="G30" s="65">
        <f>(Direct_view!J$42-Direct_view!J$39)*Historical_CY!$O10</f>
        <v>14164.830854938238</v>
      </c>
      <c r="H30" s="141">
        <f>(Direct_view!K$42-Direct_view!K$39)*Historical_CY!$O10</f>
        <v>14596.367693078928</v>
      </c>
      <c r="I30" s="67">
        <f>(Direct_view!L$42-Direct_view!L$39)*Historical_CY!$O10</f>
        <v>15022.46442993126</v>
      </c>
      <c r="J30" s="67">
        <f>(Direct_view!M$42-Direct_view!M$39)*Historical_CY!$O10</f>
        <v>15611.401431202095</v>
      </c>
      <c r="K30" s="67">
        <f>(Direct_view!N$42-Direct_view!N$39)*Historical_CY!$O10</f>
        <v>16171.731379041939</v>
      </c>
      <c r="N30" s="55"/>
      <c r="P30" s="123"/>
    </row>
    <row r="31" spans="2:29" x14ac:dyDescent="0.3">
      <c r="B31" s="140"/>
      <c r="C31" s="163" t="s">
        <v>136</v>
      </c>
      <c r="D31" s="327">
        <v>16013.379878462219</v>
      </c>
      <c r="E31" s="65">
        <f>(Direct_view!H$42-Direct_view!H$39)*Historical_CY!$O11</f>
        <v>17220.388452465355</v>
      </c>
      <c r="F31" s="65">
        <f>(Direct_view!I$42-Direct_view!I$39)*Historical_CY!$O11</f>
        <v>14779.056769417357</v>
      </c>
      <c r="G31" s="65">
        <f>(Direct_view!J$42-Direct_view!J$39)*Historical_CY!$O11</f>
        <v>18495.901957551214</v>
      </c>
      <c r="H31" s="141">
        <f>(Direct_view!K$42-Direct_view!K$39)*Historical_CY!$O11</f>
        <v>19059.386487021555</v>
      </c>
      <c r="I31" s="67">
        <f>(Direct_view!L$42-Direct_view!L$39)*Historical_CY!$O11</f>
        <v>19615.767537382329</v>
      </c>
      <c r="J31" s="67">
        <f>(Direct_view!M$42-Direct_view!M$39)*Historical_CY!$O11</f>
        <v>20384.779264118341</v>
      </c>
      <c r="K31" s="67">
        <f>(Direct_view!N$42-Direct_view!N$39)*Historical_CY!$O11</f>
        <v>21116.436979290593</v>
      </c>
      <c r="N31" s="55"/>
    </row>
    <row r="32" spans="2:29" x14ac:dyDescent="0.3">
      <c r="B32" s="143"/>
      <c r="C32" s="164" t="s">
        <v>137</v>
      </c>
      <c r="D32" s="328">
        <v>969.60674022755825</v>
      </c>
      <c r="E32" s="125">
        <f>(Direct_view!H$42-Direct_view!H$39)*Historical_CY!$O12+Direct_view!H39</f>
        <v>710.76178666605983</v>
      </c>
      <c r="F32" s="125">
        <f>(Direct_view!I$42-Direct_view!I$39)*Historical_CY!$O12+Direct_view!I39</f>
        <v>5651.6750736329423</v>
      </c>
      <c r="G32" s="125">
        <f>(Direct_view!J$42-Direct_view!J$39)*Historical_CY!$O12+Direct_view!J39</f>
        <v>10945.461701490343</v>
      </c>
      <c r="H32" s="142">
        <f>(Direct_view!K$42-Direct_view!K$39)*Historical_CY!$O12+Direct_view!K39</f>
        <v>10892.175748377018</v>
      </c>
      <c r="I32" s="126">
        <f>(Direct_view!L$42-Direct_view!L$39)*Historical_CY!$O12+Direct_view!L39</f>
        <v>13038.826470496411</v>
      </c>
      <c r="J32" s="126">
        <f>(Direct_view!M$42-Direct_view!M$39)*Historical_CY!$O12+Direct_view!M39</f>
        <v>7969.5081154694981</v>
      </c>
      <c r="K32" s="126">
        <f>(Direct_view!N$42-Direct_view!N$39)*Historical_CY!$O12+Direct_view!N39</f>
        <v>871.56898445418699</v>
      </c>
      <c r="N32" s="55"/>
    </row>
    <row r="33" spans="2:16" x14ac:dyDescent="0.3">
      <c r="B33" s="135" t="s">
        <v>28</v>
      </c>
      <c r="C33" s="162" t="s">
        <v>132</v>
      </c>
      <c r="D33" s="326">
        <v>1214.0940172444957</v>
      </c>
      <c r="E33" s="159">
        <f>Direct_view!H$45*Historical_CY!$O13</f>
        <v>2623.0844638689896</v>
      </c>
      <c r="F33" s="159">
        <f>Direct_view!I$45*Historical_CY!$O13</f>
        <v>2650.1061960629727</v>
      </c>
      <c r="G33" s="159">
        <f>Direct_view!J$45*Historical_CY!$O13</f>
        <v>2255.6919985591499</v>
      </c>
      <c r="H33" s="138">
        <f>Direct_view!K$45*Historical_CY!$O13</f>
        <v>2260.2701834588815</v>
      </c>
      <c r="I33" s="153">
        <f>Direct_view!L$45*Historical_CY!$O13</f>
        <v>2272.55414926511</v>
      </c>
      <c r="J33" s="153">
        <f>Direct_view!M$45*Historical_CY!$O13</f>
        <v>2297.4382581319373</v>
      </c>
      <c r="K33" s="153">
        <f>Direct_view!N$45*Historical_CY!$O13</f>
        <v>2318.3629312465218</v>
      </c>
      <c r="N33" s="55"/>
    </row>
    <row r="34" spans="2:16" x14ac:dyDescent="0.3">
      <c r="B34" s="140"/>
      <c r="C34" s="163" t="s">
        <v>138</v>
      </c>
      <c r="D34" s="327">
        <v>18017.806549398916</v>
      </c>
      <c r="E34" s="65">
        <f>Direct_view!H$45*Historical_CY!$O14</f>
        <v>19924.213611449042</v>
      </c>
      <c r="F34" s="65">
        <f>Direct_view!I$45*Historical_CY!$O14</f>
        <v>20129.463107529005</v>
      </c>
      <c r="G34" s="65">
        <f>Direct_view!J$45*Historical_CY!$O14</f>
        <v>17133.6035266814</v>
      </c>
      <c r="H34" s="141">
        <f>Direct_view!K$45*Historical_CY!$O14</f>
        <v>17168.378134648246</v>
      </c>
      <c r="I34" s="67">
        <f>Direct_view!L$45*Historical_CY!$O14</f>
        <v>17261.683692319089</v>
      </c>
      <c r="J34" s="67">
        <f>Direct_view!M$45*Historical_CY!$O14</f>
        <v>17450.696401373047</v>
      </c>
      <c r="K34" s="67">
        <f>Direct_view!N$45*Historical_CY!$O14</f>
        <v>17609.634347377956</v>
      </c>
      <c r="N34" s="55"/>
    </row>
    <row r="35" spans="2:16" x14ac:dyDescent="0.3">
      <c r="B35" s="143"/>
      <c r="C35" s="164" t="s">
        <v>139</v>
      </c>
      <c r="D35" s="328">
        <v>1017.4388544730222</v>
      </c>
      <c r="E35" s="125">
        <f>Direct_view!H$45*Historical_CY!$O15</f>
        <v>1038.4709875879571</v>
      </c>
      <c r="F35" s="125">
        <f>Direct_view!I$45*Historical_CY!$O15</f>
        <v>1049.1688073891664</v>
      </c>
      <c r="G35" s="125">
        <f>Direct_view!J$45*Historical_CY!$O15</f>
        <v>893.021452303096</v>
      </c>
      <c r="H35" s="142">
        <f>Direct_view!K$45*Historical_CY!$O15</f>
        <v>894.8339414774523</v>
      </c>
      <c r="I35" s="126">
        <f>Direct_view!L$45*Historical_CY!$O15</f>
        <v>899.69712536573422</v>
      </c>
      <c r="J35" s="126">
        <f>Direct_view!M$45*Historical_CY!$O15</f>
        <v>909.54866673473191</v>
      </c>
      <c r="K35" s="126">
        <f>Direct_view!N$45*Historical_CY!$O15</f>
        <v>917.83267979400148</v>
      </c>
      <c r="N35" s="55"/>
    </row>
    <row r="36" spans="2:16" x14ac:dyDescent="0.3">
      <c r="B36" s="135" t="s">
        <v>29</v>
      </c>
      <c r="C36" s="162" t="s">
        <v>131</v>
      </c>
      <c r="D36" s="326">
        <v>0</v>
      </c>
      <c r="E36" s="159"/>
      <c r="F36" s="159"/>
      <c r="G36" s="159"/>
      <c r="H36" s="138"/>
      <c r="I36" s="153"/>
      <c r="J36" s="153"/>
      <c r="K36" s="153"/>
      <c r="N36" s="55"/>
      <c r="P36" s="123"/>
    </row>
    <row r="37" spans="2:16" x14ac:dyDescent="0.3">
      <c r="B37" s="140"/>
      <c r="C37" s="163" t="s">
        <v>140</v>
      </c>
      <c r="D37" s="327">
        <v>-83.634785403210984</v>
      </c>
      <c r="E37" s="65">
        <f>Direct_view!H46</f>
        <v>878.56686167471048</v>
      </c>
      <c r="F37" s="65">
        <f>Direct_view!I46</f>
        <v>875.04887221570414</v>
      </c>
      <c r="G37" s="65">
        <f>Direct_view!J46</f>
        <v>874.08812858181841</v>
      </c>
      <c r="H37" s="141">
        <f>Direct_view!K46</f>
        <v>874.98636878760919</v>
      </c>
      <c r="I37" s="67">
        <f>Direct_view!L46</f>
        <v>0</v>
      </c>
      <c r="J37" s="67">
        <f>Direct_view!M46</f>
        <v>0</v>
      </c>
      <c r="K37" s="67">
        <f>Direct_view!N46</f>
        <v>0</v>
      </c>
      <c r="N37" s="55"/>
      <c r="P37" s="123"/>
    </row>
    <row r="38" spans="2:16" x14ac:dyDescent="0.3">
      <c r="B38" s="143"/>
      <c r="C38" s="164" t="s">
        <v>141</v>
      </c>
      <c r="D38" s="328">
        <v>5261.9102026048922</v>
      </c>
      <c r="E38" s="125">
        <f>Direct_view!H47+Direct_view!H48</f>
        <v>13431.01410940289</v>
      </c>
      <c r="F38" s="125">
        <f>Direct_view!I47+Direct_view!I48</f>
        <v>28743.994292069638</v>
      </c>
      <c r="G38" s="125">
        <f>Direct_view!J47+Direct_view!J48</f>
        <v>25470.684174354566</v>
      </c>
      <c r="H38" s="142">
        <f>Direct_view!K47+Direct_view!K48</f>
        <v>12293.855199877898</v>
      </c>
      <c r="I38" s="126">
        <f>Direct_view!L47+Direct_view!L48</f>
        <v>7443.2524336529586</v>
      </c>
      <c r="J38" s="126">
        <f>Direct_view!M47+Direct_view!M48</f>
        <v>8237.9953750380664</v>
      </c>
      <c r="K38" s="126">
        <f>Direct_view!N47+Direct_view!N48</f>
        <v>13156.668769795637</v>
      </c>
      <c r="N38" s="55"/>
    </row>
    <row r="39" spans="2:16" x14ac:dyDescent="0.3">
      <c r="B39" s="146"/>
      <c r="C39" s="148"/>
      <c r="D39" s="167">
        <f>SUM(D25:D38)</f>
        <v>78160.837952967893</v>
      </c>
      <c r="E39" s="167">
        <f>SUM(E25:E38)</f>
        <v>98314.651834507444</v>
      </c>
      <c r="F39" s="167">
        <f t="shared" ref="F39:K39" si="13">SUM(F25:F38)</f>
        <v>114980.22066427216</v>
      </c>
      <c r="G39" s="167">
        <f t="shared" si="13"/>
        <v>126608.24574274244</v>
      </c>
      <c r="H39" s="167">
        <f t="shared" si="13"/>
        <v>115107.93820924379</v>
      </c>
      <c r="I39" s="167">
        <f t="shared" si="13"/>
        <v>113001.88404442991</v>
      </c>
      <c r="J39" s="167">
        <f t="shared" si="13"/>
        <v>110927.90515544849</v>
      </c>
      <c r="K39" s="167">
        <f t="shared" si="13"/>
        <v>110805.81527847308</v>
      </c>
      <c r="N39" s="55"/>
    </row>
    <row r="40" spans="2:16" x14ac:dyDescent="0.3">
      <c r="D40" s="151">
        <f>D39-Direct_view!G50</f>
        <v>0</v>
      </c>
      <c r="E40" s="151">
        <f>E39-Direct_view!H50</f>
        <v>0</v>
      </c>
      <c r="F40" s="151">
        <f>F39-Direct_view!I50</f>
        <v>0</v>
      </c>
      <c r="G40" s="151">
        <f>G39-Direct_view!J50</f>
        <v>0</v>
      </c>
      <c r="H40" s="151">
        <f>H39-Direct_view!K50</f>
        <v>0</v>
      </c>
      <c r="I40" s="151">
        <f>I39-Direct_view!L50</f>
        <v>0</v>
      </c>
      <c r="J40" s="151">
        <f>J39-Direct_view!M50</f>
        <v>0</v>
      </c>
      <c r="K40" s="151">
        <f>K39-Direct_view!N50</f>
        <v>0</v>
      </c>
      <c r="N40" s="55"/>
    </row>
    <row r="41" spans="2:16" x14ac:dyDescent="0.3">
      <c r="B41" s="31" t="s">
        <v>26</v>
      </c>
      <c r="D41" s="151">
        <f>SUM(D25:D27)</f>
        <v>18534.277360393517</v>
      </c>
      <c r="E41" s="151">
        <f t="shared" ref="E41:K41" si="14">SUM(E25:E27)</f>
        <v>21723.975138620772</v>
      </c>
      <c r="F41" s="151">
        <f t="shared" si="14"/>
        <v>23281.265053068055</v>
      </c>
      <c r="G41" s="151">
        <f t="shared" si="14"/>
        <v>28237.614637785886</v>
      </c>
      <c r="H41" s="151">
        <f t="shared" si="14"/>
        <v>28682.429830934299</v>
      </c>
      <c r="I41" s="151">
        <f t="shared" si="14"/>
        <v>28817.601477882239</v>
      </c>
      <c r="J41" s="151">
        <f t="shared" si="14"/>
        <v>29098.171077606439</v>
      </c>
      <c r="K41" s="151">
        <f t="shared" si="14"/>
        <v>29353.316853407872</v>
      </c>
      <c r="N41" s="55"/>
    </row>
    <row r="42" spans="2:16" x14ac:dyDescent="0.3">
      <c r="B42" s="31" t="s">
        <v>27</v>
      </c>
      <c r="D42" s="151">
        <f>SUM(D28:D32)</f>
        <v>34198.945754256252</v>
      </c>
      <c r="E42" s="151">
        <f t="shared" ref="E42:K42" si="15">SUM(E28:E32)</f>
        <v>38695.326661903062</v>
      </c>
      <c r="F42" s="151">
        <f t="shared" si="15"/>
        <v>38251.17433593762</v>
      </c>
      <c r="G42" s="151">
        <f t="shared" si="15"/>
        <v>51743.54182447651</v>
      </c>
      <c r="H42" s="151">
        <f t="shared" si="15"/>
        <v>52933.184550059414</v>
      </c>
      <c r="I42" s="151">
        <f t="shared" si="15"/>
        <v>56307.095165944775</v>
      </c>
      <c r="J42" s="151">
        <f t="shared" si="15"/>
        <v>52934.055376564276</v>
      </c>
      <c r="K42" s="151">
        <f t="shared" si="15"/>
        <v>47449.99969685109</v>
      </c>
      <c r="N42" s="55"/>
    </row>
    <row r="43" spans="2:16" x14ac:dyDescent="0.3">
      <c r="B43" s="31" t="s">
        <v>28</v>
      </c>
      <c r="D43" s="151">
        <f>SUM(D33:D35)</f>
        <v>20249.339421116434</v>
      </c>
      <c r="E43" s="151">
        <f t="shared" ref="E43:K43" si="16">SUM(E33:E35)</f>
        <v>23585.769062905987</v>
      </c>
      <c r="F43" s="151">
        <f t="shared" si="16"/>
        <v>23828.738110981147</v>
      </c>
      <c r="G43" s="151">
        <f t="shared" si="16"/>
        <v>20282.316977543644</v>
      </c>
      <c r="H43" s="151">
        <f t="shared" si="16"/>
        <v>20323.48225958458</v>
      </c>
      <c r="I43" s="151">
        <f t="shared" si="16"/>
        <v>20433.934966949935</v>
      </c>
      <c r="J43" s="151">
        <f t="shared" si="16"/>
        <v>20657.683326239716</v>
      </c>
      <c r="K43" s="151">
        <f t="shared" si="16"/>
        <v>20845.829958418479</v>
      </c>
      <c r="N43" s="55"/>
    </row>
    <row r="44" spans="2:16" x14ac:dyDescent="0.3">
      <c r="B44" s="31" t="s">
        <v>29</v>
      </c>
      <c r="D44" s="349">
        <f>SUM(D36:D38)</f>
        <v>5178.2754172016812</v>
      </c>
      <c r="E44" s="349">
        <f t="shared" ref="E44:K44" si="17">SUM(E36:E38)</f>
        <v>14309.580971077599</v>
      </c>
      <c r="F44" s="349">
        <f t="shared" si="17"/>
        <v>29619.04316428534</v>
      </c>
      <c r="G44" s="349">
        <f t="shared" si="17"/>
        <v>26344.772302936384</v>
      </c>
      <c r="H44" s="349">
        <f t="shared" si="17"/>
        <v>13168.841568665508</v>
      </c>
      <c r="I44" s="349">
        <f t="shared" si="17"/>
        <v>7443.2524336529586</v>
      </c>
      <c r="J44" s="349">
        <f t="shared" si="17"/>
        <v>8237.9953750380664</v>
      </c>
      <c r="K44" s="349">
        <f t="shared" si="17"/>
        <v>13156.668769795637</v>
      </c>
      <c r="N44" s="55"/>
    </row>
    <row r="45" spans="2:16" x14ac:dyDescent="0.3">
      <c r="D45" s="151">
        <f>SUM(D41:D44)</f>
        <v>78160.837952967879</v>
      </c>
      <c r="E45" s="151">
        <f t="shared" ref="E45:K45" si="18">SUM(E41:E44)</f>
        <v>98314.651834507415</v>
      </c>
      <c r="F45" s="151">
        <f t="shared" si="18"/>
        <v>114980.22066427216</v>
      </c>
      <c r="G45" s="151">
        <f t="shared" si="18"/>
        <v>126608.24574274242</v>
      </c>
      <c r="H45" s="151">
        <f t="shared" si="18"/>
        <v>115107.93820924379</v>
      </c>
      <c r="I45" s="151">
        <f t="shared" si="18"/>
        <v>113001.88404442991</v>
      </c>
      <c r="J45" s="151">
        <f t="shared" si="18"/>
        <v>110927.90515544849</v>
      </c>
      <c r="K45" s="151">
        <f t="shared" si="18"/>
        <v>110805.81527847306</v>
      </c>
      <c r="N45" s="55"/>
    </row>
    <row r="46" spans="2:16" x14ac:dyDescent="0.3">
      <c r="B46" s="168" t="s">
        <v>156</v>
      </c>
      <c r="E46" s="151"/>
      <c r="F46" s="151"/>
      <c r="G46" s="151"/>
      <c r="H46" s="151"/>
      <c r="I46" s="151"/>
      <c r="J46" s="151"/>
      <c r="K46" s="151"/>
      <c r="N46" s="55"/>
    </row>
    <row r="47" spans="2:16" x14ac:dyDescent="0.3">
      <c r="B47" s="168" t="s">
        <v>422</v>
      </c>
      <c r="D47" s="32" t="s">
        <v>15</v>
      </c>
      <c r="E47" s="151"/>
      <c r="F47" s="151"/>
      <c r="G47" s="503" t="s">
        <v>303</v>
      </c>
      <c r="H47" s="504"/>
      <c r="I47" s="504"/>
      <c r="J47" s="504"/>
      <c r="K47" s="505"/>
      <c r="N47" s="55"/>
    </row>
    <row r="48" spans="2:16" x14ac:dyDescent="0.3">
      <c r="B48" s="165" t="s">
        <v>31</v>
      </c>
      <c r="C48" s="161" t="s">
        <v>145</v>
      </c>
      <c r="D48" s="320" t="str">
        <f>Allocations!J$50</f>
        <v>2023-24</v>
      </c>
      <c r="E48" s="57" t="str">
        <f>Allocations!K$50</f>
        <v>2024-25</v>
      </c>
      <c r="F48" s="57" t="str">
        <f>Allocations!L$50</f>
        <v>2025-26</v>
      </c>
      <c r="G48" s="57" t="str">
        <f>Allocations!M$50</f>
        <v>2026-27</v>
      </c>
      <c r="H48" s="160" t="str">
        <f>Allocations!N$50</f>
        <v>2027–28</v>
      </c>
      <c r="I48" s="58" t="str">
        <f>Allocations!O$50</f>
        <v>2028–29</v>
      </c>
      <c r="J48" s="58" t="str">
        <f>Allocations!P$50</f>
        <v>2029–30</v>
      </c>
      <c r="K48" s="58" t="str">
        <f>Allocations!Q$50</f>
        <v>2030–31</v>
      </c>
      <c r="L48" s="55"/>
      <c r="M48" s="55"/>
      <c r="N48" s="55"/>
    </row>
    <row r="49" spans="2:15" x14ac:dyDescent="0.3">
      <c r="B49" s="135" t="s">
        <v>26</v>
      </c>
      <c r="C49" s="162" t="s">
        <v>131</v>
      </c>
      <c r="D49" s="326">
        <v>1943.8235418232468</v>
      </c>
      <c r="E49" s="159">
        <f>CapCon_view!H$35*Historical_CY!$O5</f>
        <v>2272.8984955967621</v>
      </c>
      <c r="F49" s="159">
        <f>CapCon_view!I$35*Historical_CY!$O5</f>
        <v>2418.4835132148678</v>
      </c>
      <c r="G49" s="159">
        <f>CapCon_view!J$35*Historical_CY!$O5</f>
        <v>3900.3107379701019</v>
      </c>
      <c r="H49" s="138">
        <f>CapCon_view!K$35*Historical_CY!$O5</f>
        <v>3962.5803679611167</v>
      </c>
      <c r="I49" s="153">
        <f>CapCon_view!L$35*Historical_CY!$O5</f>
        <v>3980.7369464156968</v>
      </c>
      <c r="J49" s="153">
        <f>CapCon_view!M$35*Historical_CY!$O5</f>
        <v>4021.6478031793695</v>
      </c>
      <c r="K49" s="153">
        <f>CapCon_view!N$35*Historical_CY!$O5</f>
        <v>4059.0201893750905</v>
      </c>
      <c r="N49" s="59"/>
      <c r="O49" s="59"/>
    </row>
    <row r="50" spans="2:15" x14ac:dyDescent="0.3">
      <c r="B50" s="140"/>
      <c r="C50" s="163" t="s">
        <v>132</v>
      </c>
      <c r="D50" s="327">
        <v>4977.5540457771667</v>
      </c>
      <c r="E50" s="65">
        <f>CapCon_view!H$35*Historical_CY!$O6</f>
        <v>6245.1133729842004</v>
      </c>
      <c r="F50" s="65">
        <f>CapCon_view!I$35*Historical_CY!$O6</f>
        <v>6645.1290103715874</v>
      </c>
      <c r="G50" s="65">
        <f>CapCon_view!J$35*Historical_CY!$O6</f>
        <v>10716.661036856229</v>
      </c>
      <c r="H50" s="141">
        <f>CapCon_view!K$35*Historical_CY!$O6</f>
        <v>10887.755742467165</v>
      </c>
      <c r="I50" s="67">
        <f>CapCon_view!L$35*Historical_CY!$O6</f>
        <v>10937.643536019759</v>
      </c>
      <c r="J50" s="67">
        <f>CapCon_view!M$35*Historical_CY!$O6</f>
        <v>11050.051960403871</v>
      </c>
      <c r="K50" s="67">
        <f>CapCon_view!N$35*Historical_CY!$O6</f>
        <v>11152.73793131871</v>
      </c>
      <c r="N50" s="59"/>
      <c r="O50" s="59"/>
    </row>
    <row r="51" spans="2:15" x14ac:dyDescent="0.3">
      <c r="B51" s="143"/>
      <c r="C51" s="164" t="s">
        <v>133</v>
      </c>
      <c r="D51" s="328">
        <v>3337.1311350322517</v>
      </c>
      <c r="E51" s="125">
        <f>CapCon_view!H$35*Historical_CY!$O7</f>
        <v>3789.8876864944509</v>
      </c>
      <c r="F51" s="125">
        <f>CapCon_view!I$35*Historical_CY!$O7</f>
        <v>4032.6397788900558</v>
      </c>
      <c r="G51" s="125">
        <f>CapCon_view!J$35*Historical_CY!$O7</f>
        <v>6503.4754820645639</v>
      </c>
      <c r="H51" s="142">
        <f>CapCon_view!K$35*Historical_CY!$O7</f>
        <v>6607.3054174544204</v>
      </c>
      <c r="I51" s="126">
        <f>CapCon_view!L$35*Historical_CY!$O7</f>
        <v>6637.5801495848655</v>
      </c>
      <c r="J51" s="126">
        <f>CapCon_view!M$35*Historical_CY!$O7</f>
        <v>6705.7959333486151</v>
      </c>
      <c r="K51" s="126">
        <f>CapCon_view!N$35*Historical_CY!$O7</f>
        <v>6768.1115829618593</v>
      </c>
      <c r="N51" s="59"/>
      <c r="O51" s="59"/>
    </row>
    <row r="52" spans="2:15" x14ac:dyDescent="0.3">
      <c r="B52" s="135" t="s">
        <v>27</v>
      </c>
      <c r="C52" s="162" t="s">
        <v>131</v>
      </c>
      <c r="D52" s="326">
        <v>2.9221383322563472</v>
      </c>
      <c r="E52" s="159">
        <f>(CapCon_view!H$41-CapCon_view!H$38)*Historical_CY!$O8</f>
        <v>7.046257163123574</v>
      </c>
      <c r="F52" s="159">
        <f>(CapCon_view!I$41-CapCon_view!I$38)*Historical_CY!$O8</f>
        <v>6.3523022900624406</v>
      </c>
      <c r="G52" s="159">
        <f>(CapCon_view!J$41-CapCon_view!J$38)*Historical_CY!$O8</f>
        <v>10.571563399159324</v>
      </c>
      <c r="H52" s="138">
        <f>(CapCon_view!K$41-CapCon_view!K$38)*Historical_CY!$O8</f>
        <v>11.19090194783867</v>
      </c>
      <c r="I52" s="153">
        <f>(CapCon_view!L$41-CapCon_view!L$38)*Historical_CY!$O8</f>
        <v>11.769636464404373</v>
      </c>
      <c r="J52" s="153">
        <f>(CapCon_view!M$41-CapCon_view!M$38)*Historical_CY!$O8</f>
        <v>12.544191745130005</v>
      </c>
      <c r="K52" s="153">
        <f>(CapCon_view!N$41-CapCon_view!N$38)*Historical_CY!$O8</f>
        <v>13.282662787815051</v>
      </c>
      <c r="N52" s="59"/>
      <c r="O52" s="59"/>
    </row>
    <row r="53" spans="2:15" x14ac:dyDescent="0.3">
      <c r="B53" s="140"/>
      <c r="C53" s="163" t="s">
        <v>134</v>
      </c>
      <c r="D53" s="327">
        <v>1484.3572814006161</v>
      </c>
      <c r="E53" s="65">
        <f>(CapCon_view!H$41-CapCon_view!H$38)*Historical_CY!$O9</f>
        <v>1893.6541144206872</v>
      </c>
      <c r="F53" s="65">
        <f>(CapCon_view!I$41-CapCon_view!I$38)*Historical_CY!$O9</f>
        <v>1707.156450459192</v>
      </c>
      <c r="G53" s="65">
        <f>(CapCon_view!J$41-CapCon_view!J$38)*Historical_CY!$O9</f>
        <v>2841.0664077725655</v>
      </c>
      <c r="H53" s="141">
        <f>(CapCon_view!K$41-CapCon_view!K$38)*Historical_CY!$O9</f>
        <v>3007.5112257482519</v>
      </c>
      <c r="I53" s="67">
        <f>(CapCon_view!L$41-CapCon_view!L$38)*Historical_CY!$O9</f>
        <v>3163.0438685514978</v>
      </c>
      <c r="J53" s="67">
        <f>(CapCon_view!M$41-CapCon_view!M$38)*Historical_CY!$O9</f>
        <v>3371.2025775280185</v>
      </c>
      <c r="K53" s="67">
        <f>(CapCon_view!N$41-CapCon_view!N$38)*Historical_CY!$O9</f>
        <v>3569.6637883506396</v>
      </c>
      <c r="N53" s="59"/>
      <c r="O53" s="59"/>
    </row>
    <row r="54" spans="2:15" x14ac:dyDescent="0.3">
      <c r="B54" s="140"/>
      <c r="C54" s="163" t="s">
        <v>135</v>
      </c>
      <c r="D54" s="327">
        <v>2094.6144851170711</v>
      </c>
      <c r="E54" s="65">
        <f>(CapCon_view!H$41-CapCon_view!H$38)*Historical_CY!$O10</f>
        <v>3308.5842648836779</v>
      </c>
      <c r="F54" s="65">
        <f>(CapCon_view!I$41-CapCon_view!I$38)*Historical_CY!$O10</f>
        <v>2982.7363543694946</v>
      </c>
      <c r="G54" s="65">
        <f>(CapCon_view!J$41-CapCon_view!J$38)*Historical_CY!$O10</f>
        <v>4963.898919376601</v>
      </c>
      <c r="H54" s="141">
        <f>(CapCon_view!K$41-CapCon_view!K$38)*Historical_CY!$O10</f>
        <v>5254.7105842588426</v>
      </c>
      <c r="I54" s="67">
        <f>(CapCon_view!L$41-CapCon_view!L$38)*Historical_CY!$O10</f>
        <v>5526.4565439543476</v>
      </c>
      <c r="J54" s="67">
        <f>(CapCon_view!M$41-CapCon_view!M$38)*Historical_CY!$O10</f>
        <v>5890.150538477159</v>
      </c>
      <c r="K54" s="67">
        <f>(CapCon_view!N$41-CapCon_view!N$38)*Historical_CY!$O10</f>
        <v>6236.9011062377149</v>
      </c>
      <c r="N54" s="59"/>
      <c r="O54" s="59"/>
    </row>
    <row r="55" spans="2:15" x14ac:dyDescent="0.3">
      <c r="B55" s="140"/>
      <c r="C55" s="163" t="s">
        <v>136</v>
      </c>
      <c r="D55" s="327">
        <v>3331.6893546880056</v>
      </c>
      <c r="E55" s="65">
        <f>(CapCon_view!H$41-CapCon_view!H$38)*Historical_CY!$O11</f>
        <v>4320.2245623886756</v>
      </c>
      <c r="F55" s="65">
        <f>(CapCon_view!I$41-CapCon_view!I$38)*Historical_CY!$O11</f>
        <v>3894.7446489563076</v>
      </c>
      <c r="G55" s="65">
        <f>(CapCon_view!J$41-CapCon_view!J$38)*Historical_CY!$O11</f>
        <v>6481.6720143167813</v>
      </c>
      <c r="H55" s="141">
        <f>(CapCon_view!K$41-CapCon_view!K$38)*Historical_CY!$O11</f>
        <v>6861.4029194619679</v>
      </c>
      <c r="I55" s="67">
        <f>(CapCon_view!L$41-CapCon_view!L$38)*Historical_CY!$O11</f>
        <v>7216.2385457650153</v>
      </c>
      <c r="J55" s="67">
        <f>(CapCon_view!M$41-CapCon_view!M$38)*Historical_CY!$O11</f>
        <v>7691.1364484744527</v>
      </c>
      <c r="K55" s="67">
        <f>(CapCon_view!N$41-CapCon_view!N$38)*Historical_CY!$O11</f>
        <v>8143.9102634747605</v>
      </c>
      <c r="N55" s="59"/>
      <c r="O55" s="59"/>
    </row>
    <row r="56" spans="2:15" x14ac:dyDescent="0.3">
      <c r="B56" s="143"/>
      <c r="C56" s="164" t="s">
        <v>137</v>
      </c>
      <c r="D56" s="328">
        <v>201.73308065930399</v>
      </c>
      <c r="E56" s="125">
        <f>(CapCon_view!H$41-CapCon_view!H$38)*Historical_CY!$O12+CapCon_view!H38</f>
        <v>178.31482357312112</v>
      </c>
      <c r="F56" s="125">
        <f>(CapCon_view!I$41-CapCon_view!I$38)*Historical_CY!$O12+CapCon_view!I38</f>
        <v>1925.3406356054231</v>
      </c>
      <c r="G56" s="125">
        <f>(CapCon_view!J$41-CapCon_view!J$38)*Historical_CY!$O12+CapCon_view!J38</f>
        <v>4422.1186901983847</v>
      </c>
      <c r="H56" s="142">
        <f>(CapCon_view!K$41-CapCon_view!K$38)*Historical_CY!$O12+CapCon_view!K38</f>
        <v>4363.9777517810517</v>
      </c>
      <c r="I56" s="126">
        <f>(CapCon_view!L$41-CapCon_view!L$38)*Historical_CY!$O12+CapCon_view!L38</f>
        <v>5204.4076703473947</v>
      </c>
      <c r="J56" s="126">
        <f>(CapCon_view!M$41-CapCon_view!M$38)*Historical_CY!$O12+CapCon_view!M38</f>
        <v>3174.2828066371421</v>
      </c>
      <c r="K56" s="126">
        <f>(CapCon_view!N$41-CapCon_view!N$38)*Historical_CY!$O12+CapCon_view!N38</f>
        <v>336.13528668609626</v>
      </c>
      <c r="N56" s="59"/>
      <c r="O56" s="59"/>
    </row>
    <row r="57" spans="2:15" x14ac:dyDescent="0.3">
      <c r="B57" s="135" t="s">
        <v>28</v>
      </c>
      <c r="C57" s="162" t="s">
        <v>132</v>
      </c>
      <c r="D57" s="326">
        <v>189.97894552363147</v>
      </c>
      <c r="E57" s="159">
        <f>CapCon_view!H$44*Historical_CY!$O13</f>
        <v>391.43897792157208</v>
      </c>
      <c r="F57" s="159">
        <f>CapCon_view!I$44*Historical_CY!$O13</f>
        <v>418.4682710122953</v>
      </c>
      <c r="G57" s="159">
        <f>CapCon_view!J$44*Historical_CY!$O13</f>
        <v>441.3445453056587</v>
      </c>
      <c r="H57" s="138">
        <f>CapCon_view!K$44*Historical_CY!$O13</f>
        <v>444.09988561819756</v>
      </c>
      <c r="I57" s="153">
        <f>CapCon_view!L$44*Historical_CY!$O13</f>
        <v>446.4086316108237</v>
      </c>
      <c r="J57" s="153">
        <f>CapCon_view!M$44*Historical_CY!$O13</f>
        <v>451.21812008015684</v>
      </c>
      <c r="K57" s="153">
        <f>CapCon_view!N$44*Historical_CY!$O13</f>
        <v>455.36359364841491</v>
      </c>
      <c r="N57" s="59"/>
      <c r="O57" s="59"/>
    </row>
    <row r="58" spans="2:15" x14ac:dyDescent="0.3">
      <c r="B58" s="140"/>
      <c r="C58" s="163" t="s">
        <v>138</v>
      </c>
      <c r="D58" s="327">
        <v>2819.3894709014598</v>
      </c>
      <c r="E58" s="65">
        <f>CapCon_view!H$44*Historical_CY!$O14</f>
        <v>2973.2606476778001</v>
      </c>
      <c r="F58" s="65">
        <f>CapCon_view!I$44*Historical_CY!$O14</f>
        <v>3178.5675742079902</v>
      </c>
      <c r="G58" s="65">
        <f>CapCon_view!J$44*Historical_CY!$O14</f>
        <v>3352.3293351932962</v>
      </c>
      <c r="H58" s="141">
        <f>CapCon_view!K$44*Historical_CY!$O14</f>
        <v>3373.2581271233462</v>
      </c>
      <c r="I58" s="67">
        <f>CapCon_view!L$44*Historical_CY!$O14</f>
        <v>3390.7947139032517</v>
      </c>
      <c r="J58" s="67">
        <f>CapCon_view!M$44*Historical_CY!$O14</f>
        <v>3427.3262388864214</v>
      </c>
      <c r="K58" s="67">
        <f>CapCon_view!N$44*Historical_CY!$O14</f>
        <v>3458.8140929880633</v>
      </c>
      <c r="N58" s="59"/>
      <c r="O58" s="59"/>
    </row>
    <row r="59" spans="2:15" x14ac:dyDescent="0.3">
      <c r="B59" s="143"/>
      <c r="C59" s="164" t="s">
        <v>139</v>
      </c>
      <c r="D59" s="328">
        <v>159.20674837542742</v>
      </c>
      <c r="E59" s="125">
        <f>CapCon_view!H$44*Historical_CY!$O15</f>
        <v>154.96947489943202</v>
      </c>
      <c r="F59" s="125">
        <f>CapCon_view!I$44*Historical_CY!$O15</f>
        <v>165.67028803616432</v>
      </c>
      <c r="G59" s="125">
        <f>CapCon_view!J$44*Historical_CY!$O15</f>
        <v>174.7269339371972</v>
      </c>
      <c r="H59" s="142">
        <f>CapCon_view!K$44*Historical_CY!$O15</f>
        <v>175.81776460426718</v>
      </c>
      <c r="I59" s="126">
        <f>CapCon_view!L$44*Historical_CY!$O15</f>
        <v>176.73178996794758</v>
      </c>
      <c r="J59" s="126">
        <f>CapCon_view!M$44*Historical_CY!$O15</f>
        <v>178.6358515066959</v>
      </c>
      <c r="K59" s="126">
        <f>CapCon_view!N$44*Historical_CY!$O15</f>
        <v>180.27703160964197</v>
      </c>
      <c r="N59" s="59"/>
      <c r="O59" s="59"/>
    </row>
    <row r="60" spans="2:15" x14ac:dyDescent="0.3">
      <c r="B60" s="135" t="s">
        <v>29</v>
      </c>
      <c r="C60" s="162" t="s">
        <v>131</v>
      </c>
      <c r="D60" s="326">
        <v>0</v>
      </c>
      <c r="E60" s="159"/>
      <c r="F60" s="159"/>
      <c r="G60" s="159"/>
      <c r="H60" s="138"/>
      <c r="I60" s="153"/>
      <c r="J60" s="153"/>
      <c r="K60" s="153"/>
      <c r="N60" s="59"/>
      <c r="O60" s="59"/>
    </row>
    <row r="61" spans="2:15" x14ac:dyDescent="0.3">
      <c r="B61" s="140"/>
      <c r="C61" s="163" t="s">
        <v>140</v>
      </c>
      <c r="D61" s="327">
        <v>0</v>
      </c>
      <c r="E61" s="65">
        <v>212.32502467958602</v>
      </c>
      <c r="F61" s="65">
        <f>CapCon_view!I45</f>
        <v>211.47482507464994</v>
      </c>
      <c r="G61" s="65">
        <f>CapCon_view!J45</f>
        <v>280.48465450356196</v>
      </c>
      <c r="H61" s="141">
        <f>CapCon_view!K45</f>
        <v>280.77288927708668</v>
      </c>
      <c r="I61" s="67">
        <f>CapCon_view!L45</f>
        <v>0</v>
      </c>
      <c r="J61" s="67">
        <f>CapCon_view!M45</f>
        <v>0</v>
      </c>
      <c r="K61" s="67">
        <f>CapCon_view!N45</f>
        <v>0</v>
      </c>
      <c r="N61" s="59"/>
      <c r="O61" s="59"/>
    </row>
    <row r="62" spans="2:15" x14ac:dyDescent="0.3">
      <c r="B62" s="143"/>
      <c r="C62" s="164" t="s">
        <v>141</v>
      </c>
      <c r="D62" s="328">
        <v>590.14490520429081</v>
      </c>
      <c r="E62" s="125">
        <v>16435.495907539287</v>
      </c>
      <c r="F62" s="125">
        <f>CapCon_view!I46+CapCon_view!I47</f>
        <v>23267.822617531569</v>
      </c>
      <c r="G62" s="125">
        <f>CapCon_view!J46+CapCon_view!J47</f>
        <v>23059.292048948384</v>
      </c>
      <c r="H62" s="142">
        <f>CapCon_view!K46+CapCon_view!K47</f>
        <v>9942.3170240704694</v>
      </c>
      <c r="I62" s="126">
        <f>CapCon_view!L46+CapCon_view!L47</f>
        <v>4915.220660414614</v>
      </c>
      <c r="J62" s="126">
        <f>CapCon_view!M46+CapCon_view!M47</f>
        <v>4696.5926570216016</v>
      </c>
      <c r="K62" s="126">
        <f>CapCon_view!N46+CapCon_view!N47</f>
        <v>7496.611507641981</v>
      </c>
      <c r="N62" s="59"/>
      <c r="O62" s="59"/>
    </row>
    <row r="63" spans="2:15" x14ac:dyDescent="0.3">
      <c r="B63" s="146"/>
      <c r="C63" s="148"/>
      <c r="D63" s="167">
        <f>SUM(D49:D62)</f>
        <v>21132.545132834734</v>
      </c>
      <c r="E63" s="167">
        <f>SUM(E49:E62)</f>
        <v>42183.213610222381</v>
      </c>
      <c r="F63" s="167">
        <f t="shared" ref="F63" si="19">SUM(F49:F62)</f>
        <v>50854.586270019659</v>
      </c>
      <c r="G63" s="167">
        <f t="shared" ref="G63" si="20">SUM(G49:G62)</f>
        <v>67147.952369842489</v>
      </c>
      <c r="H63" s="167">
        <f t="shared" ref="H63" si="21">SUM(H49:H62)</f>
        <v>55172.70060177402</v>
      </c>
      <c r="I63" s="167">
        <f t="shared" ref="I63" si="22">SUM(I49:I62)</f>
        <v>51607.032692999615</v>
      </c>
      <c r="J63" s="167">
        <f t="shared" ref="J63" si="23">SUM(J49:J62)</f>
        <v>50670.585127288643</v>
      </c>
      <c r="K63" s="167">
        <f t="shared" ref="K63" si="24">SUM(K49:K62)</f>
        <v>51870.829037080788</v>
      </c>
    </row>
    <row r="64" spans="2:15" x14ac:dyDescent="0.3">
      <c r="D64" s="151">
        <f>D63-CapCon_view!G49</f>
        <v>0</v>
      </c>
      <c r="E64" s="151">
        <f>E63-CapCon_view!H49</f>
        <v>0</v>
      </c>
      <c r="F64" s="151">
        <f>F63-CapCon_view!I49</f>
        <v>0</v>
      </c>
      <c r="G64" s="151">
        <f>G63-CapCon_view!J49</f>
        <v>0</v>
      </c>
      <c r="H64" s="151">
        <f>H63-CapCon_view!K49</f>
        <v>0</v>
      </c>
      <c r="I64" s="151">
        <f>I63-CapCon_view!L49</f>
        <v>0</v>
      </c>
      <c r="J64" s="151">
        <f>J63-CapCon_view!M49</f>
        <v>0</v>
      </c>
      <c r="K64" s="151">
        <f>K63-CapCon_view!N49</f>
        <v>0</v>
      </c>
    </row>
    <row r="65" spans="2:11" x14ac:dyDescent="0.3">
      <c r="B65" s="168" t="s">
        <v>156</v>
      </c>
      <c r="C65" s="384" t="s">
        <v>432</v>
      </c>
      <c r="E65" s="350">
        <f>'Type 2_contributions'!J35</f>
        <v>1.0801515778074438</v>
      </c>
      <c r="F65" s="350">
        <f>'Type 2_contributions'!K35</f>
        <v>1.0884652157979755</v>
      </c>
      <c r="G65" s="350">
        <f>'Type 2_contributions'!L35</f>
        <v>1.0981012058273167</v>
      </c>
      <c r="H65" s="350">
        <f>'Type 2_contributions'!M35</f>
        <v>1.1068294969578802</v>
      </c>
      <c r="I65" s="350">
        <f>'Type 2_contributions'!N35</f>
        <v>1.1176278753882116</v>
      </c>
      <c r="J65" s="350">
        <f>'Type 2_contributions'!O35</f>
        <v>1.130648816516548</v>
      </c>
      <c r="K65" s="350">
        <f>'Type 2_contributions'!P35</f>
        <v>1.1416132452895986</v>
      </c>
    </row>
    <row r="66" spans="2:11" x14ac:dyDescent="0.3">
      <c r="B66" s="168" t="s">
        <v>333</v>
      </c>
      <c r="D66" s="32" t="s">
        <v>15</v>
      </c>
    </row>
    <row r="67" spans="2:11" x14ac:dyDescent="0.3">
      <c r="B67" s="165" t="s">
        <v>31</v>
      </c>
      <c r="C67" s="161" t="s">
        <v>145</v>
      </c>
      <c r="D67" s="320" t="s">
        <v>161</v>
      </c>
      <c r="E67" s="57" t="s">
        <v>160</v>
      </c>
      <c r="F67" s="57" t="s">
        <v>159</v>
      </c>
      <c r="G67" s="57" t="s">
        <v>225</v>
      </c>
      <c r="H67" s="160" t="s">
        <v>226</v>
      </c>
      <c r="I67" s="58" t="s">
        <v>247</v>
      </c>
      <c r="J67" s="58" t="s">
        <v>248</v>
      </c>
      <c r="K67" s="58" t="s">
        <v>249</v>
      </c>
    </row>
    <row r="68" spans="2:11" x14ac:dyDescent="0.3">
      <c r="B68" s="135" t="s">
        <v>26</v>
      </c>
      <c r="C68" s="162" t="s">
        <v>131</v>
      </c>
      <c r="D68" s="326">
        <v>300.82578843005427</v>
      </c>
      <c r="E68" s="159">
        <f>E25/E$41*'Type 2_contributions'!J$9/Thousands*E$65</f>
        <v>308.78566751034003</v>
      </c>
      <c r="F68" s="159">
        <f>F25/F$41*'Type 2_contributions'!K$9/Thousands*F$65</f>
        <v>311.16230826066567</v>
      </c>
      <c r="G68" s="159">
        <f>G25/G$41*'Type 2_contributions'!L$9/Thousands*G$65</f>
        <v>313.91697313776831</v>
      </c>
      <c r="H68" s="138">
        <f>H25/H$41*'Type 2_contributions'!M$9/Thousands*H$65</f>
        <v>316.41215183152758</v>
      </c>
      <c r="I68" s="153">
        <f>I25/I$41*'Type 2_contributions'!N$9/Thousands*I$65</f>
        <v>319.49911162508494</v>
      </c>
      <c r="J68" s="153">
        <f>J25/J$41*'Type 2_contributions'!O$9/Thousands*J$65</f>
        <v>323.22144104674595</v>
      </c>
      <c r="K68" s="153">
        <f>K25/K$41*'Type 2_contributions'!P$9/Thousands*K$65</f>
        <v>326.35587007237251</v>
      </c>
    </row>
    <row r="69" spans="2:11" x14ac:dyDescent="0.3">
      <c r="B69" s="140"/>
      <c r="C69" s="163" t="s">
        <v>132</v>
      </c>
      <c r="D69" s="327">
        <v>770.32538605311322</v>
      </c>
      <c r="E69" s="65">
        <f>E26/E$41*'Type 2_contributions'!J$9/Thousands*E$65</f>
        <v>848.43274140509516</v>
      </c>
      <c r="F69" s="65">
        <f>F26/F$41*'Type 2_contributions'!K$9/Thousands*F$65</f>
        <v>854.96290144585009</v>
      </c>
      <c r="G69" s="65">
        <f>G26/G$41*'Type 2_contributions'!L$9/Thousands*G$65</f>
        <v>862.53173678777614</v>
      </c>
      <c r="H69" s="141">
        <f>H26/H$41*'Type 2_contributions'!M$9/Thousands*H$65</f>
        <v>869.38759676505595</v>
      </c>
      <c r="I69" s="67">
        <f>I26/I$41*'Type 2_contributions'!N$9/Thousands*I$65</f>
        <v>877.86945986891101</v>
      </c>
      <c r="J69" s="67">
        <f>J26/J$41*'Type 2_contributions'!O$9/Thousands*J$65</f>
        <v>888.09709180887762</v>
      </c>
      <c r="K69" s="67">
        <f>K26/K$41*'Type 2_contributions'!P$9/Thousands*K$65</f>
        <v>896.70938341034264</v>
      </c>
    </row>
    <row r="70" spans="2:11" x14ac:dyDescent="0.3">
      <c r="B70" s="143"/>
      <c r="C70" s="164" t="s">
        <v>133</v>
      </c>
      <c r="D70" s="328">
        <v>516.45382576699126</v>
      </c>
      <c r="E70" s="125">
        <f>E27/E$41*'Type 2_contributions'!J$9/Thousands*E$65</f>
        <v>514.87692975754658</v>
      </c>
      <c r="F70" s="125">
        <f>F27/F$41*'Type 2_contributions'!K$9/Thousands*F$65</f>
        <v>518.83979986913732</v>
      </c>
      <c r="G70" s="125">
        <f>G27/G$41*'Type 2_contributions'!L$9/Thousands*G$65</f>
        <v>523.43299684576209</v>
      </c>
      <c r="H70" s="142">
        <f>H27/H$41*'Type 2_contributions'!M$9/Thousands*H$65</f>
        <v>527.59352008311794</v>
      </c>
      <c r="I70" s="126">
        <f>I27/I$41*'Type 2_contributions'!N$9/Thousands*I$65</f>
        <v>532.74079389801614</v>
      </c>
      <c r="J70" s="126">
        <f>J27/J$41*'Type 2_contributions'!O$9/Thousands*J$65</f>
        <v>538.94749889058767</v>
      </c>
      <c r="K70" s="126">
        <f>K27/K$41*'Type 2_contributions'!P$9/Thousands*K$65</f>
        <v>544.17392408794103</v>
      </c>
    </row>
    <row r="71" spans="2:11" x14ac:dyDescent="0.3">
      <c r="B71" s="135" t="s">
        <v>27</v>
      </c>
      <c r="C71" s="162" t="s">
        <v>131</v>
      </c>
      <c r="D71" s="326">
        <v>2.0807176344902616</v>
      </c>
      <c r="E71" s="159">
        <f>E28/E$42*'Type 2_contributions'!J$12/Thousands*E$65</f>
        <v>4.1025344509789248</v>
      </c>
      <c r="F71" s="159">
        <f>F28/F$42*'Type 2_contributions'!K$12/Thousands*F$65</f>
        <v>3.5892160824947239</v>
      </c>
      <c r="G71" s="159">
        <f>G28/G$42*'Type 2_contributions'!L$12/Thousands*G$65</f>
        <v>3.3500002245083214</v>
      </c>
      <c r="H71" s="138">
        <f>H28/H$42*'Type 2_contributions'!M$12/Thousands*H$65</f>
        <v>3.401298318636238</v>
      </c>
      <c r="I71" s="153">
        <f>I28/I$42*'Type 2_contributions'!N$12/Thousands*I$65</f>
        <v>3.3229401104582283</v>
      </c>
      <c r="J71" s="153">
        <f>J28/J$42*'Type 2_contributions'!O$12/Thousands*J$65</f>
        <v>3.7160511555183029</v>
      </c>
      <c r="K71" s="153">
        <f>K28/K$42*'Type 2_contributions'!P$12/Thousands*K$65</f>
        <v>4.3359726215475192</v>
      </c>
    </row>
    <row r="72" spans="2:11" x14ac:dyDescent="0.3">
      <c r="B72" s="140"/>
      <c r="C72" s="163" t="s">
        <v>134</v>
      </c>
      <c r="D72" s="327">
        <v>1056.9411917297768</v>
      </c>
      <c r="E72" s="65">
        <f>E29/E$42*'Type 2_contributions'!J$12/Thousands*E$65</f>
        <v>1102.5401234724436</v>
      </c>
      <c r="F72" s="65">
        <f>F29/F$42*'Type 2_contributions'!K$12/Thousands*F$65</f>
        <v>964.58781517818954</v>
      </c>
      <c r="G72" s="65">
        <f>G29/G$42*'Type 2_contributions'!L$12/Thousands*G$65</f>
        <v>900.29948688932836</v>
      </c>
      <c r="H72" s="141">
        <f>H29/H$42*'Type 2_contributions'!M$12/Thousands*H$65</f>
        <v>914.08564949430013</v>
      </c>
      <c r="I72" s="67">
        <f>I29/I$42*'Type 2_contributions'!N$12/Thousands*I$65</f>
        <v>893.02718684103775</v>
      </c>
      <c r="J72" s="67">
        <f>J29/J$42*'Type 2_contributions'!O$12/Thousands*J$65</f>
        <v>998.67424607670034</v>
      </c>
      <c r="K72" s="67">
        <f>K29/K$42*'Type 2_contributions'!P$12/Thousands*K$65</f>
        <v>1165.2757208153173</v>
      </c>
    </row>
    <row r="73" spans="2:11" x14ac:dyDescent="0.3">
      <c r="B73" s="140"/>
      <c r="C73" s="163" t="s">
        <v>135</v>
      </c>
      <c r="D73" s="327">
        <v>1491.4767205002713</v>
      </c>
      <c r="E73" s="65">
        <f>E30/E$42*'Type 2_contributions'!J$12/Thousands*E$65</f>
        <v>1926.3533272230104</v>
      </c>
      <c r="F73" s="65">
        <f>F30/F$42*'Type 2_contributions'!K$12/Thousands*F$65</f>
        <v>1685.323651818755</v>
      </c>
      <c r="G73" s="65">
        <f>G30/G$42*'Type 2_contributions'!L$12/Thousands*G$65</f>
        <v>1572.9993631472341</v>
      </c>
      <c r="H73" s="141">
        <f>H30/H$42*'Type 2_contributions'!M$12/Thousands*H$65</f>
        <v>1597.0864867251805</v>
      </c>
      <c r="I73" s="67">
        <f>I30/I$42*'Type 2_contributions'!N$12/Thousands*I$65</f>
        <v>1560.2932320084715</v>
      </c>
      <c r="J73" s="67">
        <f>J30/J$42*'Type 2_contributions'!O$12/Thousands*J$65</f>
        <v>1744.8793162128088</v>
      </c>
      <c r="K73" s="67">
        <f>K30/K$42*'Type 2_contributions'!P$12/Thousands*K$65</f>
        <v>2035.9646911125606</v>
      </c>
    </row>
    <row r="74" spans="2:11" x14ac:dyDescent="0.3">
      <c r="B74" s="140"/>
      <c r="C74" s="163" t="s">
        <v>136</v>
      </c>
      <c r="D74" s="327">
        <v>2372.3397063102043</v>
      </c>
      <c r="E74" s="65">
        <f>E31/E$42*'Type 2_contributions'!J$12/Thousands*E$65</f>
        <v>2515.3595295843525</v>
      </c>
      <c r="F74" s="65">
        <f>F31/F$42*'Type 2_contributions'!K$12/Thousands*F$65</f>
        <v>2200.6320689607542</v>
      </c>
      <c r="G74" s="65">
        <f>G31/G$42*'Type 2_contributions'!L$12/Thousands*G$65</f>
        <v>2053.9632486976557</v>
      </c>
      <c r="H74" s="141">
        <f>H31/H$42*'Type 2_contributions'!M$12/Thousands*H$65</f>
        <v>2085.4153063113054</v>
      </c>
      <c r="I74" s="67">
        <f>I31/I$42*'Type 2_contributions'!N$12/Thousands*I$65</f>
        <v>2037.3720618201642</v>
      </c>
      <c r="J74" s="67">
        <f>J31/J$42*'Type 2_contributions'!O$12/Thousands*J$65</f>
        <v>2278.3976096106962</v>
      </c>
      <c r="K74" s="67">
        <f>K31/K$42*'Type 2_contributions'!P$12/Thousands*K$65</f>
        <v>2658.4859149748136</v>
      </c>
    </row>
    <row r="75" spans="2:11" x14ac:dyDescent="0.3">
      <c r="B75" s="143"/>
      <c r="C75" s="164" t="s">
        <v>137</v>
      </c>
      <c r="D75" s="328">
        <v>143.644663825257</v>
      </c>
      <c r="E75" s="125">
        <f>E32/E$42*'Type 2_contributions'!J$12/Thousands*E$65</f>
        <v>103.8200408945433</v>
      </c>
      <c r="F75" s="125">
        <f>F32/F$42*'Type 2_contributions'!K$12/Thousands*F$65</f>
        <v>841.54608811839</v>
      </c>
      <c r="G75" s="125">
        <f>G32/G$42*'Type 2_contributions'!L$12/Thousands*G$65</f>
        <v>1215.4895785285269</v>
      </c>
      <c r="H75" s="142">
        <f>H32/H$42*'Type 2_contributions'!M$12/Thousands*H$65</f>
        <v>1191.7860021447052</v>
      </c>
      <c r="I75" s="126">
        <f>I32/I$42*'Type 2_contributions'!N$12/Thousands*I$65</f>
        <v>1354.2646607778686</v>
      </c>
      <c r="J75" s="126">
        <f>J32/J$42*'Type 2_contributions'!O$12/Thousands*J$65</f>
        <v>890.74833751181575</v>
      </c>
      <c r="K75" s="126">
        <f>K32/K$42*'Type 2_contributions'!P$12/Thousands*K$65</f>
        <v>109.72750144225326</v>
      </c>
    </row>
    <row r="76" spans="2:11" x14ac:dyDescent="0.3">
      <c r="B76" s="135" t="s">
        <v>28</v>
      </c>
      <c r="C76" s="162" t="s">
        <v>132</v>
      </c>
      <c r="D76" s="326">
        <v>2360.8633452041931</v>
      </c>
      <c r="E76" s="159">
        <f>E33/E$43*'Type 2_contributions'!J$15/Thousands*E$65</f>
        <v>4613.5979152777591</v>
      </c>
      <c r="F76" s="159">
        <f>F33/F$43*'Type 2_contributions'!K$15/Thousands*F$65</f>
        <v>4578.037996227783</v>
      </c>
      <c r="G76" s="159">
        <f>G33/G$43*'Type 2_contributions'!L$15/Thousands*G$65</f>
        <v>4688.2344535790353</v>
      </c>
      <c r="H76" s="138">
        <f>H33/H$43*'Type 2_contributions'!M$15/Thousands*H$65</f>
        <v>4793.3553221557941</v>
      </c>
      <c r="I76" s="153">
        <f>I33/I$43*'Type 2_contributions'!N$15/Thousands*I$65</f>
        <v>4838.0300626268554</v>
      </c>
      <c r="J76" s="153">
        <f>J33/J$43*'Type 2_contributions'!O$15/Thousands*J$65</f>
        <v>4896.6608556892743</v>
      </c>
      <c r="K76" s="153">
        <f>K33/K$43*'Type 2_contributions'!P$15/Thousands*K$65</f>
        <v>4945.2134261958499</v>
      </c>
    </row>
    <row r="77" spans="2:11" x14ac:dyDescent="0.3">
      <c r="B77" s="140"/>
      <c r="C77" s="163" t="s">
        <v>138</v>
      </c>
      <c r="D77" s="327">
        <v>35036.478591665509</v>
      </c>
      <c r="E77" s="65">
        <f>E34/E$43*'Type 2_contributions'!J$15/Thousands*E$65</f>
        <v>35043.595296869222</v>
      </c>
      <c r="F77" s="65">
        <f>F34/F$43*'Type 2_contributions'!K$15/Thousands*F$65</f>
        <v>34773.492129046506</v>
      </c>
      <c r="G77" s="65">
        <f>G34/G$43*'Type 2_contributions'!L$15/Thousands*G$65</f>
        <v>35610.513500540153</v>
      </c>
      <c r="H77" s="141">
        <f>H34/H$43*'Type 2_contributions'!M$15/Thousands*H$65</f>
        <v>36408.982123794143</v>
      </c>
      <c r="I77" s="67">
        <f>I34/I$43*'Type 2_contributions'!N$15/Thousands*I$65</f>
        <v>36748.318917725883</v>
      </c>
      <c r="J77" s="67">
        <f>J34/J$43*'Type 2_contributions'!O$15/Thousands*J$65</f>
        <v>37193.66197139991</v>
      </c>
      <c r="K77" s="67">
        <f>K34/K$43*'Type 2_contributions'!P$15/Thousands*K$65</f>
        <v>37562.453674253084</v>
      </c>
    </row>
    <row r="78" spans="2:11" x14ac:dyDescent="0.3">
      <c r="B78" s="143"/>
      <c r="C78" s="164" t="s">
        <v>139</v>
      </c>
      <c r="D78" s="328">
        <v>1978.4580628801311</v>
      </c>
      <c r="E78" s="125">
        <f>E35/E$43*'Type 2_contributions'!J$15/Thousands*E$65</f>
        <v>1826.5090771592954</v>
      </c>
      <c r="F78" s="125">
        <f>F35/F$43*'Type 2_contributions'!K$15/Thousands*F$65</f>
        <v>1812.4310157155899</v>
      </c>
      <c r="G78" s="125">
        <f>G35/G$43*'Type 2_contributions'!L$15/Thousands*G$65</f>
        <v>1856.0574507276979</v>
      </c>
      <c r="H78" s="142">
        <f>H35/H$43*'Type 2_contributions'!M$15/Thousands*H$65</f>
        <v>1897.6744759171938</v>
      </c>
      <c r="I78" s="126">
        <f>I35/I$43*'Type 2_contributions'!N$15/Thousands*I$65</f>
        <v>1915.3610668357298</v>
      </c>
      <c r="J78" s="126">
        <f>J35/J$43*'Type 2_contributions'!O$15/Thousands*J$65</f>
        <v>1938.5728156045018</v>
      </c>
      <c r="K78" s="126">
        <f>K35/K$43*'Type 2_contributions'!P$15/Thousands*K$65</f>
        <v>1957.7946273831155</v>
      </c>
    </row>
    <row r="79" spans="2:11" x14ac:dyDescent="0.3">
      <c r="B79" s="135" t="s">
        <v>29</v>
      </c>
      <c r="C79" s="162" t="s">
        <v>131</v>
      </c>
      <c r="D79" s="326">
        <v>0</v>
      </c>
      <c r="E79" s="159"/>
      <c r="F79" s="159"/>
      <c r="G79" s="159"/>
      <c r="H79" s="138"/>
      <c r="I79" s="153"/>
      <c r="J79" s="153"/>
      <c r="K79" s="153"/>
    </row>
    <row r="80" spans="2:11" x14ac:dyDescent="0.3">
      <c r="B80" s="140"/>
      <c r="C80" s="163" t="s">
        <v>140</v>
      </c>
      <c r="D80" s="327">
        <v>0</v>
      </c>
      <c r="E80" s="65">
        <v>0</v>
      </c>
      <c r="F80" s="65">
        <v>0</v>
      </c>
      <c r="G80" s="65">
        <v>0</v>
      </c>
      <c r="H80" s="141">
        <v>0</v>
      </c>
      <c r="I80" s="67">
        <v>0</v>
      </c>
      <c r="J80" s="67">
        <v>0</v>
      </c>
      <c r="K80" s="67">
        <v>0</v>
      </c>
    </row>
    <row r="81" spans="2:14" x14ac:dyDescent="0.3">
      <c r="B81" s="143"/>
      <c r="C81" s="164" t="s">
        <v>141</v>
      </c>
      <c r="D81" s="328">
        <v>0</v>
      </c>
      <c r="E81" s="125">
        <f>'Type 2_contributions'!J16/Thousands*E$65</f>
        <v>5501.8683306335961</v>
      </c>
      <c r="F81" s="125">
        <f>'Type 2_contributions'!K16/Thousands*F$65</f>
        <v>0</v>
      </c>
      <c r="G81" s="125">
        <f>'Type 2_contributions'!L16/Thousands*G$65</f>
        <v>0</v>
      </c>
      <c r="H81" s="142">
        <f>'Type 2_contributions'!M16/Thousands*H$65</f>
        <v>0</v>
      </c>
      <c r="I81" s="126">
        <f>'Type 2_contributions'!N16/Thousands*I$65</f>
        <v>0</v>
      </c>
      <c r="J81" s="126">
        <f>'Type 2_contributions'!O16/Thousands*J$65</f>
        <v>0</v>
      </c>
      <c r="K81" s="126">
        <f>'Type 2_contributions'!P16/Thousands*K$65</f>
        <v>0</v>
      </c>
    </row>
    <row r="82" spans="2:14" x14ac:dyDescent="0.3">
      <c r="B82" s="146"/>
      <c r="C82" s="148"/>
      <c r="D82" s="167">
        <f>SUM(D68:D81)</f>
        <v>46029.887999999992</v>
      </c>
      <c r="E82" s="167">
        <f>SUM(E68:E81)</f>
        <v>54309.841514238178</v>
      </c>
      <c r="F82" s="167">
        <f t="shared" ref="F82:K82" si="25">SUM(F68:F81)</f>
        <v>48544.604990724118</v>
      </c>
      <c r="G82" s="167">
        <f t="shared" si="25"/>
        <v>49600.788789105449</v>
      </c>
      <c r="H82" s="167">
        <f t="shared" si="25"/>
        <v>50605.17993354096</v>
      </c>
      <c r="I82" s="167">
        <f t="shared" si="25"/>
        <v>51080.099494138478</v>
      </c>
      <c r="J82" s="167">
        <f t="shared" si="25"/>
        <v>51695.577235007433</v>
      </c>
      <c r="K82" s="167">
        <f t="shared" si="25"/>
        <v>52206.490706369201</v>
      </c>
    </row>
    <row r="83" spans="2:14" x14ac:dyDescent="0.3">
      <c r="C83" s="31" t="s">
        <v>230</v>
      </c>
      <c r="D83" s="151">
        <v>0</v>
      </c>
      <c r="E83" s="151">
        <f>E82-'Type 2_contributions'!J$34/Thousands</f>
        <v>0</v>
      </c>
      <c r="F83" s="151">
        <f>F82-'Type 2_contributions'!K$34/Thousands</f>
        <v>0</v>
      </c>
      <c r="G83" s="151">
        <f>G82-'Type 2_contributions'!L$34/Thousands</f>
        <v>0</v>
      </c>
      <c r="H83" s="151">
        <f>H82-'Type 2_contributions'!M$34/Thousands</f>
        <v>0</v>
      </c>
      <c r="I83" s="151">
        <f>I82-'Type 2_contributions'!N$34/Thousands</f>
        <v>0</v>
      </c>
      <c r="J83" s="151">
        <f>J82-'Type 2_contributions'!O$34/Thousands</f>
        <v>0</v>
      </c>
      <c r="K83" s="151">
        <f>K82-'Type 2_contributions'!P$34/Thousands</f>
        <v>0</v>
      </c>
    </row>
    <row r="84" spans="2:14" x14ac:dyDescent="0.3">
      <c r="C84" s="31" t="s">
        <v>230</v>
      </c>
      <c r="D84" s="151"/>
      <c r="E84" s="151">
        <v>0</v>
      </c>
      <c r="F84" s="151">
        <v>0</v>
      </c>
      <c r="G84" s="151">
        <v>0</v>
      </c>
      <c r="H84" s="151">
        <v>0</v>
      </c>
      <c r="I84" s="151">
        <v>0</v>
      </c>
      <c r="J84" s="151">
        <v>0</v>
      </c>
      <c r="K84" s="151">
        <v>0</v>
      </c>
    </row>
    <row r="85" spans="2:14" x14ac:dyDescent="0.3">
      <c r="B85" s="168" t="s">
        <v>153</v>
      </c>
      <c r="D85" s="32"/>
      <c r="G85" s="503" t="s">
        <v>303</v>
      </c>
      <c r="H85" s="504"/>
      <c r="I85" s="504"/>
      <c r="J85" s="504"/>
      <c r="K85" s="505"/>
    </row>
    <row r="86" spans="2:14" x14ac:dyDescent="0.3">
      <c r="B86" s="165" t="s">
        <v>31</v>
      </c>
      <c r="C86" s="161" t="s">
        <v>145</v>
      </c>
      <c r="D86" s="320" t="str">
        <f>Allocations!J$50</f>
        <v>2023-24</v>
      </c>
      <c r="E86" s="57" t="str">
        <f>Allocations!K$50</f>
        <v>2024-25</v>
      </c>
      <c r="F86" s="57" t="str">
        <f>Allocations!L$50</f>
        <v>2025-26</v>
      </c>
      <c r="G86" s="57" t="str">
        <f>Allocations!M$50</f>
        <v>2026-27</v>
      </c>
      <c r="H86" s="160" t="str">
        <f>Allocations!N$50</f>
        <v>2027–28</v>
      </c>
      <c r="I86" s="58" t="str">
        <f>Allocations!O$50</f>
        <v>2028–29</v>
      </c>
      <c r="J86" s="58" t="str">
        <f>Allocations!P$50</f>
        <v>2029–30</v>
      </c>
      <c r="K86" s="58" t="str">
        <f>Allocations!Q$50</f>
        <v>2030–31</v>
      </c>
    </row>
    <row r="87" spans="2:14" x14ac:dyDescent="0.3">
      <c r="B87" s="135" t="s">
        <v>26</v>
      </c>
      <c r="C87" s="162" t="s">
        <v>131</v>
      </c>
      <c r="D87" s="326">
        <f>D105+'2.5.3_Volumes'!E8</f>
        <v>15186.425361602023</v>
      </c>
      <c r="E87" s="159">
        <f>E105+'2.5.3_Volumes'!F8</f>
        <v>15257.928080414102</v>
      </c>
      <c r="F87" s="159">
        <f>F105+'2.5.3_Volumes'!G8</f>
        <v>15304.562045497893</v>
      </c>
      <c r="G87" s="159">
        <f>G105+'2.5.3_Volumes'!H8</f>
        <v>15772.60227873308</v>
      </c>
      <c r="H87" s="138">
        <f>H105+'2.5.3_Volumes'!I8</f>
        <v>15767.99802931512</v>
      </c>
      <c r="I87" s="153">
        <f>I105+'2.5.3_Volumes'!J8</f>
        <v>15769.592764904892</v>
      </c>
      <c r="J87" s="153">
        <f>J105+'2.5.3_Volumes'!K8</f>
        <v>15782.449282093781</v>
      </c>
      <c r="K87" s="153">
        <f>K105+'2.5.3_Volumes'!L8</f>
        <v>15776.842662542034</v>
      </c>
      <c r="N87" s="151"/>
    </row>
    <row r="88" spans="2:14" x14ac:dyDescent="0.3">
      <c r="B88" s="140"/>
      <c r="C88" s="163" t="s">
        <v>132</v>
      </c>
      <c r="D88" s="327">
        <f t="shared" ref="D88" si="26">D106</f>
        <v>870.38663562909039</v>
      </c>
      <c r="E88" s="65">
        <f t="shared" ref="E88:K88" si="27">E106</f>
        <v>941.43078003031837</v>
      </c>
      <c r="F88" s="65">
        <f t="shared" si="27"/>
        <v>1006.3489513127721</v>
      </c>
      <c r="G88" s="65">
        <f t="shared" si="27"/>
        <v>1021.8863872599278</v>
      </c>
      <c r="H88" s="141">
        <f t="shared" si="27"/>
        <v>1036.9004569436004</v>
      </c>
      <c r="I88" s="67">
        <f t="shared" si="27"/>
        <v>1036.4425114630528</v>
      </c>
      <c r="J88" s="67">
        <f t="shared" si="27"/>
        <v>1036.9331673350682</v>
      </c>
      <c r="K88" s="67">
        <f t="shared" si="27"/>
        <v>1037.162140075342</v>
      </c>
      <c r="N88" s="151"/>
    </row>
    <row r="89" spans="2:14" x14ac:dyDescent="0.3">
      <c r="B89" s="143"/>
      <c r="C89" s="164" t="s">
        <v>133</v>
      </c>
      <c r="D89" s="328">
        <f t="shared" ref="D89" si="28">D107</f>
        <v>341.1907633035695</v>
      </c>
      <c r="E89" s="125">
        <f t="shared" ref="E89:K89" si="29">E107</f>
        <v>369.04000278434842</v>
      </c>
      <c r="F89" s="125">
        <f t="shared" si="29"/>
        <v>394.48786641810381</v>
      </c>
      <c r="G89" s="125">
        <f t="shared" si="29"/>
        <v>400.57852706658537</v>
      </c>
      <c r="H89" s="142">
        <f t="shared" si="29"/>
        <v>406.46402861953914</v>
      </c>
      <c r="I89" s="126">
        <f t="shared" si="29"/>
        <v>406.2845144109524</v>
      </c>
      <c r="J89" s="126">
        <f t="shared" si="29"/>
        <v>406.47685106300969</v>
      </c>
      <c r="K89" s="126">
        <f t="shared" si="29"/>
        <v>406.56660816730312</v>
      </c>
      <c r="N89" s="151"/>
    </row>
    <row r="90" spans="2:14" x14ac:dyDescent="0.3">
      <c r="B90" s="135" t="s">
        <v>27</v>
      </c>
      <c r="C90" s="162" t="s">
        <v>131</v>
      </c>
      <c r="D90" s="326">
        <f>D108+'2.5.3_Volumes'!E11</f>
        <v>1692.0744282079111</v>
      </c>
      <c r="E90" s="159">
        <f>E108+'2.5.3_Volumes'!F11</f>
        <v>1624.3461801865012</v>
      </c>
      <c r="F90" s="159">
        <f>F108+'2.5.3_Volumes'!G11</f>
        <v>1624.2741709971988</v>
      </c>
      <c r="G90" s="159">
        <f>G108+'2.5.3_Volumes'!H11</f>
        <v>1675.8982451665599</v>
      </c>
      <c r="H90" s="138">
        <f>H108+'2.5.3_Volumes'!I11</f>
        <v>1674.8729206912265</v>
      </c>
      <c r="I90" s="153">
        <f>I108+'2.5.3_Volumes'!J11</f>
        <v>1675.6697315186323</v>
      </c>
      <c r="J90" s="153">
        <f>J108+'2.5.3_Volumes'!K11</f>
        <v>1677.7949931936275</v>
      </c>
      <c r="K90" s="153">
        <f>K108+'2.5.3_Volumes'!L11</f>
        <v>1677.8466425802658</v>
      </c>
      <c r="N90" s="151"/>
    </row>
    <row r="91" spans="2:14" x14ac:dyDescent="0.3">
      <c r="B91" s="140"/>
      <c r="C91" s="163" t="s">
        <v>134</v>
      </c>
      <c r="D91" s="327">
        <f t="shared" ref="D91" si="30">D109</f>
        <v>186.7834002087628</v>
      </c>
      <c r="E91" s="65">
        <f t="shared" ref="E91:K91" si="31">E109</f>
        <v>182.62032381013788</v>
      </c>
      <c r="F91" s="65">
        <f t="shared" si="31"/>
        <v>179.46123397197923</v>
      </c>
      <c r="G91" s="65">
        <f t="shared" si="31"/>
        <v>217.17902711843172</v>
      </c>
      <c r="H91" s="141">
        <f t="shared" si="31"/>
        <v>247.21426404772518</v>
      </c>
      <c r="I91" s="67">
        <f t="shared" si="31"/>
        <v>272.793761005818</v>
      </c>
      <c r="J91" s="67">
        <f t="shared" si="31"/>
        <v>305.07914866845294</v>
      </c>
      <c r="K91" s="67">
        <f t="shared" si="31"/>
        <v>335.47637325764254</v>
      </c>
      <c r="N91" s="151"/>
    </row>
    <row r="92" spans="2:14" x14ac:dyDescent="0.3">
      <c r="B92" s="140"/>
      <c r="C92" s="163" t="s">
        <v>135</v>
      </c>
      <c r="D92" s="327">
        <f t="shared" ref="D92" si="32">D110</f>
        <v>98.329483752630949</v>
      </c>
      <c r="E92" s="65">
        <f t="shared" ref="E92:K92" si="33">E110</f>
        <v>96.137890963110962</v>
      </c>
      <c r="F92" s="65">
        <f t="shared" si="33"/>
        <v>94.474832722565296</v>
      </c>
      <c r="G92" s="65">
        <f t="shared" si="33"/>
        <v>114.33083236832611</v>
      </c>
      <c r="H92" s="141">
        <f t="shared" si="33"/>
        <v>130.14245876737712</v>
      </c>
      <c r="I92" s="67">
        <f t="shared" si="33"/>
        <v>143.60842377138746</v>
      </c>
      <c r="J92" s="67">
        <f t="shared" si="33"/>
        <v>160.60461025301424</v>
      </c>
      <c r="K92" s="67">
        <f t="shared" si="33"/>
        <v>176.60679994453463</v>
      </c>
      <c r="N92" s="151"/>
    </row>
    <row r="93" spans="2:14" x14ac:dyDescent="0.3">
      <c r="B93" s="140"/>
      <c r="C93" s="163" t="s">
        <v>136</v>
      </c>
      <c r="D93" s="327">
        <f t="shared" ref="D93" si="34">D111</f>
        <v>289.66069008174298</v>
      </c>
      <c r="E93" s="65">
        <f t="shared" ref="E93:K93" si="35">E111</f>
        <v>283.20465822269699</v>
      </c>
      <c r="F93" s="65">
        <f t="shared" si="35"/>
        <v>278.3055925587862</v>
      </c>
      <c r="G93" s="65">
        <f t="shared" si="35"/>
        <v>336.79773896446721</v>
      </c>
      <c r="H93" s="141">
        <f t="shared" si="35"/>
        <v>383.37590086742011</v>
      </c>
      <c r="I93" s="67">
        <f t="shared" si="35"/>
        <v>423.04417295446717</v>
      </c>
      <c r="J93" s="67">
        <f t="shared" si="35"/>
        <v>473.1118323902798</v>
      </c>
      <c r="K93" s="67">
        <f t="shared" si="35"/>
        <v>520.25135892868423</v>
      </c>
      <c r="N93" s="151"/>
    </row>
    <row r="94" spans="2:14" x14ac:dyDescent="0.3">
      <c r="B94" s="143"/>
      <c r="C94" s="164" t="s">
        <v>137</v>
      </c>
      <c r="D94" s="328">
        <f t="shared" ref="D94" si="36">D112</f>
        <v>19.968832183584468</v>
      </c>
      <c r="E94" s="125">
        <f t="shared" ref="E94:K94" si="37">E112</f>
        <v>19.523761722940385</v>
      </c>
      <c r="F94" s="125">
        <f t="shared" si="37"/>
        <v>19.1860264918623</v>
      </c>
      <c r="G94" s="125">
        <f t="shared" si="37"/>
        <v>23.218399180414135</v>
      </c>
      <c r="H94" s="142">
        <f t="shared" si="37"/>
        <v>26.429437233929139</v>
      </c>
      <c r="I94" s="126">
        <f t="shared" si="37"/>
        <v>29.164116448065755</v>
      </c>
      <c r="J94" s="126">
        <f t="shared" si="37"/>
        <v>33.615715934404264</v>
      </c>
      <c r="K94" s="126">
        <f t="shared" si="37"/>
        <v>35.865453737602145</v>
      </c>
      <c r="N94" s="151"/>
    </row>
    <row r="95" spans="2:14" x14ac:dyDescent="0.3">
      <c r="B95" s="135" t="s">
        <v>28</v>
      </c>
      <c r="C95" s="162" t="s">
        <v>132</v>
      </c>
      <c r="D95" s="326">
        <f t="shared" ref="D95" si="38">D113</f>
        <v>142.54126152704808</v>
      </c>
      <c r="E95" s="159">
        <f t="shared" ref="E95:K95" si="39">E113</f>
        <v>152.00750113453586</v>
      </c>
      <c r="F95" s="159">
        <f t="shared" si="39"/>
        <v>152.00750113453586</v>
      </c>
      <c r="G95" s="159">
        <f t="shared" si="39"/>
        <v>156.16316803392516</v>
      </c>
      <c r="H95" s="138">
        <f t="shared" si="39"/>
        <v>156.0231876752089</v>
      </c>
      <c r="I95" s="153">
        <f t="shared" si="39"/>
        <v>156.04068522004843</v>
      </c>
      <c r="J95" s="153">
        <f t="shared" si="39"/>
        <v>156.15441926150538</v>
      </c>
      <c r="K95" s="153">
        <f t="shared" si="39"/>
        <v>156.1019266269868</v>
      </c>
      <c r="N95" s="151"/>
    </row>
    <row r="96" spans="2:14" x14ac:dyDescent="0.3">
      <c r="B96" s="140"/>
      <c r="C96" s="163" t="s">
        <v>138</v>
      </c>
      <c r="D96" s="327">
        <f t="shared" ref="D96" si="40">D114</f>
        <v>259.06393230814103</v>
      </c>
      <c r="E96" s="65">
        <f t="shared" ref="E96:K96" si="41">E114</f>
        <v>276.26850332578636</v>
      </c>
      <c r="F96" s="65">
        <f t="shared" si="41"/>
        <v>276.26850332578636</v>
      </c>
      <c r="G96" s="65">
        <f t="shared" si="41"/>
        <v>283.82128766896608</v>
      </c>
      <c r="H96" s="141">
        <f t="shared" si="41"/>
        <v>283.56687809109059</v>
      </c>
      <c r="I96" s="67">
        <f t="shared" si="41"/>
        <v>283.598679288325</v>
      </c>
      <c r="J96" s="67">
        <f t="shared" si="41"/>
        <v>283.8053870703489</v>
      </c>
      <c r="K96" s="67">
        <f t="shared" si="41"/>
        <v>283.70998347864554</v>
      </c>
      <c r="N96" s="151"/>
    </row>
    <row r="97" spans="2:14" x14ac:dyDescent="0.3">
      <c r="B97" s="143"/>
      <c r="C97" s="164" t="s">
        <v>139</v>
      </c>
      <c r="D97" s="328">
        <f t="shared" ref="D97" si="42">D115</f>
        <v>19.575211195494443</v>
      </c>
      <c r="E97" s="125">
        <f t="shared" ref="E97:K97" si="43">E115</f>
        <v>20.875211192397551</v>
      </c>
      <c r="F97" s="125">
        <f t="shared" si="43"/>
        <v>20.875211192397551</v>
      </c>
      <c r="G97" s="125">
        <f t="shared" si="43"/>
        <v>21.445909503484376</v>
      </c>
      <c r="H97" s="142">
        <f t="shared" si="43"/>
        <v>21.426685981426711</v>
      </c>
      <c r="I97" s="126">
        <f t="shared" si="43"/>
        <v>21.42908892168392</v>
      </c>
      <c r="J97" s="126">
        <f t="shared" si="43"/>
        <v>21.44470803335577</v>
      </c>
      <c r="K97" s="126">
        <f t="shared" si="43"/>
        <v>21.437499212584147</v>
      </c>
      <c r="N97" s="151"/>
    </row>
    <row r="98" spans="2:14" x14ac:dyDescent="0.3">
      <c r="B98" s="135" t="s">
        <v>29</v>
      </c>
      <c r="C98" s="162" t="s">
        <v>131</v>
      </c>
      <c r="D98" s="326">
        <f t="shared" ref="D98" si="44">D116</f>
        <v>0</v>
      </c>
      <c r="E98" s="159">
        <f t="shared" ref="E98:K98" si="45">E116</f>
        <v>0</v>
      </c>
      <c r="F98" s="159">
        <f t="shared" si="45"/>
        <v>0</v>
      </c>
      <c r="G98" s="159">
        <f t="shared" si="45"/>
        <v>0</v>
      </c>
      <c r="H98" s="138">
        <f t="shared" si="45"/>
        <v>0</v>
      </c>
      <c r="I98" s="153">
        <f t="shared" si="45"/>
        <v>0</v>
      </c>
      <c r="J98" s="153">
        <f t="shared" si="45"/>
        <v>0</v>
      </c>
      <c r="K98" s="153">
        <f t="shared" si="45"/>
        <v>0</v>
      </c>
      <c r="N98" s="151"/>
    </row>
    <row r="99" spans="2:14" x14ac:dyDescent="0.3">
      <c r="B99" s="140"/>
      <c r="C99" s="163" t="s">
        <v>140</v>
      </c>
      <c r="D99" s="327">
        <f t="shared" ref="D99" si="46">D117</f>
        <v>0</v>
      </c>
      <c r="E99" s="65">
        <f t="shared" ref="E99:K99" si="47">E117</f>
        <v>7.5</v>
      </c>
      <c r="F99" s="65">
        <f t="shared" si="47"/>
        <v>7.5</v>
      </c>
      <c r="G99" s="65">
        <f t="shared" si="47"/>
        <v>7.5</v>
      </c>
      <c r="H99" s="141">
        <f t="shared" si="47"/>
        <v>7.5</v>
      </c>
      <c r="I99" s="67">
        <f t="shared" si="47"/>
        <v>0</v>
      </c>
      <c r="J99" s="67">
        <f t="shared" si="47"/>
        <v>0</v>
      </c>
      <c r="K99" s="67">
        <f t="shared" si="47"/>
        <v>0</v>
      </c>
      <c r="N99" s="151"/>
    </row>
    <row r="100" spans="2:14" x14ac:dyDescent="0.3">
      <c r="B100" s="143"/>
      <c r="C100" s="164" t="s">
        <v>141</v>
      </c>
      <c r="D100" s="328">
        <f t="shared" ref="D100" si="48">D118</f>
        <v>2</v>
      </c>
      <c r="E100" s="125">
        <f t="shared" ref="E100:K100" si="49">E118</f>
        <v>1</v>
      </c>
      <c r="F100" s="125">
        <f t="shared" si="49"/>
        <v>2</v>
      </c>
      <c r="G100" s="125">
        <f t="shared" si="49"/>
        <v>2</v>
      </c>
      <c r="H100" s="142">
        <f t="shared" si="49"/>
        <v>4</v>
      </c>
      <c r="I100" s="126">
        <f t="shared" si="49"/>
        <v>2</v>
      </c>
      <c r="J100" s="126">
        <f t="shared" si="49"/>
        <v>1</v>
      </c>
      <c r="K100" s="126">
        <f t="shared" si="49"/>
        <v>1</v>
      </c>
      <c r="N100" s="151"/>
    </row>
    <row r="101" spans="2:14" x14ac:dyDescent="0.3">
      <c r="B101" s="146"/>
      <c r="C101" s="148"/>
      <c r="D101" s="167">
        <f>SUM(D87:D100)</f>
        <v>19107.999999999996</v>
      </c>
      <c r="E101" s="167">
        <f>SUM(E87:E100)</f>
        <v>19231.882893786875</v>
      </c>
      <c r="F101" s="167">
        <f t="shared" ref="F101" si="50">SUM(F87:F100)</f>
        <v>19359.751935623881</v>
      </c>
      <c r="G101" s="167">
        <f t="shared" ref="G101" si="51">SUM(G87:G100)</f>
        <v>20033.421801064171</v>
      </c>
      <c r="H101" s="167">
        <f t="shared" ref="H101" si="52">SUM(H87:H100)</f>
        <v>20145.914248233657</v>
      </c>
      <c r="I101" s="167">
        <f t="shared" ref="I101" si="53">SUM(I87:I100)</f>
        <v>20219.66844990732</v>
      </c>
      <c r="J101" s="167">
        <f t="shared" ref="J101" si="54">SUM(J87:J100)</f>
        <v>20338.470115296845</v>
      </c>
      <c r="K101" s="167">
        <f t="shared" ref="K101" si="55">SUM(K87:K100)</f>
        <v>20428.867448551624</v>
      </c>
    </row>
    <row r="102" spans="2:14" x14ac:dyDescent="0.3">
      <c r="D102" s="151">
        <f>D101-'2.5.3_Volumes'!E23</f>
        <v>0</v>
      </c>
      <c r="E102" s="151">
        <f>E101-'2.5.3_Volumes'!F23</f>
        <v>0</v>
      </c>
      <c r="F102" s="151">
        <f>F101-'2.5.3_Volumes'!G23</f>
        <v>0</v>
      </c>
      <c r="G102" s="151">
        <f>G101-'2.5.3_Volumes'!H23</f>
        <v>0</v>
      </c>
      <c r="H102" s="151">
        <f>H101-'2.5.3_Volumes'!I23</f>
        <v>0</v>
      </c>
      <c r="I102" s="151">
        <f>I101-'2.5.3_Volumes'!J23</f>
        <v>0</v>
      </c>
      <c r="J102" s="151">
        <f>J101-'2.5.3_Volumes'!K23</f>
        <v>0</v>
      </c>
      <c r="K102" s="151">
        <f>K101-'2.5.3_Volumes'!L23</f>
        <v>0</v>
      </c>
    </row>
    <row r="103" spans="2:14" x14ac:dyDescent="0.3">
      <c r="B103" s="168" t="s">
        <v>154</v>
      </c>
      <c r="G103" s="503" t="s">
        <v>303</v>
      </c>
      <c r="H103" s="504"/>
      <c r="I103" s="504"/>
      <c r="J103" s="504"/>
      <c r="K103" s="505"/>
    </row>
    <row r="104" spans="2:14" x14ac:dyDescent="0.3">
      <c r="B104" s="165" t="s">
        <v>31</v>
      </c>
      <c r="C104" s="161" t="s">
        <v>145</v>
      </c>
      <c r="D104" s="320" t="str">
        <f>Allocations!J$50</f>
        <v>2023-24</v>
      </c>
      <c r="E104" s="57" t="str">
        <f>Allocations!K$50</f>
        <v>2024-25</v>
      </c>
      <c r="F104" s="57" t="str">
        <f>Allocations!L$50</f>
        <v>2025-26</v>
      </c>
      <c r="G104" s="57" t="str">
        <f>Allocations!M$50</f>
        <v>2026-27</v>
      </c>
      <c r="H104" s="160" t="str">
        <f>Allocations!N$50</f>
        <v>2027–28</v>
      </c>
      <c r="I104" s="58" t="str">
        <f>Allocations!O$50</f>
        <v>2028–29</v>
      </c>
      <c r="J104" s="58" t="str">
        <f>Allocations!P$50</f>
        <v>2029–30</v>
      </c>
      <c r="K104" s="58" t="str">
        <f>Allocations!Q$50</f>
        <v>2030–31</v>
      </c>
    </row>
    <row r="105" spans="2:14" x14ac:dyDescent="0.3">
      <c r="B105" s="135" t="s">
        <v>26</v>
      </c>
      <c r="C105" s="162" t="s">
        <v>131</v>
      </c>
      <c r="D105" s="326">
        <f>'2.5.3_Volumes'!E$37*Historical_CY!$O32</f>
        <v>625.24219603665608</v>
      </c>
      <c r="E105" s="159">
        <f>'2.5.3_Volumes'!F$37*Historical_CY!$O32</f>
        <v>676.2767536029769</v>
      </c>
      <c r="F105" s="159">
        <f>'2.5.3_Volumes'!G$37*Historical_CY!$O32</f>
        <v>722.91071868676761</v>
      </c>
      <c r="G105" s="159">
        <f>'2.5.3_Volumes'!H$37*Historical_CY!$O32</f>
        <v>734.07203501989011</v>
      </c>
      <c r="H105" s="138">
        <f>'2.5.3_Volumes'!I$37*Historical_CY!$O32</f>
        <v>744.85739122389691</v>
      </c>
      <c r="I105" s="153">
        <f>'2.5.3_Volumes'!J$37*Historical_CY!$O32</f>
        <v>744.5284261109208</v>
      </c>
      <c r="J105" s="153">
        <f>'2.5.3_Volumes'!K$37*Historical_CY!$O32</f>
        <v>744.88088873196682</v>
      </c>
      <c r="K105" s="153">
        <f>'2.5.3_Volumes'!L$37*Historical_CY!$O32</f>
        <v>745.04537128845493</v>
      </c>
      <c r="N105" s="151"/>
    </row>
    <row r="106" spans="2:14" x14ac:dyDescent="0.3">
      <c r="B106" s="140"/>
      <c r="C106" s="163" t="s">
        <v>132</v>
      </c>
      <c r="D106" s="327">
        <f>'2.5.3_Volumes'!E$37*Historical_CY!$O33</f>
        <v>870.38663562909039</v>
      </c>
      <c r="E106" s="65">
        <f>'2.5.3_Volumes'!F$37*Historical_CY!$O33</f>
        <v>941.43078003031837</v>
      </c>
      <c r="F106" s="65">
        <f>'2.5.3_Volumes'!G$37*Historical_CY!$O33</f>
        <v>1006.3489513127721</v>
      </c>
      <c r="G106" s="65">
        <f>'2.5.3_Volumes'!H$37*Historical_CY!$O33</f>
        <v>1021.8863872599278</v>
      </c>
      <c r="H106" s="141">
        <f>'2.5.3_Volumes'!I$37*Historical_CY!$O33</f>
        <v>1036.9004569436004</v>
      </c>
      <c r="I106" s="67">
        <f>'2.5.3_Volumes'!J$37*Historical_CY!$O33</f>
        <v>1036.4425114630528</v>
      </c>
      <c r="J106" s="67">
        <f>'2.5.3_Volumes'!K$37*Historical_CY!$O33</f>
        <v>1036.9331673350682</v>
      </c>
      <c r="K106" s="67">
        <f>'2.5.3_Volumes'!L$37*Historical_CY!$O33</f>
        <v>1037.162140075342</v>
      </c>
      <c r="N106" s="151"/>
    </row>
    <row r="107" spans="2:14" x14ac:dyDescent="0.3">
      <c r="B107" s="143"/>
      <c r="C107" s="164" t="s">
        <v>133</v>
      </c>
      <c r="D107" s="328">
        <f>'2.5.3_Volumes'!E$37*Historical_CY!$O34</f>
        <v>341.1907633035695</v>
      </c>
      <c r="E107" s="125">
        <f>'2.5.3_Volumes'!F$37*Historical_CY!$O34</f>
        <v>369.04000278434842</v>
      </c>
      <c r="F107" s="125">
        <f>'2.5.3_Volumes'!G$37*Historical_CY!$O34</f>
        <v>394.48786641810381</v>
      </c>
      <c r="G107" s="125">
        <f>'2.5.3_Volumes'!H$37*Historical_CY!$O34</f>
        <v>400.57852706658537</v>
      </c>
      <c r="H107" s="142">
        <f>'2.5.3_Volumes'!I$37*Historical_CY!$O34</f>
        <v>406.46402861953914</v>
      </c>
      <c r="I107" s="126">
        <f>'2.5.3_Volumes'!J$37*Historical_CY!$O34</f>
        <v>406.2845144109524</v>
      </c>
      <c r="J107" s="126">
        <f>'2.5.3_Volumes'!K$37*Historical_CY!$O34</f>
        <v>406.47685106300969</v>
      </c>
      <c r="K107" s="126">
        <f>'2.5.3_Volumes'!L$37*Historical_CY!$O34</f>
        <v>406.56660816730312</v>
      </c>
      <c r="N107" s="151"/>
    </row>
    <row r="108" spans="2:14" x14ac:dyDescent="0.3">
      <c r="B108" s="135" t="s">
        <v>27</v>
      </c>
      <c r="C108" s="162" t="s">
        <v>131</v>
      </c>
      <c r="D108" s="326">
        <f>('2.5.3_Volumes'!E$43-'2.5.3_Volumes'!E$40)*Historical_CY!$O35</f>
        <v>4.257593773278801</v>
      </c>
      <c r="E108" s="159">
        <f>('2.5.3_Volumes'!F$43-'2.5.3_Volumes'!F$40)*Historical_CY!$O35</f>
        <v>4.1626994297094093</v>
      </c>
      <c r="F108" s="159">
        <f>('2.5.3_Volumes'!G$43-'2.5.3_Volumes'!G$40)*Historical_CY!$O35</f>
        <v>4.0906902404070431</v>
      </c>
      <c r="G108" s="159">
        <f>('2.5.3_Volumes'!H$43-'2.5.3_Volumes'!H$40)*Historical_CY!$O35</f>
        <v>4.9504403095388296</v>
      </c>
      <c r="H108" s="138">
        <f>('2.5.3_Volumes'!I$43-'2.5.3_Volumes'!I$40)*Historical_CY!$O35</f>
        <v>5.6350720144236721</v>
      </c>
      <c r="I108" s="153">
        <f>('2.5.3_Volumes'!J$43-'2.5.3_Volumes'!J$40)*Historical_CY!$O35</f>
        <v>6.218138319302251</v>
      </c>
      <c r="J108" s="153">
        <f>('2.5.3_Volumes'!K$43-'2.5.3_Volumes'!K$40)*Historical_CY!$O35</f>
        <v>6.9540605978703338</v>
      </c>
      <c r="K108" s="153">
        <f>('2.5.3_Volumes'!L$43-'2.5.3_Volumes'!L$40)*Historical_CY!$O35</f>
        <v>7.6469435520902627</v>
      </c>
      <c r="N108" s="151"/>
    </row>
    <row r="109" spans="2:14" x14ac:dyDescent="0.3">
      <c r="B109" s="140"/>
      <c r="C109" s="163" t="s">
        <v>134</v>
      </c>
      <c r="D109" s="327">
        <f>('2.5.3_Volumes'!E$43-'2.5.3_Volumes'!E$40)*Historical_CY!$O36</f>
        <v>186.7834002087628</v>
      </c>
      <c r="E109" s="65">
        <f>('2.5.3_Volumes'!F$43-'2.5.3_Volumes'!F$40)*Historical_CY!$O36</f>
        <v>182.62032381013788</v>
      </c>
      <c r="F109" s="65">
        <f>('2.5.3_Volumes'!G$43-'2.5.3_Volumes'!G$40)*Historical_CY!$O36</f>
        <v>179.46123397197923</v>
      </c>
      <c r="G109" s="65">
        <f>('2.5.3_Volumes'!H$43-'2.5.3_Volumes'!H$40)*Historical_CY!$O36</f>
        <v>217.17902711843172</v>
      </c>
      <c r="H109" s="141">
        <f>('2.5.3_Volumes'!I$43-'2.5.3_Volumes'!I$40)*Historical_CY!$O36</f>
        <v>247.21426404772518</v>
      </c>
      <c r="I109" s="67">
        <f>('2.5.3_Volumes'!J$43-'2.5.3_Volumes'!J$40)*Historical_CY!$O36</f>
        <v>272.793761005818</v>
      </c>
      <c r="J109" s="67">
        <f>('2.5.3_Volumes'!K$43-'2.5.3_Volumes'!K$40)*Historical_CY!$O36</f>
        <v>305.07914866845294</v>
      </c>
      <c r="K109" s="67">
        <f>('2.5.3_Volumes'!L$43-'2.5.3_Volumes'!L$40)*Historical_CY!$O36</f>
        <v>335.47637325764254</v>
      </c>
      <c r="N109" s="151"/>
    </row>
    <row r="110" spans="2:14" x14ac:dyDescent="0.3">
      <c r="B110" s="140"/>
      <c r="C110" s="163" t="s">
        <v>135</v>
      </c>
      <c r="D110" s="327">
        <f>('2.5.3_Volumes'!E$43-'2.5.3_Volumes'!E$40)*Historical_CY!$O37</f>
        <v>98.329483752630949</v>
      </c>
      <c r="E110" s="65">
        <f>('2.5.3_Volumes'!F$43-'2.5.3_Volumes'!F$40)*Historical_CY!$O37</f>
        <v>96.137890963110962</v>
      </c>
      <c r="F110" s="65">
        <f>('2.5.3_Volumes'!G$43-'2.5.3_Volumes'!G$40)*Historical_CY!$O37</f>
        <v>94.474832722565296</v>
      </c>
      <c r="G110" s="65">
        <f>('2.5.3_Volumes'!H$43-'2.5.3_Volumes'!H$40)*Historical_CY!$O37</f>
        <v>114.33083236832611</v>
      </c>
      <c r="H110" s="141">
        <f>('2.5.3_Volumes'!I$43-'2.5.3_Volumes'!I$40)*Historical_CY!$O37</f>
        <v>130.14245876737712</v>
      </c>
      <c r="I110" s="67">
        <f>('2.5.3_Volumes'!J$43-'2.5.3_Volumes'!J$40)*Historical_CY!$O37</f>
        <v>143.60842377138746</v>
      </c>
      <c r="J110" s="67">
        <f>('2.5.3_Volumes'!K$43-'2.5.3_Volumes'!K$40)*Historical_CY!$O37</f>
        <v>160.60461025301424</v>
      </c>
      <c r="K110" s="67">
        <f>('2.5.3_Volumes'!L$43-'2.5.3_Volumes'!L$40)*Historical_CY!$O37</f>
        <v>176.60679994453463</v>
      </c>
      <c r="N110" s="151"/>
    </row>
    <row r="111" spans="2:14" x14ac:dyDescent="0.3">
      <c r="B111" s="140"/>
      <c r="C111" s="163" t="s">
        <v>136</v>
      </c>
      <c r="D111" s="327">
        <f>('2.5.3_Volumes'!E$43-'2.5.3_Volumes'!E$40)*Historical_CY!$O38</f>
        <v>289.66069008174298</v>
      </c>
      <c r="E111" s="65">
        <f>('2.5.3_Volumes'!F$43-'2.5.3_Volumes'!F$40)*Historical_CY!$O38</f>
        <v>283.20465822269699</v>
      </c>
      <c r="F111" s="65">
        <f>('2.5.3_Volumes'!G$43-'2.5.3_Volumes'!G$40)*Historical_CY!$O38</f>
        <v>278.3055925587862</v>
      </c>
      <c r="G111" s="65">
        <f>('2.5.3_Volumes'!H$43-'2.5.3_Volumes'!H$40)*Historical_CY!$O38</f>
        <v>336.79773896446721</v>
      </c>
      <c r="H111" s="141">
        <f>('2.5.3_Volumes'!I$43-'2.5.3_Volumes'!I$40)*Historical_CY!$O38</f>
        <v>383.37590086742011</v>
      </c>
      <c r="I111" s="67">
        <f>('2.5.3_Volumes'!J$43-'2.5.3_Volumes'!J$40)*Historical_CY!$O38</f>
        <v>423.04417295446717</v>
      </c>
      <c r="J111" s="67">
        <f>('2.5.3_Volumes'!K$43-'2.5.3_Volumes'!K$40)*Historical_CY!$O38</f>
        <v>473.1118323902798</v>
      </c>
      <c r="K111" s="67">
        <f>('2.5.3_Volumes'!L$43-'2.5.3_Volumes'!L$40)*Historical_CY!$O38</f>
        <v>520.25135892868423</v>
      </c>
      <c r="N111" s="151"/>
    </row>
    <row r="112" spans="2:14" x14ac:dyDescent="0.3">
      <c r="B112" s="143"/>
      <c r="C112" s="164" t="s">
        <v>137</v>
      </c>
      <c r="D112" s="328">
        <f>('2.5.3_Volumes'!E$43-'2.5.3_Volumes'!E$40)*Historical_CY!$O39+'2.5.3_Volumes'!E40</f>
        <v>19.968832183584468</v>
      </c>
      <c r="E112" s="125">
        <f>('2.5.3_Volumes'!F$43-'2.5.3_Volumes'!F$40)*Historical_CY!$O39+'2.5.3_Volumes'!F40</f>
        <v>19.523761722940385</v>
      </c>
      <c r="F112" s="125">
        <f>('2.5.3_Volumes'!G$43-'2.5.3_Volumes'!G$40)*Historical_CY!$O39+'2.5.3_Volumes'!G40</f>
        <v>19.1860264918623</v>
      </c>
      <c r="G112" s="125">
        <f>('2.5.3_Volumes'!H$43-'2.5.3_Volumes'!H$40)*Historical_CY!$O39+'2.5.3_Volumes'!H40</f>
        <v>23.218399180414135</v>
      </c>
      <c r="H112" s="142">
        <f>('2.5.3_Volumes'!I$43-'2.5.3_Volumes'!I$40)*Historical_CY!$O39+'2.5.3_Volumes'!I40</f>
        <v>26.429437233929139</v>
      </c>
      <c r="I112" s="126">
        <f>('2.5.3_Volumes'!J$43-'2.5.3_Volumes'!J$40)*Historical_CY!$O39+'2.5.3_Volumes'!J40</f>
        <v>29.164116448065755</v>
      </c>
      <c r="J112" s="126">
        <f>('2.5.3_Volumes'!K$43-'2.5.3_Volumes'!K$40)*Historical_CY!$O39+'2.5.3_Volumes'!K40</f>
        <v>33.615715934404264</v>
      </c>
      <c r="K112" s="126">
        <f>('2.5.3_Volumes'!L$43-'2.5.3_Volumes'!L$40)*Historical_CY!$O39+'2.5.3_Volumes'!L40</f>
        <v>35.865453737602145</v>
      </c>
      <c r="N112" s="151"/>
    </row>
    <row r="113" spans="2:14" x14ac:dyDescent="0.3">
      <c r="B113" s="135" t="s">
        <v>28</v>
      </c>
      <c r="C113" s="162" t="s">
        <v>132</v>
      </c>
      <c r="D113" s="326">
        <f>'2.5.3_Volumes'!E$46*Historical_CY!$O40</f>
        <v>142.54126152704808</v>
      </c>
      <c r="E113" s="159">
        <f>'2.5.3_Volumes'!F$46*Historical_CY!$O40</f>
        <v>152.00750113453586</v>
      </c>
      <c r="F113" s="159">
        <f>'2.5.3_Volumes'!G$46*Historical_CY!$O40</f>
        <v>152.00750113453586</v>
      </c>
      <c r="G113" s="159">
        <f>'2.5.3_Volumes'!H$46*Historical_CY!$O40</f>
        <v>156.16316803392516</v>
      </c>
      <c r="H113" s="138">
        <f>'2.5.3_Volumes'!I$46*Historical_CY!$O40</f>
        <v>156.0231876752089</v>
      </c>
      <c r="I113" s="153">
        <f>'2.5.3_Volumes'!J$46*Historical_CY!$O40</f>
        <v>156.04068522004843</v>
      </c>
      <c r="J113" s="153">
        <f>'2.5.3_Volumes'!K$46*Historical_CY!$O40</f>
        <v>156.15441926150538</v>
      </c>
      <c r="K113" s="153">
        <f>'2.5.3_Volumes'!L$46*Historical_CY!$O40</f>
        <v>156.1019266269868</v>
      </c>
      <c r="N113" s="151"/>
    </row>
    <row r="114" spans="2:14" x14ac:dyDescent="0.3">
      <c r="B114" s="140"/>
      <c r="C114" s="163" t="s">
        <v>138</v>
      </c>
      <c r="D114" s="327">
        <f>'2.5.3_Volumes'!E$46*Historical_CY!$O41</f>
        <v>259.06393230814103</v>
      </c>
      <c r="E114" s="65">
        <f>'2.5.3_Volumes'!F$46*Historical_CY!$O41</f>
        <v>276.26850332578636</v>
      </c>
      <c r="F114" s="65">
        <f>'2.5.3_Volumes'!G$46*Historical_CY!$O41</f>
        <v>276.26850332578636</v>
      </c>
      <c r="G114" s="65">
        <f>'2.5.3_Volumes'!H$46*Historical_CY!$O41</f>
        <v>283.82128766896608</v>
      </c>
      <c r="H114" s="141">
        <f>'2.5.3_Volumes'!I$46*Historical_CY!$O41</f>
        <v>283.56687809109059</v>
      </c>
      <c r="I114" s="67">
        <f>'2.5.3_Volumes'!J$46*Historical_CY!$O41</f>
        <v>283.598679288325</v>
      </c>
      <c r="J114" s="67">
        <f>'2.5.3_Volumes'!K$46*Historical_CY!$O41</f>
        <v>283.8053870703489</v>
      </c>
      <c r="K114" s="67">
        <f>'2.5.3_Volumes'!L$46*Historical_CY!$O41</f>
        <v>283.70998347864554</v>
      </c>
      <c r="N114" s="151"/>
    </row>
    <row r="115" spans="2:14" x14ac:dyDescent="0.3">
      <c r="B115" s="143"/>
      <c r="C115" s="164" t="s">
        <v>139</v>
      </c>
      <c r="D115" s="328">
        <f>'2.5.3_Volumes'!E$46*Historical_CY!$O42</f>
        <v>19.575211195494443</v>
      </c>
      <c r="E115" s="125">
        <f>'2.5.3_Volumes'!F$46*Historical_CY!$O42</f>
        <v>20.875211192397551</v>
      </c>
      <c r="F115" s="125">
        <f>'2.5.3_Volumes'!G$46*Historical_CY!$O42</f>
        <v>20.875211192397551</v>
      </c>
      <c r="G115" s="125">
        <f>'2.5.3_Volumes'!H$46*Historical_CY!$O42</f>
        <v>21.445909503484376</v>
      </c>
      <c r="H115" s="142">
        <f>'2.5.3_Volumes'!I$46*Historical_CY!$O42</f>
        <v>21.426685981426711</v>
      </c>
      <c r="I115" s="126">
        <f>'2.5.3_Volumes'!J$46*Historical_CY!$O42</f>
        <v>21.42908892168392</v>
      </c>
      <c r="J115" s="126">
        <f>'2.5.3_Volumes'!K$46*Historical_CY!$O42</f>
        <v>21.44470803335577</v>
      </c>
      <c r="K115" s="126">
        <f>'2.5.3_Volumes'!L$46*Historical_CY!$O42</f>
        <v>21.437499212584147</v>
      </c>
      <c r="N115" s="151"/>
    </row>
    <row r="116" spans="2:14" x14ac:dyDescent="0.3">
      <c r="B116" s="135" t="s">
        <v>29</v>
      </c>
      <c r="C116" s="162" t="s">
        <v>131</v>
      </c>
      <c r="D116" s="326"/>
      <c r="E116" s="159"/>
      <c r="F116" s="159"/>
      <c r="G116" s="159"/>
      <c r="H116" s="138"/>
      <c r="I116" s="153"/>
      <c r="J116" s="153"/>
      <c r="K116" s="153"/>
      <c r="N116" s="151"/>
    </row>
    <row r="117" spans="2:14" x14ac:dyDescent="0.3">
      <c r="B117" s="140"/>
      <c r="C117" s="163" t="s">
        <v>140</v>
      </c>
      <c r="D117" s="327">
        <f>'2.5.3_Volumes'!E47</f>
        <v>0</v>
      </c>
      <c r="E117" s="65">
        <f>'2.5.3_Volumes'!F47</f>
        <v>7.5</v>
      </c>
      <c r="F117" s="65">
        <f>'2.5.3_Volumes'!G47</f>
        <v>7.5</v>
      </c>
      <c r="G117" s="65">
        <f>'2.5.3_Volumes'!H47</f>
        <v>7.5</v>
      </c>
      <c r="H117" s="141">
        <f>'2.5.3_Volumes'!I47</f>
        <v>7.5</v>
      </c>
      <c r="I117" s="67">
        <f>'2.5.3_Volumes'!J47</f>
        <v>0</v>
      </c>
      <c r="J117" s="67">
        <f>'2.5.3_Volumes'!K47</f>
        <v>0</v>
      </c>
      <c r="K117" s="67">
        <f>'2.5.3_Volumes'!L47</f>
        <v>0</v>
      </c>
      <c r="N117" s="151"/>
    </row>
    <row r="118" spans="2:14" x14ac:dyDescent="0.3">
      <c r="B118" s="143"/>
      <c r="C118" s="164" t="s">
        <v>141</v>
      </c>
      <c r="D118" s="328">
        <f>'2.5.3_Volumes'!E48+'2.5.3_Volumes'!E49</f>
        <v>2</v>
      </c>
      <c r="E118" s="125">
        <f>'2.5.3_Volumes'!F48+'2.5.3_Volumes'!F49</f>
        <v>1</v>
      </c>
      <c r="F118" s="125">
        <f>'2.5.3_Volumes'!G48+'2.5.3_Volumes'!G49</f>
        <v>2</v>
      </c>
      <c r="G118" s="125">
        <f>'2.5.3_Volumes'!H48+'2.5.3_Volumes'!H49</f>
        <v>2</v>
      </c>
      <c r="H118" s="142">
        <f>'2.5.3_Volumes'!I48+'2.5.3_Volumes'!I49</f>
        <v>4</v>
      </c>
      <c r="I118" s="126">
        <f>'2.5.3_Volumes'!J48+'2.5.3_Volumes'!J49</f>
        <v>2</v>
      </c>
      <c r="J118" s="126">
        <f>'2.5.3_Volumes'!K48+'2.5.3_Volumes'!K49</f>
        <v>1</v>
      </c>
      <c r="K118" s="126">
        <f>'2.5.3_Volumes'!L48+'2.5.3_Volumes'!L49</f>
        <v>1</v>
      </c>
      <c r="N118" s="151"/>
    </row>
    <row r="119" spans="2:14" x14ac:dyDescent="0.3">
      <c r="B119" s="146"/>
      <c r="C119" s="148"/>
      <c r="D119" s="167">
        <f>SUM(D105:D118)</f>
        <v>2858.9999999999986</v>
      </c>
      <c r="E119" s="167">
        <f>SUM(E105:E118)</f>
        <v>3030.0480862189588</v>
      </c>
      <c r="F119" s="167">
        <f t="shared" ref="F119:K119" si="56">SUM(F105:F118)</f>
        <v>3157.9171280559631</v>
      </c>
      <c r="G119" s="167">
        <f t="shared" si="56"/>
        <v>3323.9437524939567</v>
      </c>
      <c r="H119" s="167">
        <f t="shared" si="56"/>
        <v>3453.5357614656377</v>
      </c>
      <c r="I119" s="167">
        <f t="shared" si="56"/>
        <v>3525.1525179140244</v>
      </c>
      <c r="J119" s="167">
        <f t="shared" si="56"/>
        <v>3630.0607893392762</v>
      </c>
      <c r="K119" s="167">
        <f t="shared" si="56"/>
        <v>3726.8704582698701</v>
      </c>
    </row>
    <row r="120" spans="2:14" x14ac:dyDescent="0.3">
      <c r="D120" s="151">
        <f>D119-'2.5.3_Volumes'!E51</f>
        <v>0</v>
      </c>
      <c r="E120" s="151">
        <f>E119-'2.5.3_Volumes'!F51</f>
        <v>0</v>
      </c>
      <c r="F120" s="151">
        <f>F119-'2.5.3_Volumes'!G51</f>
        <v>0</v>
      </c>
      <c r="G120" s="151">
        <f>G119-'2.5.3_Volumes'!H51</f>
        <v>0</v>
      </c>
      <c r="H120" s="151">
        <f>H119-'2.5.3_Volumes'!I51</f>
        <v>0</v>
      </c>
      <c r="I120" s="151">
        <f>I119-'2.5.3_Volumes'!J51</f>
        <v>0</v>
      </c>
      <c r="J120" s="151">
        <f>J119-'2.5.3_Volumes'!K51</f>
        <v>0</v>
      </c>
      <c r="K120" s="151">
        <f>K119-'2.5.3_Volumes'!L51</f>
        <v>0</v>
      </c>
    </row>
  </sheetData>
  <mergeCells count="5">
    <mergeCell ref="G4:K4"/>
    <mergeCell ref="G23:K23"/>
    <mergeCell ref="G47:K47"/>
    <mergeCell ref="G85:K85"/>
    <mergeCell ref="G103:K103"/>
  </mergeCells>
  <hyperlinks>
    <hyperlink ref="B1" location="Contents!A1" display="Table of Contents" xr:uid="{00000000-0004-0000-1A00-000000000000}"/>
  </hyperlinks>
  <pageMargins left="0.25" right="0.25" top="0.75" bottom="0.75" header="0.3" footer="0.3"/>
  <pageSetup paperSize="9" scale="70" orientation="portrait" verticalDpi="0" r:id="rId1"/>
  <headerFooter>
    <oddFooter>&amp;C_x000D_&amp;1#&amp;"Century Gothic"&amp;7&amp;K7F7F7F BUSINESS USE ONLY</oddFooter>
  </headerFooter>
  <ignoredErrors>
    <ignoredError sqref="E90:K90"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B1:U55"/>
  <sheetViews>
    <sheetView zoomScale="85" zoomScaleNormal="85" workbookViewId="0">
      <selection activeCell="H28" sqref="H28"/>
    </sheetView>
  </sheetViews>
  <sheetFormatPr defaultColWidth="9.109375" defaultRowHeight="14.65" x14ac:dyDescent="0.3"/>
  <cols>
    <col min="1" max="1" width="4.6640625" style="31" customWidth="1"/>
    <col min="2" max="2" width="28.44140625" style="31" customWidth="1"/>
    <col min="3" max="3" width="8.33203125" style="31" customWidth="1"/>
    <col min="4" max="4" width="36.88671875" style="31" customWidth="1"/>
    <col min="5" max="5" width="9.21875" style="31" customWidth="1"/>
    <col min="6" max="6" width="8.33203125" style="31" customWidth="1"/>
    <col min="7" max="8" width="9" style="31" bestFit="1" customWidth="1"/>
    <col min="9" max="9" width="9.5546875" style="31" bestFit="1" customWidth="1"/>
    <col min="10" max="14" width="10" style="31" bestFit="1" customWidth="1"/>
    <col min="15" max="15" width="9.88671875" style="31" customWidth="1"/>
    <col min="16" max="16" width="10.88671875" style="31" customWidth="1"/>
    <col min="17" max="16384" width="9.109375" style="31"/>
  </cols>
  <sheetData>
    <row r="1" spans="2:21" x14ac:dyDescent="0.3">
      <c r="B1" s="51" t="s">
        <v>54</v>
      </c>
    </row>
    <row r="3" spans="2:21" x14ac:dyDescent="0.3">
      <c r="B3" s="52" t="s">
        <v>427</v>
      </c>
    </row>
    <row r="4" spans="2:21" x14ac:dyDescent="0.3">
      <c r="B4" s="31" t="s">
        <v>156</v>
      </c>
      <c r="E4" s="562" t="s">
        <v>299</v>
      </c>
      <c r="F4" s="563"/>
      <c r="G4" s="563"/>
      <c r="H4" s="563"/>
      <c r="I4" s="564"/>
      <c r="J4" s="503" t="s">
        <v>307</v>
      </c>
      <c r="K4" s="504"/>
      <c r="L4" s="504"/>
      <c r="M4" s="504"/>
      <c r="N4" s="505"/>
    </row>
    <row r="5" spans="2:21" x14ac:dyDescent="0.3">
      <c r="B5" s="132" t="s">
        <v>31</v>
      </c>
      <c r="C5" s="43" t="s">
        <v>30</v>
      </c>
      <c r="D5" s="133"/>
      <c r="E5" s="43" t="str">
        <f>Allocations!H$50</f>
        <v>2021-22</v>
      </c>
      <c r="F5" s="43" t="str">
        <f>Allocations!I$50</f>
        <v>2022-23</v>
      </c>
      <c r="G5" s="43" t="str">
        <f>Allocations!J$50</f>
        <v>2023-24</v>
      </c>
      <c r="H5" s="43" t="str">
        <f>Allocations!K$50</f>
        <v>2024-25</v>
      </c>
      <c r="I5" s="43" t="str">
        <f>Allocations!L$50</f>
        <v>2025-26</v>
      </c>
      <c r="J5" s="43" t="str">
        <f>Allocations!M$50</f>
        <v>2026-27</v>
      </c>
      <c r="K5" s="43" t="str">
        <f>Allocations!N$50</f>
        <v>2027–28</v>
      </c>
      <c r="L5" s="43" t="str">
        <f>Allocations!O$50</f>
        <v>2028–29</v>
      </c>
      <c r="M5" s="43" t="str">
        <f>Allocations!P$50</f>
        <v>2029–30</v>
      </c>
      <c r="N5" s="43" t="str">
        <f>Allocations!Q$50</f>
        <v>2030–31</v>
      </c>
      <c r="O5" s="43" t="s">
        <v>300</v>
      </c>
      <c r="P5" s="54" t="s">
        <v>129</v>
      </c>
    </row>
    <row r="6" spans="2:21" x14ac:dyDescent="0.3">
      <c r="B6" s="135" t="s">
        <v>26</v>
      </c>
      <c r="C6" s="136">
        <v>1013</v>
      </c>
      <c r="D6" s="137" t="str">
        <f>VLOOKUP(C6,Assumptions!$B$8:$C$14,2,FALSE)</f>
        <v>UNDERGROUND SERVICE INSTALLATION</v>
      </c>
      <c r="E6" s="138">
        <f>INDEX(Capex_Fcast_Total!$D$49:$M$56,MATCH(Direct_view!$D6,Capex_Fcast_Total!$AB$49:$AB$56,0),MATCH(Direct_view!E$5,Capex_Fcast_Total!$D$48:$M$48,0))*$P6</f>
        <v>7431.0070199999991</v>
      </c>
      <c r="F6" s="138">
        <f>INDEX(Capex_Fcast_Total!$D$49:$M$56,MATCH(Direct_view!$D6,Capex_Fcast_Total!$AB$49:$AB$56,0),MATCH(Direct_view!F$5,Capex_Fcast_Total!$D$48:$M$48,0))*$P6</f>
        <v>6855.4450699999989</v>
      </c>
      <c r="G6" s="138">
        <f>INDEX(Capex_Fcast_Total!$D$49:$M$56,MATCH(Direct_view!$D6,Capex_Fcast_Total!$AB$49:$AB$56,0),MATCH(Direct_view!G$5,Capex_Fcast_Total!$D$48:$M$48,0))*$P6</f>
        <v>7719.7267900000006</v>
      </c>
      <c r="H6" s="139">
        <f>INDEX(Capex_Fcast_Total!$D$49:$M$56,MATCH(Direct_view!$D6,Capex_Fcast_Total!$AB$49:$AB$56,0),MATCH(Direct_view!H$5,Capex_Fcast_Total!$D$48:$M$48,0))*$P6</f>
        <v>9242.0367625179042</v>
      </c>
      <c r="I6" s="138">
        <f>INDEX(Capex_Fcast_Total!$D$49:$M$56,MATCH(Direct_view!$D6,Capex_Fcast_Total!$AB$49:$AB$56,0),MATCH(Direct_view!I$5,Capex_Fcast_Total!$D$48:$M$48,0))*$P6</f>
        <v>10329.5525295142</v>
      </c>
      <c r="J6" s="138">
        <f>_xlfn.XLOOKUP($D6,'[1]Calc| Project Costs'!$C:$C,'[1]Calc| Project Costs'!X:X,0,0,1)*$P6</f>
        <v>15110.596003438464</v>
      </c>
      <c r="K6" s="138">
        <f>_xlfn.XLOOKUP($D6,'[1]Calc| Project Costs'!$C:$C,'[1]Calc| Project Costs'!Y:Y,0,0,1)*$P6</f>
        <v>15354.47376601906</v>
      </c>
      <c r="L6" s="138">
        <f>_xlfn.XLOOKUP($D6,'[1]Calc| Project Costs'!$C:$C,'[1]Calc| Project Costs'!Z:Z,0,0,1)*$P6</f>
        <v>15428.023943780428</v>
      </c>
      <c r="M6" s="138">
        <f>_xlfn.XLOOKUP($D6,'[1]Calc| Project Costs'!$C:$C,'[1]Calc| Project Costs'!AA:AA,0,0,1)*$P6</f>
        <v>15590.433511302968</v>
      </c>
      <c r="N6" s="138">
        <f>_xlfn.XLOOKUP($D6,'[1]Calc| Project Costs'!$C:$C,'[1]Calc| Project Costs'!AB:AB,0,0,1)*$P6</f>
        <v>15738.524795196041</v>
      </c>
      <c r="O6" s="138">
        <f>SUM(J6:N6)</f>
        <v>77222.052019736962</v>
      </c>
      <c r="P6" s="123">
        <v>1</v>
      </c>
    </row>
    <row r="7" spans="2:21" x14ac:dyDescent="0.3">
      <c r="B7" s="140"/>
      <c r="C7" s="32">
        <v>1016</v>
      </c>
      <c r="D7" s="31" t="str">
        <f>VLOOKUP(C7,Assumptions!$B$8:$C$14,2,FALSE)</f>
        <v>PRIVATE ELECTRIC LINE REPLACEMENT - RESIDENTIAL</v>
      </c>
      <c r="E7" s="141">
        <f>INDEX(Capex_Fcast_Total!$D$49:$M$56,MATCH(Direct_view!$D7,Capex_Fcast_Total!$AB$49:$AB$56,0),MATCH(Direct_view!E$5,Capex_Fcast_Total!$D$48:$M$48,0))*$P7</f>
        <v>533.53062000000011</v>
      </c>
      <c r="F7" s="141">
        <f>INDEX(Capex_Fcast_Total!$D$49:$M$56,MATCH(Direct_view!$D7,Capex_Fcast_Total!$AB$49:$AB$56,0),MATCH(Direct_view!F$5,Capex_Fcast_Total!$D$48:$M$48,0))*$P7</f>
        <v>387.07337700000005</v>
      </c>
      <c r="G7" s="141">
        <f>INDEX(Capex_Fcast_Total!$D$49:$M$56,MATCH(Direct_view!$D7,Capex_Fcast_Total!$AB$49:$AB$56,0),MATCH(Direct_view!G$5,Capex_Fcast_Total!$D$48:$M$48,0))*$P7</f>
        <v>277.05457800000005</v>
      </c>
      <c r="H7" s="66">
        <f>INDEX(Capex_Fcast_Total!$D$49:$M$56,MATCH(Direct_view!$D7,Capex_Fcast_Total!$AB$49:$AB$56,0),MATCH(Direct_view!H$5,Capex_Fcast_Total!$D$48:$M$48,0))*$P7</f>
        <v>406.37688427642928</v>
      </c>
      <c r="I7" s="141">
        <f>INDEX(Capex_Fcast_Total!$D$49:$M$56,MATCH(Direct_view!$D7,Capex_Fcast_Total!$AB$49:$AB$56,0),MATCH(Direct_view!I$5,Capex_Fcast_Total!$D$48:$M$48,0))*$P7</f>
        <v>627.96995358074241</v>
      </c>
      <c r="J7" s="141">
        <f>_xlfn.XLOOKUP($D7,'[1]Calc| Project Costs'!$C:$C,'[1]Calc| Project Costs'!X:X,0,0,1)*$P7</f>
        <v>630.46379717994569</v>
      </c>
      <c r="K7" s="141">
        <f>_xlfn.XLOOKUP($D7,'[1]Calc| Project Costs'!$C:$C,'[1]Calc| Project Costs'!Y:Y,0,0,1)*$P7</f>
        <v>634.2301213549672</v>
      </c>
      <c r="L7" s="141">
        <f>_xlfn.XLOOKUP($D7,'[1]Calc| Project Costs'!$C:$C,'[1]Calc| Project Costs'!Z:Z,0,0,1)*$P7</f>
        <v>640.56585344457847</v>
      </c>
      <c r="M7" s="141">
        <f>_xlfn.XLOOKUP($D7,'[1]Calc| Project Costs'!$C:$C,'[1]Calc| Project Costs'!AA:AA,0,0,1)*$P7</f>
        <v>631.10397791134812</v>
      </c>
      <c r="N7" s="141">
        <f>_xlfn.XLOOKUP($D7,'[1]Calc| Project Costs'!$C:$C,'[1]Calc| Project Costs'!AB:AB,0,0,1)*$P7</f>
        <v>621.32804056929569</v>
      </c>
      <c r="O7" s="141">
        <f t="shared" ref="O7:O9" si="0">SUM(J7:N7)</f>
        <v>3157.6917904601351</v>
      </c>
      <c r="P7" s="123">
        <v>0.9</v>
      </c>
      <c r="Q7" s="31" t="s">
        <v>157</v>
      </c>
    </row>
    <row r="8" spans="2:21" x14ac:dyDescent="0.3">
      <c r="B8" s="140"/>
      <c r="C8" s="32">
        <v>1018</v>
      </c>
      <c r="D8" s="31" t="str">
        <f>VLOOKUP(C8,Assumptions!$B$8:$C$14,2,FALSE)</f>
        <v>COMPLEX RESIDENTIAL SUPPLY PROJECTS</v>
      </c>
      <c r="E8" s="141">
        <f>INDEX(Capex_Fcast_Total!$D$49:$M$56,MATCH(Direct_view!$D8,Capex_Fcast_Total!$AB$49:$AB$56,0),MATCH(Direct_view!E$5,Capex_Fcast_Total!$D$48:$M$48,0))*$P8</f>
        <v>9635.1392999999989</v>
      </c>
      <c r="F8" s="141">
        <f>INDEX(Capex_Fcast_Total!$D$49:$M$56,MATCH(Direct_view!$D8,Capex_Fcast_Total!$AB$49:$AB$56,0),MATCH(Direct_view!F$5,Capex_Fcast_Total!$D$48:$M$48,0))*$P8</f>
        <v>8527.3511099999978</v>
      </c>
      <c r="G8" s="141">
        <f>INDEX(Capex_Fcast_Total!$D$49:$M$56,MATCH(Direct_view!$D8,Capex_Fcast_Total!$AB$49:$AB$56,0),MATCH(Direct_view!G$5,Capex_Fcast_Total!$D$48:$M$48,0))*$P8</f>
        <v>7785.4490699999997</v>
      </c>
      <c r="H8" s="66">
        <f>INDEX(Capex_Fcast_Total!$D$49:$M$56,MATCH(Direct_view!$D8,Capex_Fcast_Total!$AB$49:$AB$56,0),MATCH(Direct_view!H$5,Capex_Fcast_Total!$D$48:$M$48,0))*$P8</f>
        <v>10814.198361433104</v>
      </c>
      <c r="I8" s="141">
        <f>INDEX(Capex_Fcast_Total!$D$49:$M$56,MATCH(Direct_view!$D8,Capex_Fcast_Total!$AB$49:$AB$56,0),MATCH(Direct_view!I$5,Capex_Fcast_Total!$D$48:$M$48,0))*$P8</f>
        <v>11406.908035192897</v>
      </c>
      <c r="J8" s="141">
        <f>_xlfn.XLOOKUP($D8,'[1]Calc| Project Costs'!$C:$C,'[1]Calc| Project Costs'!X:X,0,0,1)*$P8</f>
        <v>11566.146261959599</v>
      </c>
      <c r="K8" s="141">
        <f>_xlfn.XLOOKUP($D8,'[1]Calc| Project Costs'!$C:$C,'[1]Calc| Project Costs'!Y:Y,0,0,1)*$P8</f>
        <v>11748.403231015031</v>
      </c>
      <c r="L8" s="141">
        <f>_xlfn.XLOOKUP($D8,'[1]Calc| Project Costs'!$C:$C,'[1]Calc| Project Costs'!Z:Z,0,0,1)*$P8</f>
        <v>11799.285610905563</v>
      </c>
      <c r="M8" s="141">
        <f>_xlfn.XLOOKUP($D8,'[1]Calc| Project Costs'!$C:$C,'[1]Calc| Project Costs'!AA:AA,0,0,1)*$P8</f>
        <v>11917.058844594201</v>
      </c>
      <c r="N8" s="141">
        <f>_xlfn.XLOOKUP($D8,'[1]Calc| Project Costs'!$C:$C,'[1]Calc| Project Costs'!AB:AB,0,0,1)*$P8</f>
        <v>12024.898469199661</v>
      </c>
      <c r="O8" s="141">
        <f t="shared" si="0"/>
        <v>59055.792417674049</v>
      </c>
      <c r="P8" s="123">
        <v>1</v>
      </c>
    </row>
    <row r="9" spans="2:21" x14ac:dyDescent="0.3">
      <c r="B9" s="140"/>
      <c r="C9" s="32">
        <v>1019</v>
      </c>
      <c r="D9" s="31" t="str">
        <f>VLOOKUP(C9,Assumptions!$B$8:$C$14,2,FALSE)</f>
        <v>LOW DENSITY HOUSING - SUBDIVISION</v>
      </c>
      <c r="E9" s="142">
        <v>239.7618861376512</v>
      </c>
      <c r="F9" s="142">
        <v>576.97888953063682</v>
      </c>
      <c r="G9" s="142">
        <v>1512.6667449197153</v>
      </c>
      <c r="H9" s="61">
        <f>INDEX(Capex_Fcast_Total!$D$49:$M$56,MATCH(Direct_view!$D9,Capex_Fcast_Total!$AB$49:$AB$56,0),MATCH(Direct_view!H$5,Capex_Fcast_Total!$D$48:$M$48,0))*$P9</f>
        <v>628.62599043350326</v>
      </c>
      <c r="I9" s="142">
        <f>INDEX(Capex_Fcast_Total!$D$49:$M$56,MATCH(Direct_view!$D9,Capex_Fcast_Total!$AB$49:$AB$56,0),MATCH(Direct_view!I$5,Capex_Fcast_Total!$D$48:$M$48,0))*$P9</f>
        <v>916.83453478021715</v>
      </c>
      <c r="J9" s="142">
        <f>_xlfn.XLOOKUP($D9,'[1]Calc| Project Costs'!$C:$C,'[1]Calc| Project Costs'!X:X,0,0,1)*$P9</f>
        <v>930.40857520787824</v>
      </c>
      <c r="K9" s="142">
        <f>_xlfn.XLOOKUP($D9,'[1]Calc| Project Costs'!$C:$C,'[1]Calc| Project Costs'!Y:Y,0,0,1)*$P9</f>
        <v>945.32271254523732</v>
      </c>
      <c r="L9" s="142">
        <f>_xlfn.XLOOKUP($D9,'[1]Calc| Project Costs'!$C:$C,'[1]Calc| Project Costs'!Z:Z,0,0,1)*$P9</f>
        <v>949.72606975166968</v>
      </c>
      <c r="M9" s="142">
        <f>_xlfn.XLOOKUP($D9,'[1]Calc| Project Costs'!$C:$C,'[1]Calc| Project Costs'!AA:AA,0,0,1)*$P9</f>
        <v>959.57474379791677</v>
      </c>
      <c r="N9" s="142">
        <f>_xlfn.XLOOKUP($D9,'[1]Calc| Project Costs'!$C:$C,'[1]Calc| Project Costs'!AB:AB,0,0,1)*$P9</f>
        <v>968.56554844287518</v>
      </c>
      <c r="O9" s="142">
        <f t="shared" si="0"/>
        <v>4753.5976497455767</v>
      </c>
      <c r="P9" s="123">
        <f>U9/(U9+U18)</f>
        <v>0.34940382292777278</v>
      </c>
      <c r="Q9" s="31" t="s">
        <v>126</v>
      </c>
      <c r="U9" s="151">
        <f>SUM(E9:G9)</f>
        <v>2329.4075205880035</v>
      </c>
    </row>
    <row r="10" spans="2:21" x14ac:dyDescent="0.3">
      <c r="B10" s="150" t="s">
        <v>130</v>
      </c>
      <c r="C10" s="144"/>
      <c r="D10" s="145"/>
      <c r="E10" s="142">
        <f>SUBTOTAL(9,E6:E9)</f>
        <v>17839.438826137648</v>
      </c>
      <c r="F10" s="142">
        <f>SUBTOTAL(9,F6:F9)</f>
        <v>16346.848446530634</v>
      </c>
      <c r="G10" s="142">
        <f>SUBTOTAL(9,G6:G9)</f>
        <v>17294.897182919714</v>
      </c>
      <c r="H10" s="61">
        <f t="shared" ref="H10:I10" si="1">SUBTOTAL(9,H6:H9)</f>
        <v>21091.237998660938</v>
      </c>
      <c r="I10" s="142">
        <f t="shared" si="1"/>
        <v>23281.265053068055</v>
      </c>
      <c r="J10" s="142">
        <f t="shared" ref="J10" si="2">SUBTOTAL(9,J6:J9)</f>
        <v>28237.614637785886</v>
      </c>
      <c r="K10" s="142">
        <f t="shared" ref="K10" si="3">SUBTOTAL(9,K6:K9)</f>
        <v>28682.429830934296</v>
      </c>
      <c r="L10" s="142">
        <f t="shared" ref="L10" si="4">SUBTOTAL(9,L6:L9)</f>
        <v>28817.601477882239</v>
      </c>
      <c r="M10" s="142">
        <f t="shared" ref="M10" si="5">SUBTOTAL(9,M6:M9)</f>
        <v>29098.171077606436</v>
      </c>
      <c r="N10" s="142">
        <f t="shared" ref="N10:O10" si="6">SUBTOTAL(9,N6:N9)</f>
        <v>29353.316853407872</v>
      </c>
      <c r="O10" s="142">
        <f t="shared" si="6"/>
        <v>144189.13387761672</v>
      </c>
    </row>
    <row r="11" spans="2:21" x14ac:dyDescent="0.3">
      <c r="B11" s="135" t="s">
        <v>27</v>
      </c>
      <c r="C11" s="136">
        <v>1014</v>
      </c>
      <c r="D11" s="137" t="str">
        <f>VLOOKUP(C11,Assumptions!$B$8:$C$14,2,FALSE)</f>
        <v>BUSINESS SUPPLY PROJECTS</v>
      </c>
      <c r="E11" s="159">
        <f>INDEX(Capex_Fcast_Total!$D$49:$M$56,MATCH(Direct_view!$D11,Capex_Fcast_Total!$AB$49:$AB$56,0),MATCH(Direct_view!E$5,Capex_Fcast_Total!$D$48:$M$48,0))*$P11</f>
        <v>18107.255400000002</v>
      </c>
      <c r="F11" s="159">
        <f>INDEX(Capex_Fcast_Total!$D$49:$M$56,MATCH(Direct_view!$D11,Capex_Fcast_Total!$AB$49:$AB$56,0),MATCH(Direct_view!F$5,Capex_Fcast_Total!$D$48:$M$48,0))*$P11</f>
        <v>30398.619800000008</v>
      </c>
      <c r="G11" s="159">
        <f>INDEX(Capex_Fcast_Total!$D$49:$M$56,MATCH(Direct_view!$D11,Capex_Fcast_Total!$AB$49:$AB$56,0),MATCH(Direct_view!G$5,Capex_Fcast_Total!$D$48:$M$48,0))*$P11</f>
        <v>31877.899890000001</v>
      </c>
      <c r="H11" s="138">
        <f>INDEX(Capex_Fcast_Total!$D$49:$M$56,MATCH(Direct_view!$D11,Capex_Fcast_Total!$AB$49:$AB$56,0),MATCH(Direct_view!H$5,Capex_Fcast_Total!$D$48:$M$48,0))*$P11</f>
        <v>36679.660350804072</v>
      </c>
      <c r="I11" s="153">
        <f>INDEX(Capex_Fcast_Total!$D$49:$M$56,MATCH(Direct_view!$D11,Capex_Fcast_Total!$AB$49:$AB$56,0),MATCH(Direct_view!I$5,Capex_Fcast_Total!$D$48:$M$48,0))*$P11</f>
        <v>31363.414839767163</v>
      </c>
      <c r="J11" s="153">
        <f>(_xlfn.XLOOKUP($D11,'[1]Calc| Project Costs'!$C:$C,'[1]Calc| Project Costs'!X:X,0,0,1)+'[1]Calc| Project Costs'!X$199)*$P11</f>
        <v>31389.587663198658</v>
      </c>
      <c r="K11" s="153">
        <f>(_xlfn.XLOOKUP($D11,'[1]Calc| Project Costs'!$C:$C,'[1]Calc| Project Costs'!Y:Y,0,0,1)+'[1]Calc| Project Costs'!Y$199)*$P11</f>
        <v>31373.866877777342</v>
      </c>
      <c r="L11" s="153">
        <f>(_xlfn.XLOOKUP($D11,'[1]Calc| Project Costs'!$C:$C,'[1]Calc| Project Costs'!Z:Z,0,0,1)+'[1]Calc| Project Costs'!Z$199)*$P11</f>
        <v>31492.304702612419</v>
      </c>
      <c r="M11" s="153">
        <f>(_xlfn.XLOOKUP($D11,'[1]Calc| Project Costs'!$C:$C,'[1]Calc| Project Costs'!AA:AA,0,0,1)+'[1]Calc| Project Costs'!AA$199)*$P11</f>
        <v>31760.083160582122</v>
      </c>
      <c r="N11" s="153">
        <f>(_xlfn.XLOOKUP($D11,'[1]Calc| Project Costs'!$C:$C,'[1]Calc| Project Costs'!AB:AB,0,0,1)+'[1]Calc| Project Costs'!AB$199)*$P11</f>
        <v>32014.821388166365</v>
      </c>
      <c r="O11" s="153">
        <f t="shared" ref="O11:O15" si="7">SUM(J11:N11)</f>
        <v>158030.66379233691</v>
      </c>
      <c r="P11" s="123">
        <v>1</v>
      </c>
    </row>
    <row r="12" spans="2:21" x14ac:dyDescent="0.3">
      <c r="B12" s="140"/>
      <c r="C12" s="32">
        <v>1016</v>
      </c>
      <c r="D12" s="31" t="str">
        <f>VLOOKUP(C12,Assumptions!$B$8:$C$14,2,FALSE)</f>
        <v>PRIVATE ELECTRIC LINE REPLACEMENT - RESIDENTIAL</v>
      </c>
      <c r="E12" s="65">
        <f>INDEX(Capex_Fcast_Total!$D$49:$M$56,MATCH(Direct_view!$D12,Capex_Fcast_Total!$AB$49:$AB$56,0),MATCH(Direct_view!E$5,Capex_Fcast_Total!$D$48:$M$48,0))*$P12</f>
        <v>59.281180000000006</v>
      </c>
      <c r="F12" s="65">
        <f>INDEX(Capex_Fcast_Total!$D$49:$M$56,MATCH(Direct_view!$D12,Capex_Fcast_Total!$AB$49:$AB$56,0),MATCH(Direct_view!F$5,Capex_Fcast_Total!$D$48:$M$48,0))*$P12</f>
        <v>43.008153000000007</v>
      </c>
      <c r="G12" s="65">
        <f>INDEX(Capex_Fcast_Total!$D$49:$M$56,MATCH(Direct_view!$D12,Capex_Fcast_Total!$AB$49:$AB$56,0),MATCH(Direct_view!G$5,Capex_Fcast_Total!$D$48:$M$48,0))*$P12</f>
        <v>30.783842000000007</v>
      </c>
      <c r="H12" s="141">
        <f>INDEX(Capex_Fcast_Total!$D$49:$M$56,MATCH(Direct_view!$D12,Capex_Fcast_Total!$AB$49:$AB$56,0),MATCH(Direct_view!H$5,Capex_Fcast_Total!$D$48:$M$48,0))*$P12</f>
        <v>45.152987141825477</v>
      </c>
      <c r="I12" s="67">
        <f>INDEX(Capex_Fcast_Total!$D$49:$M$56,MATCH(Direct_view!$D12,Capex_Fcast_Total!$AB$49:$AB$56,0),MATCH(Direct_view!I$5,Capex_Fcast_Total!$D$48:$M$48,0))*$P12</f>
        <v>69.774439286749157</v>
      </c>
      <c r="J12" s="67">
        <f>_xlfn.XLOOKUP($D12,'[1]Calc| Project Costs'!$C:$C,'[1]Calc| Project Costs'!X:X,0,0,1)*$P12</f>
        <v>70.051533019993968</v>
      </c>
      <c r="K12" s="67">
        <f>_xlfn.XLOOKUP($D12,'[1]Calc| Project Costs'!$C:$C,'[1]Calc| Project Costs'!Y:Y,0,0,1)*$P12</f>
        <v>70.470013483885239</v>
      </c>
      <c r="L12" s="67">
        <f>_xlfn.XLOOKUP($D12,'[1]Calc| Project Costs'!$C:$C,'[1]Calc| Project Costs'!Z:Z,0,0,1)*$P12</f>
        <v>71.173983716064285</v>
      </c>
      <c r="M12" s="67">
        <f>_xlfn.XLOOKUP($D12,'[1]Calc| Project Costs'!$C:$C,'[1]Calc| Project Costs'!AA:AA,0,0,1)*$P12</f>
        <v>70.122664212372015</v>
      </c>
      <c r="N12" s="67">
        <f>_xlfn.XLOOKUP($D12,'[1]Calc| Project Costs'!$C:$C,'[1]Calc| Project Costs'!AB:AB,0,0,1)*$P12</f>
        <v>69.036448952143971</v>
      </c>
      <c r="O12" s="67">
        <f t="shared" si="7"/>
        <v>350.85464338445951</v>
      </c>
      <c r="P12" s="123">
        <v>0.1</v>
      </c>
      <c r="Q12" s="31" t="s">
        <v>158</v>
      </c>
    </row>
    <row r="13" spans="2:21" x14ac:dyDescent="0.3">
      <c r="B13" s="140"/>
      <c r="C13" s="32">
        <v>1014</v>
      </c>
      <c r="D13" s="31" t="s">
        <v>298</v>
      </c>
      <c r="E13" s="65"/>
      <c r="F13" s="65"/>
      <c r="G13" s="65"/>
      <c r="H13" s="141">
        <v>0</v>
      </c>
      <c r="I13" s="67">
        <v>5041.6778703952677</v>
      </c>
      <c r="J13" s="67">
        <f>SUM('[1]Calc| Project Costs'!X$192:X$193)</f>
        <v>10182.053816840256</v>
      </c>
      <c r="K13" s="67">
        <f>SUM('[1]Calc| Project Costs'!Y$192:Y$193)</f>
        <v>10105.51035870429</v>
      </c>
      <c r="L13" s="67">
        <f>SUM('[1]Calc| Project Costs'!Z$192:Z$193)</f>
        <v>12229.196767880734</v>
      </c>
      <c r="M13" s="67">
        <f>SUM('[1]Calc| Project Costs'!AA$192:AA$193)</f>
        <v>7128.1378890920714</v>
      </c>
      <c r="N13" s="67">
        <f>SUM('[1]Calc| Project Costs'!AB$192:AB$193)</f>
        <v>0</v>
      </c>
      <c r="O13" s="67">
        <f t="shared" si="7"/>
        <v>39644.898832517356</v>
      </c>
      <c r="P13" s="123">
        <v>1</v>
      </c>
    </row>
    <row r="14" spans="2:21" x14ac:dyDescent="0.3">
      <c r="B14" s="140"/>
      <c r="C14" s="32">
        <v>1014</v>
      </c>
      <c r="D14" s="31" t="s">
        <v>267</v>
      </c>
      <c r="E14" s="65"/>
      <c r="F14" s="65"/>
      <c r="G14" s="65"/>
      <c r="H14" s="141">
        <v>843.46497458135502</v>
      </c>
      <c r="I14" s="67">
        <v>1776.3071864884419</v>
      </c>
      <c r="J14" s="67">
        <f>_xlfn.XLOOKUP($D14,'[1]Calc| Project Costs'!$C:$C,'[1]Calc| Project Costs'!X:X,0,0,1)*$P14</f>
        <v>3234.0951935624676</v>
      </c>
      <c r="K14" s="67">
        <f>_xlfn.XLOOKUP($D14,'[1]Calc| Project Costs'!$C:$C,'[1]Calc| Project Costs'!Y:Y,0,0,1)*$P14</f>
        <v>4448.1957900886637</v>
      </c>
      <c r="L14" s="67">
        <f>_xlfn.XLOOKUP($D14,'[1]Calc| Project Costs'!$C:$C,'[1]Calc| Project Costs'!Z:Z,0,0,1)*$P14</f>
        <v>5509.0639824008213</v>
      </c>
      <c r="M14" s="67">
        <f>_xlfn.XLOOKUP($D14,'[1]Calc| Project Costs'!$C:$C,'[1]Calc| Project Costs'!AA:AA,0,0,1)*$P14</f>
        <v>6869.0617617125044</v>
      </c>
      <c r="N14" s="67">
        <f>_xlfn.XLOOKUP($D14,'[1]Calc| Project Costs'!$C:$C,'[1]Calc| Project Costs'!AB:AB,0,0,1)*$P14</f>
        <v>8165.1309341517644</v>
      </c>
      <c r="O14" s="67">
        <f t="shared" si="7"/>
        <v>28225.547661916222</v>
      </c>
      <c r="P14" s="123">
        <v>1</v>
      </c>
    </row>
    <row r="15" spans="2:21" x14ac:dyDescent="0.3">
      <c r="B15" s="140"/>
      <c r="C15" s="32">
        <v>1014</v>
      </c>
      <c r="D15" s="31" t="s">
        <v>285</v>
      </c>
      <c r="E15" s="125"/>
      <c r="F15" s="125"/>
      <c r="G15" s="125"/>
      <c r="H15" s="142">
        <v>0</v>
      </c>
      <c r="I15" s="126">
        <v>0</v>
      </c>
      <c r="J15" s="126">
        <f>_xlfn.XLOOKUP($D15,'[1]Calc| Project Costs'!$C:$C,'[1]Calc| Project Costs'!X:X,0,0,1)*$P15</f>
        <v>6867.7536178551354</v>
      </c>
      <c r="K15" s="126">
        <f>_xlfn.XLOOKUP($D15,'[1]Calc| Project Costs'!$C:$C,'[1]Calc| Project Costs'!Y:Y,0,0,1)*$P15</f>
        <v>6935.1415100052309</v>
      </c>
      <c r="L15" s="126">
        <f>_xlfn.XLOOKUP($D15,'[1]Calc| Project Costs'!$C:$C,'[1]Calc| Project Costs'!Z:Z,0,0,1)*$P15</f>
        <v>7005.3557293347394</v>
      </c>
      <c r="M15" s="126">
        <f>_xlfn.XLOOKUP($D15,'[1]Calc| Project Costs'!$C:$C,'[1]Calc| Project Costs'!AA:AA,0,0,1)*$P15</f>
        <v>7106.649900965208</v>
      </c>
      <c r="N15" s="126">
        <f>_xlfn.XLOOKUP($D15,'[1]Calc| Project Costs'!$C:$C,'[1]Calc| Project Costs'!AB:AB,0,0,1)*$P15</f>
        <v>7201.0109255808193</v>
      </c>
      <c r="O15" s="126">
        <f t="shared" si="7"/>
        <v>35115.911683741135</v>
      </c>
      <c r="P15" s="123">
        <v>1</v>
      </c>
    </row>
    <row r="16" spans="2:21" x14ac:dyDescent="0.3">
      <c r="B16" s="150" t="s">
        <v>130</v>
      </c>
      <c r="C16" s="144"/>
      <c r="D16" s="145"/>
      <c r="E16" s="142">
        <f t="shared" ref="E16:I16" si="8">SUBTOTAL(9,E11:E15)</f>
        <v>18166.536580000004</v>
      </c>
      <c r="F16" s="142">
        <f t="shared" si="8"/>
        <v>30441.627953000007</v>
      </c>
      <c r="G16" s="142">
        <f t="shared" si="8"/>
        <v>31908.683732000001</v>
      </c>
      <c r="H16" s="142">
        <f t="shared" si="8"/>
        <v>37568.278312527254</v>
      </c>
      <c r="I16" s="142">
        <f t="shared" si="8"/>
        <v>38251.17433593762</v>
      </c>
      <c r="J16" s="142">
        <f>SUBTOTAL(9,J11:J15)</f>
        <v>51743.54182447651</v>
      </c>
      <c r="K16" s="142">
        <f t="shared" ref="K16:O16" si="9">SUBTOTAL(9,K11:K15)</f>
        <v>52933.184550059414</v>
      </c>
      <c r="L16" s="142">
        <f t="shared" si="9"/>
        <v>56307.095165944775</v>
      </c>
      <c r="M16" s="142">
        <f t="shared" si="9"/>
        <v>52934.055376564284</v>
      </c>
      <c r="N16" s="142">
        <f t="shared" si="9"/>
        <v>47449.999696851097</v>
      </c>
      <c r="O16" s="142">
        <f t="shared" si="9"/>
        <v>261367.87661389611</v>
      </c>
    </row>
    <row r="17" spans="2:21" x14ac:dyDescent="0.3">
      <c r="B17" s="135" t="s">
        <v>28</v>
      </c>
      <c r="C17" s="136">
        <v>1012</v>
      </c>
      <c r="D17" s="137" t="str">
        <f>VLOOKUP(C17,Assumptions!$B$8:$C$14,2,FALSE)</f>
        <v>MEDIUM DENSITY HOUSING - SUBDIVISION</v>
      </c>
      <c r="E17" s="138">
        <f>INDEX(Capex_Fcast_Total!$D$49:$M$56,MATCH(Direct_view!$D17,Capex_Fcast_Total!$AB$49:$AB$56,0),MATCH(Direct_view!E$5,Capex_Fcast_Total!$D$48:$M$48,0))*$P17</f>
        <v>9895.1458199999943</v>
      </c>
      <c r="F17" s="138">
        <f>INDEX(Capex_Fcast_Total!$D$49:$M$56,MATCH(Direct_view!$D17,Capex_Fcast_Total!$AB$49:$AB$56,0),MATCH(Direct_view!F$5,Capex_Fcast_Total!$D$48:$M$48,0))*$P17</f>
        <v>14805.308039999991</v>
      </c>
      <c r="G17" s="138">
        <f>INDEX(Capex_Fcast_Total!$D$49:$M$56,MATCH(Direct_view!$D17,Capex_Fcast_Total!$AB$49:$AB$56,0),MATCH(Direct_view!G$5,Capex_Fcast_Total!$D$48:$M$48,0))*$P17</f>
        <v>17521.305150000004</v>
      </c>
      <c r="H17" s="139">
        <f>INDEX(Capex_Fcast_Total!$D$49:$M$56,MATCH(Direct_view!$D17,Capex_Fcast_Total!$AB$49:$AB$56,0),MATCH(Direct_view!H$5,Capex_Fcast_Total!$D$48:$M$48,0))*$P17</f>
        <v>21728.29206084002</v>
      </c>
      <c r="I17" s="138">
        <f>INDEX(Capex_Fcast_Total!$D$49:$M$56,MATCH(Direct_view!$D17,Capex_Fcast_Total!$AB$49:$AB$56,0),MATCH(Direct_view!I$5,Capex_Fcast_Total!$D$48:$M$48,0))*$P17</f>
        <v>22121.575784199427</v>
      </c>
      <c r="J17" s="138">
        <f>_xlfn.XLOOKUP($D17,'[1]Calc| Project Costs'!$C:$C,'[1]Calc| Project Costs'!X:X,0,0,1)*$P17</f>
        <v>18549.879544337335</v>
      </c>
      <c r="K17" s="138">
        <f>_xlfn.XLOOKUP($D17,'[1]Calc| Project Costs'!$C:$C,'[1]Calc| Project Costs'!Y:Y,0,0,1)*$P17</f>
        <v>18563.274435503004</v>
      </c>
      <c r="L17" s="138">
        <f>_xlfn.XLOOKUP($D17,'[1]Calc| Project Costs'!$C:$C,'[1]Calc| Project Costs'!Z:Z,0,0,1)*$P17</f>
        <v>18665.52801287378</v>
      </c>
      <c r="M17" s="138">
        <f>_xlfn.XLOOKUP($D17,'[1]Calc| Project Costs'!$C:$C,'[1]Calc| Project Costs'!AA:AA,0,0,1)*$P17</f>
        <v>18870.937964672685</v>
      </c>
      <c r="N17" s="138">
        <f>_xlfn.XLOOKUP($D17,'[1]Calc| Project Costs'!$C:$C,'[1]Calc| Project Costs'!AB:AB,0,0,1)*$P17</f>
        <v>19042.343557552565</v>
      </c>
      <c r="O17" s="138">
        <f t="shared" ref="O17:O18" si="10">SUM(J17:N17)</f>
        <v>93691.963514939373</v>
      </c>
      <c r="P17" s="123">
        <v>1</v>
      </c>
    </row>
    <row r="18" spans="2:21" x14ac:dyDescent="0.3">
      <c r="B18" s="140"/>
      <c r="C18" s="32">
        <v>1019</v>
      </c>
      <c r="D18" s="31" t="str">
        <f>VLOOKUP(C18,Assumptions!$B$8:$C$14,2,FALSE)</f>
        <v>LOW DENSITY HOUSING - SUBDIVISION</v>
      </c>
      <c r="E18" s="142">
        <v>1078.8668838623482</v>
      </c>
      <c r="F18" s="142">
        <v>1885.8653704693629</v>
      </c>
      <c r="G18" s="142">
        <v>1372.6662750802836</v>
      </c>
      <c r="H18" s="61">
        <f>INDEX(Capex_Fcast_Total!$D$49:$M$56,MATCH(Direct_view!$D18,Capex_Fcast_Total!$AB$49:$AB$56,0),MATCH(Direct_view!H$5,Capex_Fcast_Total!$D$48:$M$48,0))*$P18</f>
        <v>1170.512854602689</v>
      </c>
      <c r="I18" s="142">
        <f>INDEX(Capex_Fcast_Total!$D$49:$M$56,MATCH(Direct_view!$D18,Capex_Fcast_Total!$AB$49:$AB$56,0),MATCH(Direct_view!I$5,Capex_Fcast_Total!$D$48:$M$48,0))*$P18</f>
        <v>1707.162326781716</v>
      </c>
      <c r="J18" s="142">
        <f>_xlfn.XLOOKUP($D18,'[1]Calc| Project Costs'!$C:$C,'[1]Calc| Project Costs'!X:X,0,0,1)*$P18</f>
        <v>1732.4374332063121</v>
      </c>
      <c r="K18" s="142">
        <f>_xlfn.XLOOKUP($D18,'[1]Calc| Project Costs'!$C:$C,'[1]Calc| Project Costs'!Y:Y,0,0,1)*$P18</f>
        <v>1760.2078240815767</v>
      </c>
      <c r="L18" s="142">
        <f>_xlfn.XLOOKUP($D18,'[1]Calc| Project Costs'!$C:$C,'[1]Calc| Project Costs'!Z:Z,0,0,1)*$P18</f>
        <v>1768.4069540761575</v>
      </c>
      <c r="M18" s="142">
        <f>_xlfn.XLOOKUP($D18,'[1]Calc| Project Costs'!$C:$C,'[1]Calc| Project Costs'!AA:AA,0,0,1)*$P18</f>
        <v>1786.745361567032</v>
      </c>
      <c r="N18" s="142">
        <f>_xlfn.XLOOKUP($D18,'[1]Calc| Project Costs'!$C:$C,'[1]Calc| Project Costs'!AB:AB,0,0,1)*$P18</f>
        <v>1803.4864008659131</v>
      </c>
      <c r="O18" s="142">
        <f t="shared" si="10"/>
        <v>8851.2839737969916</v>
      </c>
      <c r="P18" s="123">
        <f>1-P9</f>
        <v>0.65059617707222728</v>
      </c>
      <c r="Q18" s="31" t="s">
        <v>126</v>
      </c>
      <c r="U18" s="151">
        <f>SUM(E18:G18)</f>
        <v>4337.3985294119948</v>
      </c>
    </row>
    <row r="19" spans="2:21" x14ac:dyDescent="0.3">
      <c r="B19" s="150" t="s">
        <v>130</v>
      </c>
      <c r="C19" s="144"/>
      <c r="D19" s="145"/>
      <c r="E19" s="142">
        <f>SUBTOTAL(9,E17:E18)</f>
        <v>10974.012703862343</v>
      </c>
      <c r="F19" s="142">
        <f>SUBTOTAL(9,F17:F18)</f>
        <v>16691.173410469353</v>
      </c>
      <c r="G19" s="142">
        <f>SUBTOTAL(9,G17:G18)</f>
        <v>18893.971425080286</v>
      </c>
      <c r="H19" s="61">
        <f t="shared" ref="H19" si="11">SUBTOTAL(9,H17:H18)</f>
        <v>22898.80491544271</v>
      </c>
      <c r="I19" s="142">
        <f t="shared" ref="I19" si="12">SUBTOTAL(9,I17:I18)</f>
        <v>23828.738110981143</v>
      </c>
      <c r="J19" s="142">
        <f t="shared" ref="J19" si="13">SUBTOTAL(9,J17:J18)</f>
        <v>20282.316977543647</v>
      </c>
      <c r="K19" s="142">
        <f t="shared" ref="K19" si="14">SUBTOTAL(9,K17:K18)</f>
        <v>20323.48225958458</v>
      </c>
      <c r="L19" s="142">
        <f t="shared" ref="L19" si="15">SUBTOTAL(9,L17:L18)</f>
        <v>20433.934966949935</v>
      </c>
      <c r="M19" s="142">
        <f t="shared" ref="M19" si="16">SUBTOTAL(9,M17:M18)</f>
        <v>20657.683326239716</v>
      </c>
      <c r="N19" s="142">
        <f t="shared" ref="N19:O19" si="17">SUBTOTAL(9,N17:N18)</f>
        <v>20845.829958418479</v>
      </c>
      <c r="O19" s="142">
        <f t="shared" si="17"/>
        <v>102543.24748873636</v>
      </c>
    </row>
    <row r="20" spans="2:21" x14ac:dyDescent="0.3">
      <c r="B20" s="135" t="s">
        <v>29</v>
      </c>
      <c r="C20" s="136">
        <v>1015</v>
      </c>
      <c r="D20" s="316" t="str">
        <f>VLOOKUP(C20,Assumptions!$B$8:$C$14,2,FALSE)</f>
        <v>COGENERATION PROJECTS up to 1.5MW</v>
      </c>
      <c r="E20" s="138">
        <f>INDEX(Capex_Fcast_Total!$D$49:$M$56,MATCH(Direct_view!$D20,Capex_Fcast_Total!$AB$49:$AB$56,0),MATCH(Direct_view!E$5,Capex_Fcast_Total!$D$48:$M$48,0))*$P20</f>
        <v>455.26063180474034</v>
      </c>
      <c r="F20" s="138">
        <f>INDEX(Capex_Fcast_Total!$D$49:$M$56,MATCH(Direct_view!$D20,Capex_Fcast_Total!$AB$49:$AB$56,0),MATCH(Direct_view!F$5,Capex_Fcast_Total!$D$48:$M$48,0))*$P20</f>
        <v>1053.8323981952597</v>
      </c>
      <c r="G20" s="138">
        <f>INDEX(Capex_Fcast_Total!$D$49:$M$56,MATCH(Direct_view!$D20,Capex_Fcast_Total!$AB$49:$AB$56,0),MATCH(Direct_view!G$5,Capex_Fcast_Total!$D$48:$M$48,0))*$P20</f>
        <v>2445.5557300000005</v>
      </c>
      <c r="H20" s="139">
        <f>INDEX(Capex_Fcast_Total!$D$49:$M$56,MATCH(Direct_view!$D20,Capex_Fcast_Total!$AB$49:$AB$56,0),MATCH(Direct_view!H$5,Capex_Fcast_Total!$D$48:$M$48,0))*$P20</f>
        <v>852.97753560651506</v>
      </c>
      <c r="I20" s="138">
        <f>INDEX(Capex_Fcast_Total!$D$49:$M$56,MATCH(Direct_view!$D20,Capex_Fcast_Total!$AB$49:$AB$56,0),MATCH(Direct_view!I$5,Capex_Fcast_Total!$D$48:$M$48,0))*$P20</f>
        <v>875.04887221570414</v>
      </c>
      <c r="J20" s="138">
        <f>_xlfn.XLOOKUP(LEFT($D20,21),'[1]Calc| Project Costs'!$C:$C,'[1]Calc| Project Costs'!X:X,0,0,1)*$P20</f>
        <v>874.08812858181841</v>
      </c>
      <c r="K20" s="138">
        <f>_xlfn.XLOOKUP(LEFT($D20,21),'[1]Calc| Project Costs'!$C:$C,'[1]Calc| Project Costs'!Y:Y,0,0,1)*$P20</f>
        <v>874.98636878760919</v>
      </c>
      <c r="L20" s="138">
        <f>_xlfn.XLOOKUP(LEFT($D20,21),'[1]Calc| Project Costs'!$C:$C,'[1]Calc| Project Costs'!Z:Z,0,0,1)*$P20</f>
        <v>0</v>
      </c>
      <c r="M20" s="138">
        <f>_xlfn.XLOOKUP(LEFT($D20,21),'[1]Calc| Project Costs'!$C:$C,'[1]Calc| Project Costs'!AA:AA,0,0,1)*$P20</f>
        <v>0</v>
      </c>
      <c r="N20" s="138">
        <f>_xlfn.XLOOKUP(LEFT($D20,21),'[1]Calc| Project Costs'!$C:$C,'[1]Calc| Project Costs'!AB:AB,0,0,1)*$P20</f>
        <v>0</v>
      </c>
      <c r="O20" s="138">
        <f t="shared" ref="O20:O22" si="18">SUM(J20:N20)</f>
        <v>1749.0744973694277</v>
      </c>
      <c r="P20" s="123">
        <v>1</v>
      </c>
    </row>
    <row r="21" spans="2:21" x14ac:dyDescent="0.3">
      <c r="B21" s="140"/>
      <c r="C21" s="32">
        <v>1047</v>
      </c>
      <c r="D21" s="294" t="s">
        <v>302</v>
      </c>
      <c r="E21" s="141">
        <f>Historical_Cost!L40</f>
        <v>4.3356600000000007</v>
      </c>
      <c r="F21" s="141">
        <f>Historical_Cost!M40</f>
        <v>843.84164999999996</v>
      </c>
      <c r="G21" s="141">
        <f>Historical_Cost!N40</f>
        <v>1317.7013900000002</v>
      </c>
      <c r="H21" s="66"/>
      <c r="I21" s="141"/>
      <c r="J21" s="141">
        <f>_xlfn.XLOOKUP($D21,'[1]Calc| Project Costs'!$C:$C,'[1]Calc| Project Costs'!X:X,0,0,1)*$P21</f>
        <v>0</v>
      </c>
      <c r="K21" s="141">
        <f>_xlfn.XLOOKUP($D21,'[1]Calc| Project Costs'!$C:$C,'[1]Calc| Project Costs'!Y:Y,0,0,1)*$P21</f>
        <v>0</v>
      </c>
      <c r="L21" s="141">
        <f>_xlfn.XLOOKUP($D21,'[1]Calc| Project Costs'!$C:$C,'[1]Calc| Project Costs'!Z:Z,0,0,1)*$P21</f>
        <v>0</v>
      </c>
      <c r="M21" s="141">
        <f>_xlfn.XLOOKUP($D21,'[1]Calc| Project Costs'!$C:$C,'[1]Calc| Project Costs'!AA:AA,0,0,1)*$P21</f>
        <v>0</v>
      </c>
      <c r="N21" s="141">
        <f>_xlfn.XLOOKUP($D21,'[1]Calc| Project Costs'!$C:$C,'[1]Calc| Project Costs'!AB:AB,0,0,1)*$P21</f>
        <v>0</v>
      </c>
      <c r="O21" s="141">
        <f t="shared" si="18"/>
        <v>0</v>
      </c>
      <c r="P21" s="123">
        <v>1</v>
      </c>
    </row>
    <row r="22" spans="2:21" x14ac:dyDescent="0.3">
      <c r="B22" s="143"/>
      <c r="C22" s="144">
        <v>1048</v>
      </c>
      <c r="D22" s="295" t="s">
        <v>236</v>
      </c>
      <c r="E22" s="423">
        <f>INDEX(Capex_Fcast_Total!$D$49:$M$56,MATCH(Direct_view!$D22,Capex_Fcast_Total!$AB$49:$AB$56,0),MATCH(Direct_view!E$5,Capex_Fcast_Total!$D$48:$M$48,0))*$P22</f>
        <v>299.86367999999999</v>
      </c>
      <c r="F22" s="423">
        <f>INDEX(Capex_Fcast_Total!$D$49:$M$56,MATCH(Direct_view!$D22,Capex_Fcast_Total!$AB$49:$AB$56,0),MATCH(Direct_view!F$5,Capex_Fcast_Total!$D$48:$M$48,0))*$P22</f>
        <v>1277.2551699999999</v>
      </c>
      <c r="G22" s="423">
        <f>INDEX(Capex_Fcast_Total!$D$49:$M$56,MATCH(Direct_view!$D22,Capex_Fcast_Total!$AB$49:$AB$56,0),MATCH(Direct_view!G$5,Capex_Fcast_Total!$D$48:$M$48,0))*$P22</f>
        <v>1068.4159399999999</v>
      </c>
      <c r="H22" s="236">
        <f>INDEX(Capex_Fcast_Total!$D$49:$M$56,MATCH(Direct_view!$D22,Capex_Fcast_Total!$AB$49:$AB$56,0),MATCH(Direct_view!H$5,Capex_Fcast_Total!$D$48:$M$48,0))*$P22</f>
        <v>13039.819523692126</v>
      </c>
      <c r="I22" s="423">
        <f>INDEX(Capex_Fcast_Total!$D$49:$M$56,MATCH(Direct_view!$D22,Capex_Fcast_Total!$AB$49:$AB$56,0),MATCH(Direct_view!I$5,Capex_Fcast_Total!$D$48:$M$48,0))*$P22</f>
        <v>28743.994292069638</v>
      </c>
      <c r="J22" s="423">
        <f>_xlfn.XLOOKUP($D22,'[1]Calc| Project Costs'!$C:$C,'[1]Calc| Project Costs'!X:X,0,0,1)*$P22</f>
        <v>25470.684174354566</v>
      </c>
      <c r="K22" s="423">
        <f>_xlfn.XLOOKUP($D22,'[1]Calc| Project Costs'!$C:$C,'[1]Calc| Project Costs'!Y:Y,0,0,1)*$P22</f>
        <v>12293.855199877898</v>
      </c>
      <c r="L22" s="423">
        <f>_xlfn.XLOOKUP($D22,'[1]Calc| Project Costs'!$C:$C,'[1]Calc| Project Costs'!Z:Z,0,0,1)*$P22</f>
        <v>7443.2524336529586</v>
      </c>
      <c r="M22" s="423">
        <f>_xlfn.XLOOKUP($D22,'[1]Calc| Project Costs'!$C:$C,'[1]Calc| Project Costs'!AA:AA,0,0,1)*$P22</f>
        <v>8237.9953750380664</v>
      </c>
      <c r="N22" s="423">
        <f>_xlfn.XLOOKUP($D22,'[1]Calc| Project Costs'!$C:$C,'[1]Calc| Project Costs'!AB:AB,0,0,1)*$P22</f>
        <v>13156.668769795637</v>
      </c>
      <c r="O22" s="142">
        <f t="shared" si="18"/>
        <v>66602.45595271913</v>
      </c>
      <c r="P22" s="123">
        <v>1</v>
      </c>
    </row>
    <row r="23" spans="2:21" x14ac:dyDescent="0.3">
      <c r="B23" s="150" t="s">
        <v>130</v>
      </c>
      <c r="C23" s="147"/>
      <c r="D23" s="148"/>
      <c r="E23" s="142">
        <f t="shared" ref="E23:O23" si="19">SUBTOTAL(9,E20:E22)</f>
        <v>759.45997180474035</v>
      </c>
      <c r="F23" s="142">
        <f t="shared" si="19"/>
        <v>3174.9292181952596</v>
      </c>
      <c r="G23" s="142">
        <f t="shared" si="19"/>
        <v>4831.673060000001</v>
      </c>
      <c r="H23" s="61">
        <f t="shared" si="19"/>
        <v>13892.79705929864</v>
      </c>
      <c r="I23" s="142">
        <f t="shared" si="19"/>
        <v>29619.04316428534</v>
      </c>
      <c r="J23" s="142">
        <f t="shared" si="19"/>
        <v>26344.772302936384</v>
      </c>
      <c r="K23" s="142">
        <f t="shared" si="19"/>
        <v>13168.841568665508</v>
      </c>
      <c r="L23" s="142">
        <f t="shared" si="19"/>
        <v>7443.2524336529586</v>
      </c>
      <c r="M23" s="142">
        <f t="shared" si="19"/>
        <v>8237.9953750380664</v>
      </c>
      <c r="N23" s="142">
        <f t="shared" si="19"/>
        <v>13156.668769795637</v>
      </c>
      <c r="O23" s="142">
        <f t="shared" si="19"/>
        <v>68351.530450088554</v>
      </c>
      <c r="P23" s="123"/>
    </row>
    <row r="24" spans="2:21" x14ac:dyDescent="0.3">
      <c r="B24" s="146"/>
      <c r="C24" s="148"/>
      <c r="D24" s="148"/>
      <c r="E24" s="192">
        <f t="shared" ref="E24:O24" si="20">SUBTOTAL(9,E6:E23)</f>
        <v>47739.448081804738</v>
      </c>
      <c r="F24" s="192">
        <f t="shared" si="20"/>
        <v>66654.57902819525</v>
      </c>
      <c r="G24" s="192">
        <f t="shared" si="20"/>
        <v>72929.22540000001</v>
      </c>
      <c r="H24" s="192">
        <f t="shared" si="20"/>
        <v>95451.118285929551</v>
      </c>
      <c r="I24" s="192">
        <f t="shared" si="20"/>
        <v>114980.22066427216</v>
      </c>
      <c r="J24" s="192">
        <f t="shared" si="20"/>
        <v>126608.24574274244</v>
      </c>
      <c r="K24" s="192">
        <f t="shared" si="20"/>
        <v>115107.93820924379</v>
      </c>
      <c r="L24" s="192">
        <f t="shared" si="20"/>
        <v>113001.88404442991</v>
      </c>
      <c r="M24" s="192">
        <f t="shared" si="20"/>
        <v>110927.9051554485</v>
      </c>
      <c r="N24" s="192">
        <f t="shared" si="20"/>
        <v>110805.81527847308</v>
      </c>
      <c r="O24" s="192">
        <f t="shared" si="20"/>
        <v>576451.78843033768</v>
      </c>
    </row>
    <row r="25" spans="2:21" x14ac:dyDescent="0.3">
      <c r="E25" s="31" t="b">
        <v>1</v>
      </c>
      <c r="F25" s="31" t="b">
        <v>1</v>
      </c>
      <c r="G25" s="31" t="b">
        <v>1</v>
      </c>
      <c r="H25" s="31" t="b">
        <v>1</v>
      </c>
      <c r="I25" s="31" t="b">
        <v>1</v>
      </c>
      <c r="J25" s="31" t="b">
        <f>J24=SUM(J26:J28)</f>
        <v>1</v>
      </c>
      <c r="K25" s="31" t="b">
        <f t="shared" ref="K25:N25" si="21">K24=SUM(K26:K28)</f>
        <v>1</v>
      </c>
      <c r="L25" s="31" t="b">
        <f t="shared" si="21"/>
        <v>1</v>
      </c>
      <c r="M25" s="31" t="b">
        <f t="shared" si="21"/>
        <v>0</v>
      </c>
      <c r="N25" s="31" t="b">
        <f t="shared" si="21"/>
        <v>1</v>
      </c>
    </row>
    <row r="26" spans="2:21" x14ac:dyDescent="0.3">
      <c r="H26" s="31" t="s">
        <v>370</v>
      </c>
      <c r="J26" s="59" cm="1">
        <f t="array" ref="J26">IFERROR(SUMPRODUCT(--('[1]Input| Projects'!$G$10:$G$1009=$H26),'[1]Calc| Project Costs'!X$10:X$1009,'[1]Calc| Project Costs'!$BZ$10:$BZ$1009),0)</f>
        <v>90815.214360485392</v>
      </c>
      <c r="K26" s="59" cm="1">
        <f t="array" ref="K26">IFERROR(SUMPRODUCT(--('[1]Input| Projects'!$G$10:$G$1009=$H26),'[1]Calc| Project Costs'!Y$10:Y$1009,'[1]Calc| Project Costs'!$BZ$10:$BZ$1009),0)</f>
        <v>92590.508264823438</v>
      </c>
      <c r="L26" s="59" cm="1">
        <f t="array" ref="L26">IFERROR(SUMPRODUCT(--('[1]Input| Projects'!$G$10:$G$1009=$H26),'[1]Calc| Project Costs'!Z$10:Z$1009,'[1]Calc| Project Costs'!$BZ$10:$BZ$1009),0)</f>
        <v>93218.220659569415</v>
      </c>
      <c r="M26" s="59" cm="1">
        <f t="array" ref="M26">IFERROR(SUMPRODUCT(--('[1]Input| Projects'!$G$10:$G$1009=$H26),'[1]Calc| Project Costs'!AA$10:AA$1009,'[1]Calc| Project Costs'!$BZ$10:$BZ$1009),0)</f>
        <v>95451.979172451276</v>
      </c>
      <c r="N26" s="59" cm="1">
        <f t="array" ref="N26">IFERROR(SUMPRODUCT(--('[1]Input| Projects'!$G$10:$G$1009=$H26),'[1]Calc| Project Costs'!AB$10:AB$1009,'[1]Calc| Project Costs'!$BZ$10:$BZ$1009),0)</f>
        <v>97539.876380777845</v>
      </c>
    </row>
    <row r="27" spans="2:21" x14ac:dyDescent="0.3">
      <c r="B27" s="52"/>
      <c r="H27" s="31" t="s">
        <v>263</v>
      </c>
      <c r="J27" s="59" cm="1">
        <f t="array" ref="J27">IFERROR(SUMPRODUCT(--('[1]Input| Projects'!$G$10:$G$1009=$H27),'[1]Calc| Project Costs'!X$10:X$1009,'[1]Calc| Project Costs'!$BZ$10:$BZ$1009),0)</f>
        <v>35652.737991194823</v>
      </c>
      <c r="K27" s="59" cm="1">
        <f t="array" ref="K27">IFERROR(SUMPRODUCT(--('[1]Input| Projects'!$G$10:$G$1009=$H27),'[1]Calc| Project Costs'!Y$10:Y$1009,'[1]Calc| Project Costs'!$BZ$10:$BZ$1009),0)</f>
        <v>22399.365558582191</v>
      </c>
      <c r="L27" s="59" cm="1">
        <f t="array" ref="L27">IFERROR(SUMPRODUCT(--('[1]Input| Projects'!$G$10:$G$1009=$H27),'[1]Calc| Project Costs'!Z$10:Z$1009,'[1]Calc| Project Costs'!$BZ$10:$BZ$1009),0)</f>
        <v>19672.449201533691</v>
      </c>
      <c r="M27" s="59" cm="1">
        <f t="array" ref="M27">IFERROR(SUMPRODUCT(--('[1]Input| Projects'!$G$10:$G$1009=$H27),'[1]Calc| Project Costs'!AA$10:AA$1009,'[1]Calc| Project Costs'!$BZ$10:$BZ$1009),0)</f>
        <v>15366.133264130138</v>
      </c>
      <c r="N27" s="59" cm="1">
        <f t="array" ref="N27">IFERROR(SUMPRODUCT(--('[1]Input| Projects'!$G$10:$G$1009=$H27),'[1]Calc| Project Costs'!AB$10:AB$1009,'[1]Calc| Project Costs'!$BZ$10:$BZ$1009),0)</f>
        <v>13156.668769795637</v>
      </c>
    </row>
    <row r="28" spans="2:21" x14ac:dyDescent="0.3">
      <c r="H28" s="31" t="s">
        <v>371</v>
      </c>
      <c r="J28" s="151">
        <f>_xlfn.XLOOKUP($H28,'[1]Calc| Project Costs'!$C:$C,'[1]Calc| Project Costs'!X:X,0,0,1)</f>
        <v>140.29339106220419</v>
      </c>
      <c r="K28" s="151">
        <f>_xlfn.XLOOKUP($H28,'[1]Calc| Project Costs'!$C:$C,'[1]Calc| Project Costs'!Y:Y,0,0,1)</f>
        <v>118.06438583817383</v>
      </c>
      <c r="L28" s="151">
        <f>_xlfn.XLOOKUP($H28,'[1]Calc| Project Costs'!$C:$C,'[1]Calc| Project Costs'!Z:Z,0,0,1)</f>
        <v>111.21418332680209</v>
      </c>
      <c r="M28" s="151">
        <f>_xlfn.XLOOKUP($H28,'[1]Calc| Project Costs'!$C:$C,'[1]Calc| Project Costs'!AA:AA,0,0,1)</f>
        <v>109.79271886707639</v>
      </c>
      <c r="N28" s="151">
        <f>_xlfn.XLOOKUP($H28,'[1]Calc| Project Costs'!$C:$C,'[1]Calc| Project Costs'!AB:AB,0,0,1)</f>
        <v>109.27012789960715</v>
      </c>
    </row>
    <row r="29" spans="2:21" x14ac:dyDescent="0.3">
      <c r="B29" s="1" t="s">
        <v>428</v>
      </c>
      <c r="H29" s="53"/>
    </row>
    <row r="30" spans="2:21" x14ac:dyDescent="0.3">
      <c r="B30" s="31" t="s">
        <v>156</v>
      </c>
      <c r="G30" s="32" t="s">
        <v>15</v>
      </c>
      <c r="H30" s="32" t="s">
        <v>16</v>
      </c>
      <c r="I30" s="32" t="s">
        <v>16</v>
      </c>
      <c r="J30" s="32" t="s">
        <v>16</v>
      </c>
      <c r="K30" s="32" t="s">
        <v>16</v>
      </c>
      <c r="L30" s="32" t="s">
        <v>16</v>
      </c>
      <c r="M30" s="32" t="s">
        <v>16</v>
      </c>
      <c r="N30" s="32" t="s">
        <v>16</v>
      </c>
      <c r="O30" s="54"/>
    </row>
    <row r="31" spans="2:21" x14ac:dyDescent="0.3">
      <c r="B31" s="52" t="s">
        <v>31</v>
      </c>
      <c r="C31" s="54" t="s">
        <v>30</v>
      </c>
      <c r="D31" s="54"/>
      <c r="E31" s="54"/>
      <c r="F31" s="54"/>
      <c r="G31" s="43" t="str">
        <f>Allocations!J$50</f>
        <v>2023-24</v>
      </c>
      <c r="H31" s="43" t="str">
        <f>Allocations!K$50</f>
        <v>2024-25</v>
      </c>
      <c r="I31" s="43" t="str">
        <f>Allocations!L$50</f>
        <v>2025-26</v>
      </c>
      <c r="J31" s="43" t="str">
        <f>Allocations!M$50</f>
        <v>2026-27</v>
      </c>
      <c r="K31" s="43" t="str">
        <f>Allocations!N$50</f>
        <v>2027–28</v>
      </c>
      <c r="L31" s="43" t="str">
        <f>Allocations!O$50</f>
        <v>2028–29</v>
      </c>
      <c r="M31" s="43" t="str">
        <f>Allocations!P$50</f>
        <v>2029–30</v>
      </c>
      <c r="N31" s="43" t="str">
        <f>Allocations!Q$50</f>
        <v>2030–31</v>
      </c>
      <c r="O31" s="43" t="s">
        <v>300</v>
      </c>
    </row>
    <row r="32" spans="2:21" x14ac:dyDescent="0.3">
      <c r="B32" s="135" t="s">
        <v>26</v>
      </c>
      <c r="C32" s="136">
        <v>1013</v>
      </c>
      <c r="D32" s="136" t="str">
        <f>D6</f>
        <v>UNDERGROUND SERVICE INSTALLATION</v>
      </c>
      <c r="E32" s="136"/>
      <c r="F32" s="136"/>
      <c r="G32" s="154">
        <f>G6*Escalation!O$12</f>
        <v>8273.505050478363</v>
      </c>
      <c r="H32" s="154">
        <f>H6*Escalation!P$12</f>
        <v>9519.2978653934424</v>
      </c>
      <c r="I32" s="139">
        <f>I6*Escalation!Q$12</f>
        <v>10329.5525295142</v>
      </c>
      <c r="J32" s="152">
        <f>J6</f>
        <v>15110.596003438464</v>
      </c>
      <c r="K32" s="139">
        <f t="shared" ref="K32:N32" si="22">K6</f>
        <v>15354.47376601906</v>
      </c>
      <c r="L32" s="139">
        <f t="shared" si="22"/>
        <v>15428.023943780428</v>
      </c>
      <c r="M32" s="139">
        <f t="shared" si="22"/>
        <v>15590.433511302968</v>
      </c>
      <c r="N32" s="139">
        <f t="shared" si="22"/>
        <v>15738.524795196041</v>
      </c>
      <c r="O32" s="138">
        <f>SUM(J32:N32)</f>
        <v>77222.052019736962</v>
      </c>
    </row>
    <row r="33" spans="2:16" x14ac:dyDescent="0.3">
      <c r="B33" s="140"/>
      <c r="C33" s="32">
        <v>1016</v>
      </c>
      <c r="D33" s="31" t="str">
        <f t="shared" ref="D33:D35" si="23">D7</f>
        <v>PRIVATE ELECTRIC LINE REPLACEMENT - RESIDENTIAL</v>
      </c>
      <c r="E33" s="32"/>
      <c r="F33" s="32"/>
      <c r="G33" s="155">
        <f>G7*Escalation!O$12</f>
        <v>296.92921947839449</v>
      </c>
      <c r="H33" s="155">
        <f>H7*Escalation!P$12</f>
        <v>418.56819080472218</v>
      </c>
      <c r="I33" s="66">
        <f>I7*Escalation!Q$12</f>
        <v>627.96995358074241</v>
      </c>
      <c r="J33" s="60">
        <f t="shared" ref="J33:N33" si="24">J7</f>
        <v>630.46379717994569</v>
      </c>
      <c r="K33" s="66">
        <f t="shared" si="24"/>
        <v>634.2301213549672</v>
      </c>
      <c r="L33" s="66">
        <f t="shared" si="24"/>
        <v>640.56585344457847</v>
      </c>
      <c r="M33" s="66">
        <f t="shared" si="24"/>
        <v>631.10397791134812</v>
      </c>
      <c r="N33" s="66">
        <f t="shared" si="24"/>
        <v>621.32804056929569</v>
      </c>
      <c r="O33" s="141">
        <f>SUM(J33:N33)</f>
        <v>3157.6917904601351</v>
      </c>
    </row>
    <row r="34" spans="2:16" x14ac:dyDescent="0.3">
      <c r="B34" s="140"/>
      <c r="C34" s="32">
        <v>1018</v>
      </c>
      <c r="D34" s="31" t="str">
        <f t="shared" si="23"/>
        <v>COMPLEX RESIDENTIAL SUPPLY PROJECTS</v>
      </c>
      <c r="E34" s="32"/>
      <c r="F34" s="32"/>
      <c r="G34" s="155">
        <f>G8*Escalation!O$12</f>
        <v>8343.9419493869245</v>
      </c>
      <c r="H34" s="155">
        <f>H8*Escalation!P$12</f>
        <v>11138.624312276097</v>
      </c>
      <c r="I34" s="66">
        <f>I8*Escalation!Q$12</f>
        <v>11406.908035192897</v>
      </c>
      <c r="J34" s="60">
        <f t="shared" ref="J34:N34" si="25">J8</f>
        <v>11566.146261959599</v>
      </c>
      <c r="K34" s="66">
        <f t="shared" si="25"/>
        <v>11748.403231015031</v>
      </c>
      <c r="L34" s="66">
        <f t="shared" si="25"/>
        <v>11799.285610905563</v>
      </c>
      <c r="M34" s="66">
        <f t="shared" si="25"/>
        <v>11917.058844594201</v>
      </c>
      <c r="N34" s="66">
        <f t="shared" si="25"/>
        <v>12024.898469199661</v>
      </c>
      <c r="O34" s="141">
        <f>SUM(J34:N34)</f>
        <v>59055.792417674049</v>
      </c>
    </row>
    <row r="35" spans="2:16" x14ac:dyDescent="0.3">
      <c r="B35" s="140"/>
      <c r="C35" s="32">
        <v>1019</v>
      </c>
      <c r="D35" s="31" t="str">
        <f t="shared" si="23"/>
        <v>LOW DENSITY HOUSING - SUBDIVISION</v>
      </c>
      <c r="E35" s="32"/>
      <c r="F35" s="32"/>
      <c r="G35" s="156">
        <f>G9*Escalation!O$12</f>
        <v>1621.1786108798196</v>
      </c>
      <c r="H35" s="156">
        <f>H9*Escalation!P$12</f>
        <v>647.48477014650837</v>
      </c>
      <c r="I35" s="61">
        <f>I9*Escalation!Q$12</f>
        <v>916.83453478021715</v>
      </c>
      <c r="J35" s="62">
        <f t="shared" ref="J35:N35" si="26">J9</f>
        <v>930.40857520787824</v>
      </c>
      <c r="K35" s="61">
        <f t="shared" si="26"/>
        <v>945.32271254523732</v>
      </c>
      <c r="L35" s="61">
        <f t="shared" si="26"/>
        <v>949.72606975166968</v>
      </c>
      <c r="M35" s="61">
        <f t="shared" si="26"/>
        <v>959.57474379791677</v>
      </c>
      <c r="N35" s="61">
        <f t="shared" si="26"/>
        <v>968.56554844287518</v>
      </c>
      <c r="O35" s="142">
        <f>SUM(J35:N35)</f>
        <v>4753.5976497455767</v>
      </c>
    </row>
    <row r="36" spans="2:16" x14ac:dyDescent="0.3">
      <c r="B36" s="150" t="s">
        <v>130</v>
      </c>
      <c r="C36" s="144"/>
      <c r="D36" s="144"/>
      <c r="E36" s="144"/>
      <c r="F36" s="144"/>
      <c r="G36" s="187">
        <f t="shared" ref="G36" si="27">SUBTOTAL(9,G32:G35)</f>
        <v>18535.5548302235</v>
      </c>
      <c r="H36" s="187">
        <f t="shared" ref="H36:O36" si="28">SUBTOTAL(9,H32:H35)</f>
        <v>21723.975138620768</v>
      </c>
      <c r="I36" s="61">
        <f t="shared" si="28"/>
        <v>23281.265053068055</v>
      </c>
      <c r="J36" s="62">
        <f t="shared" si="28"/>
        <v>28237.614637785886</v>
      </c>
      <c r="K36" s="61">
        <f t="shared" si="28"/>
        <v>28682.429830934296</v>
      </c>
      <c r="L36" s="61">
        <f t="shared" si="28"/>
        <v>28817.601477882239</v>
      </c>
      <c r="M36" s="61">
        <f t="shared" si="28"/>
        <v>29098.171077606436</v>
      </c>
      <c r="N36" s="61">
        <f t="shared" si="28"/>
        <v>29353.316853407872</v>
      </c>
      <c r="O36" s="142">
        <f t="shared" si="28"/>
        <v>144189.13387761672</v>
      </c>
    </row>
    <row r="37" spans="2:16" x14ac:dyDescent="0.3">
      <c r="B37" s="135" t="s">
        <v>27</v>
      </c>
      <c r="C37" s="136">
        <v>1014</v>
      </c>
      <c r="D37" s="137" t="str">
        <f t="shared" ref="D37:D41" si="29">D11</f>
        <v>BUSINESS SUPPLY PROJECTS</v>
      </c>
      <c r="E37" s="136"/>
      <c r="F37" s="136"/>
      <c r="G37" s="154">
        <f>G11*Escalation!O$12</f>
        <v>34164.676148928665</v>
      </c>
      <c r="H37" s="154">
        <f>H11*Escalation!P$12</f>
        <v>37780.050161328196</v>
      </c>
      <c r="I37" s="139">
        <f>I11*Escalation!Q$12</f>
        <v>31363.414839767163</v>
      </c>
      <c r="J37" s="152">
        <f>J11</f>
        <v>31389.587663198658</v>
      </c>
      <c r="K37" s="139">
        <f t="shared" ref="K37:N37" si="30">K11</f>
        <v>31373.866877777342</v>
      </c>
      <c r="L37" s="139">
        <f t="shared" si="30"/>
        <v>31492.304702612419</v>
      </c>
      <c r="M37" s="139">
        <f t="shared" si="30"/>
        <v>31760.083160582122</v>
      </c>
      <c r="N37" s="139">
        <f t="shared" si="30"/>
        <v>32014.821388166365</v>
      </c>
      <c r="O37" s="138">
        <f>SUM(J37:N37)</f>
        <v>158030.66379233691</v>
      </c>
    </row>
    <row r="38" spans="2:16" x14ac:dyDescent="0.3">
      <c r="B38" s="140"/>
      <c r="C38" s="32">
        <v>1016</v>
      </c>
      <c r="D38" s="31" t="str">
        <f t="shared" si="29"/>
        <v>PRIVATE ELECTRIC LINE REPLACEMENT - RESIDENTIAL</v>
      </c>
      <c r="E38" s="32"/>
      <c r="F38" s="32"/>
      <c r="G38" s="155">
        <f>G12*Escalation!O$12</f>
        <v>32.992135497599392</v>
      </c>
      <c r="H38" s="155">
        <f>H12*Escalation!P$12</f>
        <v>46.50757675608024</v>
      </c>
      <c r="I38" s="66">
        <f>I12*Escalation!Q$12</f>
        <v>69.774439286749157</v>
      </c>
      <c r="J38" s="60">
        <f t="shared" ref="J38:N38" si="31">J12</f>
        <v>70.051533019993968</v>
      </c>
      <c r="K38" s="66">
        <f t="shared" si="31"/>
        <v>70.470013483885239</v>
      </c>
      <c r="L38" s="66">
        <f t="shared" si="31"/>
        <v>71.173983716064285</v>
      </c>
      <c r="M38" s="66">
        <f t="shared" si="31"/>
        <v>70.122664212372015</v>
      </c>
      <c r="N38" s="66">
        <f t="shared" si="31"/>
        <v>69.036448952143971</v>
      </c>
      <c r="O38" s="141">
        <f>SUM(J38:N38)</f>
        <v>350.85464338445951</v>
      </c>
    </row>
    <row r="39" spans="2:16" x14ac:dyDescent="0.3">
      <c r="B39" s="140"/>
      <c r="C39" s="32">
        <v>1014</v>
      </c>
      <c r="D39" s="31" t="str">
        <f t="shared" si="29"/>
        <v>DATA CENTRES</v>
      </c>
      <c r="E39" s="32"/>
      <c r="F39" s="32"/>
      <c r="G39" s="155">
        <f>G13*Escalation!O$12</f>
        <v>0</v>
      </c>
      <c r="H39" s="155">
        <f>H13*Escalation!P$12</f>
        <v>0</v>
      </c>
      <c r="I39" s="66">
        <f>I13*Escalation!Q$12</f>
        <v>5041.6778703952677</v>
      </c>
      <c r="J39" s="60">
        <f t="shared" ref="J39:N39" si="32">J13</f>
        <v>10182.053816840256</v>
      </c>
      <c r="K39" s="66">
        <f t="shared" si="32"/>
        <v>10105.51035870429</v>
      </c>
      <c r="L39" s="66">
        <f t="shared" si="32"/>
        <v>12229.196767880734</v>
      </c>
      <c r="M39" s="66">
        <f t="shared" si="32"/>
        <v>7128.1378890920714</v>
      </c>
      <c r="N39" s="66">
        <f t="shared" si="32"/>
        <v>0</v>
      </c>
      <c r="O39" s="141">
        <f t="shared" ref="O39:O41" si="33">SUM(J39:N39)</f>
        <v>39644.898832517356</v>
      </c>
      <c r="P39" s="31" t="s">
        <v>119</v>
      </c>
    </row>
    <row r="40" spans="2:16" x14ac:dyDescent="0.3">
      <c r="B40" s="140"/>
      <c r="C40" s="32">
        <v>1014</v>
      </c>
      <c r="D40" s="31" t="str">
        <f t="shared" si="29"/>
        <v>EV charging stations</v>
      </c>
      <c r="E40" s="32"/>
      <c r="F40" s="32"/>
      <c r="G40" s="155">
        <f>G14*Escalation!O$12</f>
        <v>0</v>
      </c>
      <c r="H40" s="155">
        <f>H14*Escalation!P$12</f>
        <v>868.76892381879566</v>
      </c>
      <c r="I40" s="66">
        <f>I14*Escalation!Q$12</f>
        <v>1776.3071864884419</v>
      </c>
      <c r="J40" s="60">
        <f t="shared" ref="J40:N40" si="34">J14</f>
        <v>3234.0951935624676</v>
      </c>
      <c r="K40" s="66">
        <f t="shared" si="34"/>
        <v>4448.1957900886637</v>
      </c>
      <c r="L40" s="66">
        <f t="shared" si="34"/>
        <v>5509.0639824008213</v>
      </c>
      <c r="M40" s="66">
        <f t="shared" si="34"/>
        <v>6869.0617617125044</v>
      </c>
      <c r="N40" s="66">
        <f t="shared" si="34"/>
        <v>8165.1309341517644</v>
      </c>
      <c r="O40" s="141">
        <f t="shared" si="33"/>
        <v>28225.547661916222</v>
      </c>
    </row>
    <row r="41" spans="2:16" x14ac:dyDescent="0.3">
      <c r="B41" s="140"/>
      <c r="C41" s="32">
        <v>1014</v>
      </c>
      <c r="D41" s="31" t="str">
        <f t="shared" si="29"/>
        <v>DoT Bus depot EV connections</v>
      </c>
      <c r="E41" s="32"/>
      <c r="F41" s="32"/>
      <c r="G41" s="156">
        <f>G15*Escalation!O$12</f>
        <v>0</v>
      </c>
      <c r="H41" s="156">
        <f>H15*Escalation!P$12</f>
        <v>0</v>
      </c>
      <c r="I41" s="61">
        <f>I15*Escalation!Q$12</f>
        <v>0</v>
      </c>
      <c r="J41" s="62">
        <f t="shared" ref="J41:N41" si="35">J15</f>
        <v>6867.7536178551354</v>
      </c>
      <c r="K41" s="61">
        <f t="shared" si="35"/>
        <v>6935.1415100052309</v>
      </c>
      <c r="L41" s="61">
        <f t="shared" si="35"/>
        <v>7005.3557293347394</v>
      </c>
      <c r="M41" s="61">
        <f t="shared" si="35"/>
        <v>7106.649900965208</v>
      </c>
      <c r="N41" s="61">
        <f t="shared" si="35"/>
        <v>7201.0109255808193</v>
      </c>
      <c r="O41" s="142">
        <f t="shared" si="33"/>
        <v>35115.911683741135</v>
      </c>
    </row>
    <row r="42" spans="2:16" x14ac:dyDescent="0.3">
      <c r="B42" s="150" t="s">
        <v>130</v>
      </c>
      <c r="C42" s="144"/>
      <c r="D42" s="144"/>
      <c r="E42" s="144"/>
      <c r="F42" s="144"/>
      <c r="G42" s="156">
        <f t="shared" ref="G42" si="36">SUBTOTAL(9,G37:G41)</f>
        <v>34197.668284426261</v>
      </c>
      <c r="H42" s="156">
        <f>SUBTOTAL(9,H37:H41)</f>
        <v>38695.326661903069</v>
      </c>
      <c r="I42" s="61">
        <f t="shared" ref="I42:O42" si="37">SUBTOTAL(9,I37:I41)</f>
        <v>38251.17433593762</v>
      </c>
      <c r="J42" s="62">
        <f t="shared" si="37"/>
        <v>51743.54182447651</v>
      </c>
      <c r="K42" s="61">
        <f t="shared" si="37"/>
        <v>52933.184550059414</v>
      </c>
      <c r="L42" s="61">
        <f t="shared" si="37"/>
        <v>56307.095165944775</v>
      </c>
      <c r="M42" s="61">
        <f t="shared" si="37"/>
        <v>52934.055376564284</v>
      </c>
      <c r="N42" s="61">
        <f t="shared" si="37"/>
        <v>47449.999696851097</v>
      </c>
      <c r="O42" s="142">
        <f t="shared" si="37"/>
        <v>261367.87661389611</v>
      </c>
    </row>
    <row r="43" spans="2:16" x14ac:dyDescent="0.3">
      <c r="B43" s="135" t="s">
        <v>28</v>
      </c>
      <c r="C43" s="136">
        <v>1012</v>
      </c>
      <c r="D43" s="137" t="str">
        <f t="shared" ref="D43:D44" si="38">D17</f>
        <v>MEDIUM DENSITY HOUSING - SUBDIVISION</v>
      </c>
      <c r="E43" s="136"/>
      <c r="F43" s="136"/>
      <c r="G43" s="154">
        <f>G17*Escalation!O$12</f>
        <v>18778.204280141057</v>
      </c>
      <c r="H43" s="154">
        <f>H17*Escalation!P$12</f>
        <v>22380.14082266522</v>
      </c>
      <c r="I43" s="139">
        <f>I17*Escalation!Q$12</f>
        <v>22121.575784199427</v>
      </c>
      <c r="J43" s="152">
        <f>J17</f>
        <v>18549.879544337335</v>
      </c>
      <c r="K43" s="139">
        <f t="shared" ref="K43:N43" si="39">K17</f>
        <v>18563.274435503004</v>
      </c>
      <c r="L43" s="139">
        <f t="shared" si="39"/>
        <v>18665.52801287378</v>
      </c>
      <c r="M43" s="139">
        <f t="shared" si="39"/>
        <v>18870.937964672685</v>
      </c>
      <c r="N43" s="139">
        <f t="shared" si="39"/>
        <v>19042.343557552565</v>
      </c>
      <c r="O43" s="138">
        <f>SUM(J43:N43)</f>
        <v>93691.963514939373</v>
      </c>
    </row>
    <row r="44" spans="2:16" x14ac:dyDescent="0.3">
      <c r="B44" s="140"/>
      <c r="C44" s="32">
        <v>1019</v>
      </c>
      <c r="D44" s="31" t="str">
        <f t="shared" si="38"/>
        <v>LOW DENSITY HOUSING - SUBDIVISION</v>
      </c>
      <c r="E44" s="32"/>
      <c r="F44" s="32"/>
      <c r="G44" s="156">
        <f>G18*Escalation!O$12</f>
        <v>1471.1351409753775</v>
      </c>
      <c r="H44" s="156">
        <f>H18*Escalation!P$12</f>
        <v>1205.6282402407696</v>
      </c>
      <c r="I44" s="61">
        <f>I18*Escalation!Q$12</f>
        <v>1707.162326781716</v>
      </c>
      <c r="J44" s="62">
        <f t="shared" ref="J44:N44" si="40">J18</f>
        <v>1732.4374332063121</v>
      </c>
      <c r="K44" s="61">
        <f t="shared" si="40"/>
        <v>1760.2078240815767</v>
      </c>
      <c r="L44" s="61">
        <f t="shared" si="40"/>
        <v>1768.4069540761575</v>
      </c>
      <c r="M44" s="61">
        <f t="shared" si="40"/>
        <v>1786.745361567032</v>
      </c>
      <c r="N44" s="61">
        <f t="shared" si="40"/>
        <v>1803.4864008659131</v>
      </c>
      <c r="O44" s="142">
        <f>SUM(J44:N44)</f>
        <v>8851.2839737969916</v>
      </c>
    </row>
    <row r="45" spans="2:16" x14ac:dyDescent="0.3">
      <c r="B45" s="150" t="s">
        <v>130</v>
      </c>
      <c r="C45" s="144"/>
      <c r="D45" s="144"/>
      <c r="E45" s="144"/>
      <c r="F45" s="144"/>
      <c r="G45" s="156">
        <f t="shared" ref="G45" si="41">SUBTOTAL(9,G43:G44)</f>
        <v>20249.339421116434</v>
      </c>
      <c r="H45" s="156">
        <f t="shared" ref="H45:O45" si="42">SUBTOTAL(9,H43:H44)</f>
        <v>23585.769062905991</v>
      </c>
      <c r="I45" s="61">
        <f t="shared" si="42"/>
        <v>23828.738110981143</v>
      </c>
      <c r="J45" s="62">
        <f t="shared" si="42"/>
        <v>20282.316977543647</v>
      </c>
      <c r="K45" s="61">
        <f t="shared" si="42"/>
        <v>20323.48225958458</v>
      </c>
      <c r="L45" s="61">
        <f t="shared" si="42"/>
        <v>20433.934966949935</v>
      </c>
      <c r="M45" s="61">
        <f t="shared" si="42"/>
        <v>20657.683326239716</v>
      </c>
      <c r="N45" s="61">
        <f t="shared" si="42"/>
        <v>20845.829958418479</v>
      </c>
      <c r="O45" s="142">
        <f t="shared" si="42"/>
        <v>102543.24748873636</v>
      </c>
    </row>
    <row r="46" spans="2:16" x14ac:dyDescent="0.3">
      <c r="B46" s="135" t="s">
        <v>29</v>
      </c>
      <c r="C46" s="136">
        <v>1015</v>
      </c>
      <c r="D46" s="137" t="str">
        <f t="shared" ref="D46:D48" si="43">D20</f>
        <v>COGENERATION PROJECTS up to 1.5MW</v>
      </c>
      <c r="E46" s="136"/>
      <c r="F46" s="136"/>
      <c r="G46" s="154">
        <f>G20*Escalation!O$12</f>
        <v>2620.9888294999237</v>
      </c>
      <c r="H46" s="154">
        <f>H20*Escalation!P$12</f>
        <v>878.56686167471048</v>
      </c>
      <c r="I46" s="139">
        <f>I20*Escalation!Q$12</f>
        <v>875.04887221570414</v>
      </c>
      <c r="J46" s="152">
        <f>J20</f>
        <v>874.08812858181841</v>
      </c>
      <c r="K46" s="139">
        <f t="shared" ref="K46:N46" si="44">K20</f>
        <v>874.98636878760919</v>
      </c>
      <c r="L46" s="139">
        <f t="shared" si="44"/>
        <v>0</v>
      </c>
      <c r="M46" s="139">
        <f t="shared" si="44"/>
        <v>0</v>
      </c>
      <c r="N46" s="139">
        <f t="shared" si="44"/>
        <v>0</v>
      </c>
      <c r="O46" s="138">
        <f>SUM(J46:N46)</f>
        <v>1749.0744973694277</v>
      </c>
    </row>
    <row r="47" spans="2:16" x14ac:dyDescent="0.3">
      <c r="B47" s="140"/>
      <c r="C47" s="32">
        <v>1047</v>
      </c>
      <c r="D47" s="31" t="str">
        <f t="shared" si="43"/>
        <v>EMBEDDED GENERATION &gt;1.5MW</v>
      </c>
      <c r="E47" s="32"/>
      <c r="F47" s="32"/>
      <c r="G47" s="155">
        <f>G21*Escalation!O$12</f>
        <v>1412.2273238101682</v>
      </c>
      <c r="H47" s="155">
        <f>H21*Escalation!P$12</f>
        <v>0</v>
      </c>
      <c r="I47" s="66">
        <f>I21*Escalation!Q$12</f>
        <v>0</v>
      </c>
      <c r="J47" s="60">
        <f t="shared" ref="J47:N47" si="45">J21</f>
        <v>0</v>
      </c>
      <c r="K47" s="66">
        <f t="shared" si="45"/>
        <v>0</v>
      </c>
      <c r="L47" s="66">
        <f t="shared" si="45"/>
        <v>0</v>
      </c>
      <c r="M47" s="66">
        <f t="shared" si="45"/>
        <v>0</v>
      </c>
      <c r="N47" s="66">
        <f t="shared" si="45"/>
        <v>0</v>
      </c>
      <c r="O47" s="141">
        <f>SUM(J47:N47)</f>
        <v>0</v>
      </c>
    </row>
    <row r="48" spans="2:16" x14ac:dyDescent="0.3">
      <c r="B48" s="143"/>
      <c r="C48" s="144">
        <v>1048</v>
      </c>
      <c r="D48" s="145" t="str">
        <f t="shared" si="43"/>
        <v xml:space="preserve">BESS and hybrid generation facilities &gt;1.5 MW </v>
      </c>
      <c r="E48" s="144"/>
      <c r="F48" s="144"/>
      <c r="G48" s="156">
        <f>G22*Escalation!O$12</f>
        <v>1145.0592638915898</v>
      </c>
      <c r="H48" s="156">
        <f>H22*Escalation!P$12</f>
        <v>13431.01410940289</v>
      </c>
      <c r="I48" s="61">
        <f>I22*Escalation!Q$12</f>
        <v>28743.994292069638</v>
      </c>
      <c r="J48" s="62">
        <f t="shared" ref="J48:N48" si="46">J22</f>
        <v>25470.684174354566</v>
      </c>
      <c r="K48" s="61">
        <f t="shared" si="46"/>
        <v>12293.855199877898</v>
      </c>
      <c r="L48" s="61">
        <f t="shared" si="46"/>
        <v>7443.2524336529586</v>
      </c>
      <c r="M48" s="61">
        <f t="shared" si="46"/>
        <v>8237.9953750380664</v>
      </c>
      <c r="N48" s="61">
        <f t="shared" si="46"/>
        <v>13156.668769795637</v>
      </c>
      <c r="O48" s="142">
        <f>SUM(J48:N48)</f>
        <v>66602.45595271913</v>
      </c>
    </row>
    <row r="49" spans="2:15" x14ac:dyDescent="0.3">
      <c r="B49" s="150" t="s">
        <v>130</v>
      </c>
      <c r="C49" s="147"/>
      <c r="D49" s="147"/>
      <c r="E49" s="147"/>
      <c r="F49" s="147"/>
      <c r="G49" s="156">
        <f t="shared" ref="G49:O49" si="47">SUBTOTAL(9,G46:G48)</f>
        <v>5178.2754172016812</v>
      </c>
      <c r="H49" s="156">
        <f t="shared" si="47"/>
        <v>14309.580971077599</v>
      </c>
      <c r="I49" s="61">
        <f t="shared" si="47"/>
        <v>29619.04316428534</v>
      </c>
      <c r="J49" s="62">
        <f t="shared" si="47"/>
        <v>26344.772302936384</v>
      </c>
      <c r="K49" s="61">
        <f t="shared" si="47"/>
        <v>13168.841568665508</v>
      </c>
      <c r="L49" s="61">
        <f t="shared" si="47"/>
        <v>7443.2524336529586</v>
      </c>
      <c r="M49" s="61">
        <f t="shared" si="47"/>
        <v>8237.9953750380664</v>
      </c>
      <c r="N49" s="61">
        <f t="shared" si="47"/>
        <v>13156.668769795637</v>
      </c>
      <c r="O49" s="142">
        <f t="shared" si="47"/>
        <v>68351.530450088554</v>
      </c>
    </row>
    <row r="50" spans="2:15" x14ac:dyDescent="0.3">
      <c r="B50" s="132" t="s">
        <v>128</v>
      </c>
      <c r="C50" s="157"/>
      <c r="D50" s="157"/>
      <c r="E50" s="157"/>
      <c r="F50" s="157"/>
      <c r="G50" s="64">
        <f>SUBTOTAL(9,G32:G49)</f>
        <v>78160.837952967879</v>
      </c>
      <c r="H50" s="64">
        <f t="shared" ref="H50:O50" si="48">SUBTOTAL(9,H32:H49)</f>
        <v>98314.651834507429</v>
      </c>
      <c r="I50" s="64">
        <f t="shared" si="48"/>
        <v>114980.22066427216</v>
      </c>
      <c r="J50" s="63">
        <f t="shared" si="48"/>
        <v>126608.24574274244</v>
      </c>
      <c r="K50" s="64">
        <f t="shared" si="48"/>
        <v>115107.93820924379</v>
      </c>
      <c r="L50" s="64">
        <f t="shared" si="48"/>
        <v>113001.88404442991</v>
      </c>
      <c r="M50" s="64">
        <f t="shared" si="48"/>
        <v>110927.9051554485</v>
      </c>
      <c r="N50" s="64">
        <f t="shared" si="48"/>
        <v>110805.81527847308</v>
      </c>
      <c r="O50" s="149">
        <f t="shared" si="48"/>
        <v>576451.78843033768</v>
      </c>
    </row>
    <row r="51" spans="2:15" x14ac:dyDescent="0.3">
      <c r="B51" s="31" t="s">
        <v>61</v>
      </c>
      <c r="G51" s="158">
        <f>G50-G24*Escalation!O$12</f>
        <v>0</v>
      </c>
      <c r="H51" s="158">
        <f>H50-H24*Escalation!P$12</f>
        <v>0</v>
      </c>
      <c r="I51" s="59">
        <f>I50-I24*Escalation!Q$12</f>
        <v>0</v>
      </c>
      <c r="J51" s="60">
        <f t="shared" ref="J51:O51" si="49">J50-J24</f>
        <v>0</v>
      </c>
      <c r="K51" s="59">
        <f t="shared" si="49"/>
        <v>0</v>
      </c>
      <c r="L51" s="59">
        <f t="shared" si="49"/>
        <v>0</v>
      </c>
      <c r="M51" s="59">
        <f t="shared" si="49"/>
        <v>0</v>
      </c>
      <c r="N51" s="59">
        <f t="shared" si="49"/>
        <v>0</v>
      </c>
      <c r="O51" s="59">
        <f t="shared" si="49"/>
        <v>0</v>
      </c>
    </row>
    <row r="55" spans="2:15" x14ac:dyDescent="0.3">
      <c r="H55" s="151"/>
    </row>
  </sheetData>
  <mergeCells count="2">
    <mergeCell ref="J4:N4"/>
    <mergeCell ref="E4:I4"/>
  </mergeCells>
  <hyperlinks>
    <hyperlink ref="B1" location="Contents!A1" display="Table of Contents" xr:uid="{00000000-0004-0000-1B00-000000000000}"/>
  </hyperlinks>
  <pageMargins left="0.7" right="0.7" top="0.75" bottom="0.75" header="0.3" footer="0.3"/>
  <headerFooter>
    <oddFooter>&amp;C_x000D_&amp;1#&amp;"Century Gothic"&amp;7&amp;K7F7F7F BUSINESS USE ONLY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B1:U49"/>
  <sheetViews>
    <sheetView zoomScale="85" zoomScaleNormal="85" workbookViewId="0">
      <selection activeCell="J20" sqref="J20"/>
    </sheetView>
  </sheetViews>
  <sheetFormatPr defaultColWidth="9.109375" defaultRowHeight="14.65" x14ac:dyDescent="0.3"/>
  <cols>
    <col min="1" max="1" width="4.6640625" style="31" customWidth="1"/>
    <col min="2" max="2" width="28.44140625" style="31" customWidth="1"/>
    <col min="3" max="3" width="8.33203125" style="31" customWidth="1"/>
    <col min="4" max="4" width="36.88671875" style="31" customWidth="1"/>
    <col min="5" max="9" width="8.5546875" style="31" customWidth="1"/>
    <col min="10" max="14" width="9" style="31" bestFit="1" customWidth="1"/>
    <col min="15" max="15" width="11" style="31" customWidth="1"/>
    <col min="16" max="16" width="10.88671875" style="31" customWidth="1"/>
    <col min="17" max="16384" width="9.109375" style="31"/>
  </cols>
  <sheetData>
    <row r="1" spans="2:20" x14ac:dyDescent="0.3">
      <c r="B1" s="51" t="s">
        <v>54</v>
      </c>
      <c r="H1" s="54" t="s">
        <v>160</v>
      </c>
      <c r="I1" s="54" t="s">
        <v>159</v>
      </c>
    </row>
    <row r="2" spans="2:20" x14ac:dyDescent="0.3">
      <c r="G2" s="384" t="s">
        <v>373</v>
      </c>
      <c r="H2" s="318">
        <v>0.1076</v>
      </c>
      <c r="I2" s="318">
        <v>0.1157</v>
      </c>
    </row>
    <row r="3" spans="2:20" x14ac:dyDescent="0.3">
      <c r="B3" s="52" t="s">
        <v>308</v>
      </c>
      <c r="F3" s="424" t="s">
        <v>301</v>
      </c>
    </row>
    <row r="4" spans="2:20" x14ac:dyDescent="0.3">
      <c r="B4" s="31" t="s">
        <v>156</v>
      </c>
      <c r="E4" s="562" t="s">
        <v>299</v>
      </c>
      <c r="F4" s="563"/>
      <c r="G4" s="563"/>
      <c r="H4" s="563"/>
      <c r="I4" s="564"/>
      <c r="J4" s="503" t="s">
        <v>297</v>
      </c>
      <c r="K4" s="504"/>
      <c r="L4" s="504"/>
      <c r="M4" s="504"/>
      <c r="N4" s="505"/>
    </row>
    <row r="5" spans="2:20" x14ac:dyDescent="0.3">
      <c r="B5" s="132" t="s">
        <v>31</v>
      </c>
      <c r="C5" s="43" t="s">
        <v>30</v>
      </c>
      <c r="D5" s="133"/>
      <c r="E5" s="43" t="str">
        <f>Allocations!H$50</f>
        <v>2021-22</v>
      </c>
      <c r="F5" s="43" t="str">
        <f>Allocations!I$50</f>
        <v>2022-23</v>
      </c>
      <c r="G5" s="43" t="str">
        <f>Allocations!J$50</f>
        <v>2023-24</v>
      </c>
      <c r="H5" s="134" t="str">
        <f>Allocations!K$50</f>
        <v>2024-25</v>
      </c>
      <c r="I5" s="43" t="str">
        <f>Allocations!L$50</f>
        <v>2025-26</v>
      </c>
      <c r="J5" s="43" t="str">
        <f>Allocations!M$50</f>
        <v>2026-27</v>
      </c>
      <c r="K5" s="43" t="str">
        <f>Allocations!N$50</f>
        <v>2027–28</v>
      </c>
      <c r="L5" s="43" t="str">
        <f>Allocations!O$50</f>
        <v>2028–29</v>
      </c>
      <c r="M5" s="43" t="str">
        <f>Allocations!P$50</f>
        <v>2029–30</v>
      </c>
      <c r="N5" s="43" t="str">
        <f>Allocations!Q$50</f>
        <v>2030–31</v>
      </c>
      <c r="O5" s="54" t="s">
        <v>129</v>
      </c>
    </row>
    <row r="6" spans="2:20" x14ac:dyDescent="0.3">
      <c r="B6" s="135" t="s">
        <v>26</v>
      </c>
      <c r="C6" s="136">
        <v>1013</v>
      </c>
      <c r="D6" s="137" t="str">
        <f>VLOOKUP(C6,Assumptions!$B$8:$C$14,2,FALSE)</f>
        <v>UNDERGROUND SERVICE INSTALLATION</v>
      </c>
      <c r="E6" s="169">
        <v>4468.3273287696129</v>
      </c>
      <c r="F6" s="169">
        <v>4613.9835789170929</v>
      </c>
      <c r="G6" s="169">
        <v>4216.1481509488003</v>
      </c>
      <c r="H6" s="139">
        <f>_xlfn.XLOOKUP($D6,Contr_Fcast!$B$10:$B$17,Contr_Fcast!M$10:M$17,0,0,1)/(1+H$2)*$O6</f>
        <v>5603.4462000001158</v>
      </c>
      <c r="I6" s="138">
        <f>_xlfn.XLOOKUP($D6,Contr_Fcast!$B$10:$B$17,Contr_Fcast!N$10:N$17,0,0,1)/(1+I$2)*$O6</f>
        <v>6262.8069284414723</v>
      </c>
      <c r="J6" s="138">
        <f>_xlfn.XLOOKUP($D6,'[1]Calc| Project Costs'!$C:$C,'[1]Calc| Project Costs'!AF:AF,0,0,1)*$O6</f>
        <v>10241.667361060217</v>
      </c>
      <c r="K6" s="138">
        <f>_xlfn.XLOOKUP($D6,'[1]Calc| Project Costs'!$C:$C,'[1]Calc| Project Costs'!AG:AG,0,0,1)*$O6</f>
        <v>10406.962953672295</v>
      </c>
      <c r="L6" s="138">
        <f>_xlfn.XLOOKUP($D6,'[1]Calc| Project Costs'!$C:$C,'[1]Calc| Project Costs'!AH:AH,0,0,1)*$O6</f>
        <v>10456.813830157073</v>
      </c>
      <c r="M6" s="138">
        <f>_xlfn.XLOOKUP($D6,'[1]Calc| Project Costs'!$C:$C,'[1]Calc| Project Costs'!AI:AI,0,0,1)*$O6</f>
        <v>10566.891868537625</v>
      </c>
      <c r="N6" s="138">
        <f>_xlfn.XLOOKUP($D6,'[1]Calc| Project Costs'!$C:$C,'[1]Calc| Project Costs'!AJ:AJ,0,0,1)*$O6</f>
        <v>10667.265253436542</v>
      </c>
      <c r="O6" s="123">
        <f>Direct_view!P6</f>
        <v>1</v>
      </c>
    </row>
    <row r="7" spans="2:20" x14ac:dyDescent="0.3">
      <c r="B7" s="140"/>
      <c r="C7" s="32">
        <v>1016</v>
      </c>
      <c r="D7" s="31" t="str">
        <f>VLOOKUP(C7,Assumptions!$B$8:$C$14,2,FALSE)</f>
        <v>PRIVATE ELECTRIC LINE REPLACEMENT - RESIDENTIAL</v>
      </c>
      <c r="E7" s="141">
        <v>1.9058005076287148</v>
      </c>
      <c r="F7" s="141">
        <v>2.3676575673711757</v>
      </c>
      <c r="G7" s="141">
        <v>0</v>
      </c>
      <c r="H7" s="66">
        <f>_xlfn.XLOOKUP($D7,Contr_Fcast!$B$10:$B$17,Contr_Fcast!M$10:M$17,0,0,1)/(1+H$2)*$O7</f>
        <v>0</v>
      </c>
      <c r="I7" s="141">
        <f>_xlfn.XLOOKUP($D7,Contr_Fcast!$B$10:$B$17,Contr_Fcast!N$10:N$17,0,0,1)/(1+I$2)*$O7</f>
        <v>0</v>
      </c>
      <c r="J7" s="141">
        <f>_xlfn.XLOOKUP($D7,'[1]Calc| Project Costs'!$C:$C,'[1]Calc| Project Costs'!AF:AF,0,0,1)*$O7</f>
        <v>1.5581818658474658</v>
      </c>
      <c r="K7" s="141">
        <f>_xlfn.XLOOKUP($D7,'[1]Calc| Project Costs'!$C:$C,'[1]Calc| Project Costs'!AG:AG,0,0,1)*$O7</f>
        <v>1.5674902798383585</v>
      </c>
      <c r="L7" s="141">
        <f>_xlfn.XLOOKUP($D7,'[1]Calc| Project Costs'!$C:$C,'[1]Calc| Project Costs'!AH:AH,0,0,1)*$O7</f>
        <v>1.5831489471449645</v>
      </c>
      <c r="M7" s="141">
        <f>_xlfn.XLOOKUP($D7,'[1]Calc| Project Costs'!$C:$C,'[1]Calc| Project Costs'!AI:AI,0,0,1)*$O7</f>
        <v>1.5597640629712306</v>
      </c>
      <c r="N7" s="141">
        <f>_xlfn.XLOOKUP($D7,'[1]Calc| Project Costs'!$C:$C,'[1]Calc| Project Costs'!AJ:AJ,0,0,1)*$O7</f>
        <v>1.5356029797239727</v>
      </c>
      <c r="O7" s="123">
        <f>Direct_view!P7</f>
        <v>0.9</v>
      </c>
      <c r="P7" s="31" t="s">
        <v>157</v>
      </c>
    </row>
    <row r="8" spans="2:20" x14ac:dyDescent="0.3">
      <c r="B8" s="140"/>
      <c r="C8" s="32">
        <v>1018</v>
      </c>
      <c r="D8" s="31" t="str">
        <f>VLOOKUP(C8,Assumptions!$B$8:$C$14,2,FALSE)</f>
        <v>COMPLEX RESIDENTIAL SUPPLY PROJECTS</v>
      </c>
      <c r="E8" s="141">
        <v>5254.2216940712015</v>
      </c>
      <c r="F8" s="141">
        <v>4506.4838507482964</v>
      </c>
      <c r="G8" s="141">
        <v>4623.3383686159723</v>
      </c>
      <c r="H8" s="66">
        <f>_xlfn.XLOOKUP($D8,Contr_Fcast!$B$10:$B$17,Contr_Fcast!M$10:M$17,0,0,1)/(1+H$2)*$O8</f>
        <v>5999.9872665694284</v>
      </c>
      <c r="I8" s="141">
        <f>_xlfn.XLOOKUP($D8,Contr_Fcast!$B$10:$B$17,Contr_Fcast!N$10:N$17,0,0,1)/(1+I$2)*$O8</f>
        <v>6328.8373927159955</v>
      </c>
      <c r="J8" s="141">
        <f>_xlfn.XLOOKUP($D8,'[1]Calc| Project Costs'!$C:$C,'[1]Calc| Project Costs'!AF:AF,0,0,1)*$O8</f>
        <v>8746.3268967575932</v>
      </c>
      <c r="K8" s="141">
        <f>_xlfn.XLOOKUP($D8,'[1]Calc| Project Costs'!$C:$C,'[1]Calc| Project Costs'!AG:AG,0,0,1)*$O8</f>
        <v>8884.1497285346632</v>
      </c>
      <c r="L8" s="141">
        <f>_xlfn.XLOOKUP($D8,'[1]Calc| Project Costs'!$C:$C,'[1]Calc| Project Costs'!AH:AH,0,0,1)*$O8</f>
        <v>8922.6270154138092</v>
      </c>
      <c r="M8" s="141">
        <f>_xlfn.XLOOKUP($D8,'[1]Calc| Project Costs'!$C:$C,'[1]Calc| Project Costs'!AI:AI,0,0,1)*$O8</f>
        <v>9011.6872069589353</v>
      </c>
      <c r="N8" s="141">
        <f>_xlfn.XLOOKUP($D8,'[1]Calc| Project Costs'!$C:$C,'[1]Calc| Project Costs'!AJ:AJ,0,0,1)*$O8</f>
        <v>9093.2355972231253</v>
      </c>
      <c r="O8" s="123">
        <f>Direct_view!P8</f>
        <v>1</v>
      </c>
    </row>
    <row r="9" spans="2:20" x14ac:dyDescent="0.3">
      <c r="B9" s="140"/>
      <c r="C9" s="32">
        <v>1019</v>
      </c>
      <c r="D9" s="31" t="str">
        <f>VLOOKUP(C9,Assumptions!$B$8:$C$14,2,FALSE)</f>
        <v>LOW DENSITY HOUSING - SUBDIVISION</v>
      </c>
      <c r="E9" s="142">
        <v>216.96132776264164</v>
      </c>
      <c r="F9" s="142">
        <v>209.38781950547394</v>
      </c>
      <c r="G9" s="142">
        <v>732.37983313386349</v>
      </c>
      <c r="H9" s="61">
        <f>_xlfn.XLOOKUP($D9,Contr_Fcast!$B$10:$B$17,Contr_Fcast!M$10:M$17,0,0,1)/(1+H$2)*$O9</f>
        <v>345.98357719299338</v>
      </c>
      <c r="I9" s="142">
        <f>_xlfn.XLOOKUP($D9,Contr_Fcast!$B$10:$B$17,Contr_Fcast!N$10:N$17,0,0,1)/(1+I$2)*$O9</f>
        <v>504.60798131904187</v>
      </c>
      <c r="J9" s="142">
        <f>_xlfn.XLOOKUP($D9,'[1]Calc| Project Costs'!$C:$C,'[1]Calc| Project Costs'!AF:AF,0,0,1)*$O9</f>
        <v>717.22014473335082</v>
      </c>
      <c r="K9" s="142">
        <f>_xlfn.XLOOKUP($D9,'[1]Calc| Project Costs'!$C:$C,'[1]Calc| Project Costs'!AG:AG,0,0,1)*$O9</f>
        <v>728.71694304831044</v>
      </c>
      <c r="L9" s="142">
        <f>_xlfn.XLOOKUP($D9,'[1]Calc| Project Costs'!$C:$C,'[1]Calc| Project Costs'!AH:AH,0,0,1)*$O9</f>
        <v>732.11134049590942</v>
      </c>
      <c r="M9" s="142">
        <f>_xlfn.XLOOKUP($D9,'[1]Calc| Project Costs'!$C:$C,'[1]Calc| Project Costs'!AI:AI,0,0,1)*$O9</f>
        <v>739.7033464308322</v>
      </c>
      <c r="N9" s="142">
        <f>_xlfn.XLOOKUP($D9,'[1]Calc| Project Costs'!$C:$C,'[1]Calc| Project Costs'!AJ:AJ,0,0,1)*$O9</f>
        <v>746.63405018889387</v>
      </c>
      <c r="O9" s="123">
        <f>Direct_view!P9</f>
        <v>0.34940382292777278</v>
      </c>
      <c r="P9" s="31" t="s">
        <v>126</v>
      </c>
      <c r="T9" s="151">
        <f>SUM(E9:G9)</f>
        <v>1158.728980401979</v>
      </c>
    </row>
    <row r="10" spans="2:20" x14ac:dyDescent="0.3">
      <c r="B10" s="150" t="s">
        <v>130</v>
      </c>
      <c r="C10" s="144"/>
      <c r="D10" s="145"/>
      <c r="E10" s="142">
        <f>SUBTOTAL(9,E6:E9)</f>
        <v>9941.4161511110833</v>
      </c>
      <c r="F10" s="142">
        <f>SUBTOTAL(9,F6:F9)</f>
        <v>9332.2229067382341</v>
      </c>
      <c r="G10" s="142">
        <f>SUBTOTAL(9,G6:G9)</f>
        <v>9571.8663526986365</v>
      </c>
      <c r="H10" s="61">
        <f t="shared" ref="H10:N10" si="0">SUBTOTAL(9,H6:H9)</f>
        <v>11949.417043762538</v>
      </c>
      <c r="I10" s="142">
        <f t="shared" si="0"/>
        <v>13096.252302476511</v>
      </c>
      <c r="J10" s="142">
        <f t="shared" si="0"/>
        <v>19706.772584417005</v>
      </c>
      <c r="K10" s="142">
        <f t="shared" si="0"/>
        <v>20021.39711553511</v>
      </c>
      <c r="L10" s="142">
        <f t="shared" si="0"/>
        <v>20113.13533501394</v>
      </c>
      <c r="M10" s="142">
        <f t="shared" si="0"/>
        <v>20319.842185990365</v>
      </c>
      <c r="N10" s="142">
        <f t="shared" si="0"/>
        <v>20508.670503828285</v>
      </c>
    </row>
    <row r="11" spans="2:20" x14ac:dyDescent="0.3">
      <c r="B11" s="135" t="s">
        <v>27</v>
      </c>
      <c r="C11" s="136">
        <v>1014</v>
      </c>
      <c r="D11" s="238" t="str">
        <f>VLOOKUP(C11,Assumptions!$B$8:$C$14,2,FALSE)</f>
        <v>BUSINESS SUPPLY PROJECTS</v>
      </c>
      <c r="E11" s="169">
        <v>4879.7087559650636</v>
      </c>
      <c r="F11" s="169">
        <v>7938.988378875023</v>
      </c>
      <c r="G11" s="169">
        <v>6639.0602091394885</v>
      </c>
      <c r="H11" s="239">
        <f>_xlfn.XLOOKUP($D11,Contr_Fcast!$B$10:$B$17,Contr_Fcast!M$10:M$17,0,0,1)/(1+H$2)*$O11</f>
        <v>8864.4474643374724</v>
      </c>
      <c r="I11" s="138">
        <f>_xlfn.XLOOKUP($D11,Contr_Fcast!$B$10:$B$17,Contr_Fcast!N$10:N$17,0,0,1)/(1+I$2)*$O11</f>
        <v>7579.6596939656147</v>
      </c>
      <c r="J11" s="138">
        <f>_xlfn.XLOOKUP($D11,'[1]Calc| Project Costs'!$C:$C,'[1]Calc| Project Costs'!AF:AF,0,0,1)*$O11+'[1]Calc| Project Costs'!AF$199</f>
        <v>9426.4250924060889</v>
      </c>
      <c r="K11" s="138">
        <f>_xlfn.XLOOKUP($D11,'[1]Calc| Project Costs'!$C:$C,'[1]Calc| Project Costs'!AG:AG,0,0,1)*$O11+'[1]Calc| Project Costs'!AG$199</f>
        <v>9411.4364895579656</v>
      </c>
      <c r="L11" s="138">
        <f>_xlfn.XLOOKUP($D11,'[1]Calc| Project Costs'!$C:$C,'[1]Calc| Project Costs'!AH:AH,0,0,1)*$O11+'[1]Calc| Project Costs'!AH$199</f>
        <v>9443.2337887061822</v>
      </c>
      <c r="M11" s="138">
        <f>_xlfn.XLOOKUP($D11,'[1]Calc| Project Costs'!$C:$C,'[1]Calc| Project Costs'!AI:AI,0,0,1)*$O11+'[1]Calc| Project Costs'!AI$199</f>
        <v>9522.578831146815</v>
      </c>
      <c r="N11" s="138">
        <f>_xlfn.XLOOKUP($D11,'[1]Calc| Project Costs'!$C:$C,'[1]Calc| Project Costs'!AJ:AJ,0,0,1)*$O11+'[1]Calc| Project Costs'!AJ$199</f>
        <v>9599.2621385975363</v>
      </c>
      <c r="O11" s="123">
        <f>Direct_view!P11</f>
        <v>1</v>
      </c>
    </row>
    <row r="12" spans="2:20" x14ac:dyDescent="0.3">
      <c r="B12" s="140"/>
      <c r="C12" s="32">
        <v>1016</v>
      </c>
      <c r="D12" s="31" t="str">
        <f>VLOOKUP(C12,Assumptions!$B$8:$C$14,2,FALSE)</f>
        <v>PRIVATE ELECTRIC LINE REPLACEMENT - RESIDENTIAL</v>
      </c>
      <c r="E12" s="296">
        <v>0.22174896061098959</v>
      </c>
      <c r="F12" s="296">
        <v>0.32207811442781992</v>
      </c>
      <c r="G12" s="141">
        <v>0</v>
      </c>
      <c r="H12" s="66">
        <f>_xlfn.XLOOKUP($D12,Contr_Fcast!$B$10:$B$17,Contr_Fcast!M$10:M$17,0,0,1)/(1+H$2)*$O12</f>
        <v>0</v>
      </c>
      <c r="I12" s="141">
        <f>_xlfn.XLOOKUP($D12,Contr_Fcast!$B$10:$B$17,Contr_Fcast!N$10:N$17,0,0,1)/(1+I$2)*$O12</f>
        <v>0</v>
      </c>
      <c r="J12" s="141">
        <f>_xlfn.XLOOKUP($D12,'[1]Calc| Project Costs'!$C:$C,'[1]Calc| Project Costs'!AF:AF,0,0,1)*$O12</f>
        <v>0.17313131842749618</v>
      </c>
      <c r="K12" s="141">
        <f>_xlfn.XLOOKUP($D12,'[1]Calc| Project Costs'!$C:$C,'[1]Calc| Project Costs'!AG:AG,0,0,1)*$O12</f>
        <v>0.17416558664870652</v>
      </c>
      <c r="L12" s="141">
        <f>_xlfn.XLOOKUP($D12,'[1]Calc| Project Costs'!$C:$C,'[1]Calc| Project Costs'!AH:AH,0,0,1)*$O12</f>
        <v>0.17590543857166274</v>
      </c>
      <c r="M12" s="141">
        <f>_xlfn.XLOOKUP($D12,'[1]Calc| Project Costs'!$C:$C,'[1]Calc| Project Costs'!AI:AI,0,0,1)*$O12</f>
        <v>0.17330711810791452</v>
      </c>
      <c r="N12" s="141">
        <f>_xlfn.XLOOKUP($D12,'[1]Calc| Project Costs'!$C:$C,'[1]Calc| Project Costs'!AJ:AJ,0,0,1)*$O12</f>
        <v>0.17062255330266363</v>
      </c>
      <c r="O12" s="123">
        <f>Direct_view!P12</f>
        <v>0.1</v>
      </c>
      <c r="P12" s="31" t="s">
        <v>158</v>
      </c>
    </row>
    <row r="13" spans="2:20" x14ac:dyDescent="0.3">
      <c r="B13" s="140"/>
      <c r="C13" s="32">
        <v>1014</v>
      </c>
      <c r="D13" s="31" t="s">
        <v>298</v>
      </c>
      <c r="E13" s="141"/>
      <c r="F13" s="141"/>
      <c r="G13" s="141"/>
      <c r="H13" s="141">
        <v>0</v>
      </c>
      <c r="I13" s="141">
        <v>1764.5872546383434</v>
      </c>
      <c r="J13" s="141">
        <f>SUM('[1]Calc| Project Costs'!AF$192:AF$193)*$O13</f>
        <v>3876.5081936614733</v>
      </c>
      <c r="K13" s="141">
        <f>SUM('[1]Calc| Project Costs'!AG$192:AG$193)*$O13</f>
        <v>3807.6347464438827</v>
      </c>
      <c r="L13" s="141">
        <f>SUM('[1]Calc| Project Costs'!AH$192:AH$193)*$O13</f>
        <v>4578.1460330025566</v>
      </c>
      <c r="M13" s="141">
        <f>SUM('[1]Calc| Project Costs'!AI$192:AI$193)*$O13</f>
        <v>2665.6162571695386</v>
      </c>
      <c r="N13" s="141">
        <f>SUM('[1]Calc| Project Costs'!AJ$192:AJ$193)*$O13</f>
        <v>0</v>
      </c>
      <c r="O13" s="123">
        <f>Direct_view!P13</f>
        <v>1</v>
      </c>
    </row>
    <row r="14" spans="2:20" x14ac:dyDescent="0.3">
      <c r="B14" s="140"/>
      <c r="C14" s="32">
        <v>1014</v>
      </c>
      <c r="D14" s="31" t="s">
        <v>267</v>
      </c>
      <c r="E14" s="141"/>
      <c r="F14" s="141"/>
      <c r="G14" s="141"/>
      <c r="H14" s="66">
        <v>560.62440209872659</v>
      </c>
      <c r="I14" s="141">
        <v>1172.0834430765201</v>
      </c>
      <c r="J14" s="141">
        <f>_xlfn.XLOOKUP($D14,'[1]Calc| Project Costs'!$C:$C,'[1]Calc| Project Costs'!AF:AF,0,0,1)*$O14</f>
        <v>2106.9888957971725</v>
      </c>
      <c r="K14" s="141">
        <f>_xlfn.XLOOKUP($D14,'[1]Calc| Project Costs'!$C:$C,'[1]Calc| Project Costs'!AG:AG,0,0,1)*$O14</f>
        <v>2897.9663785729922</v>
      </c>
      <c r="L14" s="141">
        <f>_xlfn.XLOOKUP($D14,'[1]Calc| Project Costs'!$C:$C,'[1]Calc| Project Costs'!AH:AH,0,0,1)*$O14</f>
        <v>3589.1140929493108</v>
      </c>
      <c r="M14" s="141">
        <f>_xlfn.XLOOKUP($D14,'[1]Calc| Project Costs'!$C:$C,'[1]Calc| Project Costs'!AI:AI,0,0,1)*$O14</f>
        <v>4475.142502076651</v>
      </c>
      <c r="N14" s="141">
        <f>_xlfn.XLOOKUP($D14,'[1]Calc| Project Costs'!$C:$C,'[1]Calc| Project Costs'!AJ:AJ,0,0,1)*$O14</f>
        <v>5319.5219006640127</v>
      </c>
      <c r="O14" s="123">
        <f>Direct_view!P14</f>
        <v>1</v>
      </c>
    </row>
    <row r="15" spans="2:20" x14ac:dyDescent="0.3">
      <c r="B15" s="140"/>
      <c r="C15" s="32">
        <v>1014</v>
      </c>
      <c r="D15" s="31" t="s">
        <v>285</v>
      </c>
      <c r="E15" s="142"/>
      <c r="F15" s="142"/>
      <c r="G15" s="142"/>
      <c r="H15" s="61">
        <v>0</v>
      </c>
      <c r="I15" s="142">
        <v>0</v>
      </c>
      <c r="J15" s="142">
        <f>_xlfn.XLOOKUP($D15,'[1]Calc| Project Costs'!$C:$C,'[1]Calc| Project Costs'!AF:AF,0,0,1)*$O15</f>
        <v>2056.2740000310309</v>
      </c>
      <c r="K15" s="142">
        <f>_xlfn.XLOOKUP($D15,'[1]Calc| Project Costs'!$C:$C,'[1]Calc| Project Costs'!AG:AG,0,0,1)*$O15</f>
        <v>2076.4506077335673</v>
      </c>
      <c r="L15" s="142">
        <f>_xlfn.XLOOKUP($D15,'[1]Calc| Project Costs'!$C:$C,'[1]Calc| Project Costs'!AH:AH,0,0,1)*$O15</f>
        <v>2097.4734460113377</v>
      </c>
      <c r="M15" s="142">
        <f>_xlfn.XLOOKUP($D15,'[1]Calc| Project Costs'!$C:$C,'[1]Calc| Project Costs'!AI:AI,0,0,1)*$O15</f>
        <v>2127.8019323066087</v>
      </c>
      <c r="N15" s="142">
        <f>_xlfn.XLOOKUP($D15,'[1]Calc| Project Costs'!$C:$C,'[1]Calc| Project Costs'!AJ:AJ,0,0,1)*$O15</f>
        <v>2156.0545651659054</v>
      </c>
      <c r="O15" s="123">
        <f>Direct_view!P15</f>
        <v>1</v>
      </c>
    </row>
    <row r="16" spans="2:20" x14ac:dyDescent="0.3">
      <c r="B16" s="150" t="s">
        <v>130</v>
      </c>
      <c r="C16" s="144"/>
      <c r="D16" s="145"/>
      <c r="E16" s="142">
        <f>SUBTOTAL(9,E11:E15)</f>
        <v>4879.9305049256745</v>
      </c>
      <c r="F16" s="142">
        <f>SUBTOTAL(9,F11:F15)</f>
        <v>7939.3104569894513</v>
      </c>
      <c r="G16" s="142">
        <f t="shared" ref="G16" si="1">SUBTOTAL(9,G11:G15)</f>
        <v>6639.0602091394885</v>
      </c>
      <c r="H16" s="61">
        <f t="shared" ref="H16:N16" si="2">SUBTOTAL(9,H11:H15)</f>
        <v>9425.0718664361993</v>
      </c>
      <c r="I16" s="142">
        <f t="shared" si="2"/>
        <v>10516.33039168048</v>
      </c>
      <c r="J16" s="142">
        <f t="shared" si="2"/>
        <v>17466.369313214193</v>
      </c>
      <c r="K16" s="142">
        <f t="shared" si="2"/>
        <v>18193.662387895056</v>
      </c>
      <c r="L16" s="142">
        <f t="shared" si="2"/>
        <v>19708.14326610796</v>
      </c>
      <c r="M16" s="142">
        <f t="shared" si="2"/>
        <v>18791.312829817722</v>
      </c>
      <c r="N16" s="142">
        <f t="shared" si="2"/>
        <v>17075.009226980757</v>
      </c>
    </row>
    <row r="17" spans="2:21" x14ac:dyDescent="0.3">
      <c r="B17" s="135" t="s">
        <v>28</v>
      </c>
      <c r="C17" s="136">
        <v>1012</v>
      </c>
      <c r="D17" s="137" t="str">
        <f>VLOOKUP(C17,Assumptions!$B$8:$C$14,2,FALSE)</f>
        <v>MEDIUM DENSITY HOUSING - SUBDIVISION</v>
      </c>
      <c r="E17" s="138">
        <v>1592.440010804032</v>
      </c>
      <c r="F17" s="138">
        <v>1820.3392906500178</v>
      </c>
      <c r="G17" s="138">
        <v>2291.8934080254671</v>
      </c>
      <c r="H17" s="139">
        <f>_xlfn.XLOOKUP($D17,Contr_Fcast!$B$10:$B$17,Contr_Fcast!M$10:M$17,0,0,1)/(1+H$2)*$O17</f>
        <v>2772.9268482556063</v>
      </c>
      <c r="I17" s="138">
        <f>_xlfn.XLOOKUP($D17,Contr_Fcast!$B$10:$B$17,Contr_Fcast!N$10:N$17,0,0,1)/(1+I$2)*$O17</f>
        <v>2823.117033127553</v>
      </c>
      <c r="J17" s="138">
        <f>_xlfn.XLOOKUP($D17,'[1]Calc| Project Costs'!$C:$C,'[1]Calc| Project Costs'!AF:AF,0,0,1)*$O17</f>
        <v>2367.3033700197734</v>
      </c>
      <c r="K17" s="169">
        <f>_xlfn.XLOOKUP($D17,'[1]Calc| Project Costs'!$C:$C,'[1]Calc| Project Costs'!AG:AG,0,0,1)*$O17</f>
        <v>2369.0128027372061</v>
      </c>
      <c r="L17" s="138">
        <f>_xlfn.XLOOKUP($D17,'[1]Calc| Project Costs'!$C:$C,'[1]Calc| Project Costs'!AH:AH,0,0,1)*$O17</f>
        <v>2382.0622264667695</v>
      </c>
      <c r="M17" s="138">
        <f>_xlfn.XLOOKUP($D17,'[1]Calc| Project Costs'!$C:$C,'[1]Calc| Project Costs'!AI:AI,0,0,1)*$O17</f>
        <v>2408.2762873164311</v>
      </c>
      <c r="N17" s="138">
        <f>_xlfn.XLOOKUP($D17,'[1]Calc| Project Costs'!$C:$C,'[1]Calc| Project Costs'!AJ:AJ,0,0,1)*$O17</f>
        <v>2430.1507710129376</v>
      </c>
      <c r="O17" s="123">
        <f>Direct_view!P17</f>
        <v>1</v>
      </c>
    </row>
    <row r="18" spans="2:21" x14ac:dyDescent="0.3">
      <c r="B18" s="140"/>
      <c r="C18" s="32">
        <v>1019</v>
      </c>
      <c r="D18" s="31" t="str">
        <f>VLOOKUP(C18,Assumptions!$B$8:$C$14,2,FALSE)</f>
        <v>LOW DENSITY HOUSING - SUBDIVISION</v>
      </c>
      <c r="E18" s="142">
        <v>944.33982375920607</v>
      </c>
      <c r="F18" s="142">
        <v>684.38766992790522</v>
      </c>
      <c r="G18" s="142">
        <v>664.59654835945844</v>
      </c>
      <c r="H18" s="61">
        <f>_xlfn.XLOOKUP($D18,Contr_Fcast!$B$10:$B$17,Contr_Fcast!M$10:M$17,0,0,1)/(1+H$2)*$O18</f>
        <v>644.22761824808686</v>
      </c>
      <c r="I18" s="142">
        <f>_xlfn.XLOOKUP($D18,Contr_Fcast!$B$10:$B$17,Contr_Fcast!N$10:N$17,0,0,1)/(1+I$2)*$O18</f>
        <v>939.58910012889714</v>
      </c>
      <c r="J18" s="142">
        <f>_xlfn.XLOOKUP($D18,'[1]Calc| Project Costs'!$C:$C,'[1]Calc| Project Costs'!AF:AF,0,0,1)*$O18</f>
        <v>1335.4767568732793</v>
      </c>
      <c r="K18" s="142">
        <f>_xlfn.XLOOKUP($D18,'[1]Calc| Project Costs'!$C:$C,'[1]Calc| Project Costs'!AG:AG,0,0,1)*$O18</f>
        <v>1356.8840012749222</v>
      </c>
      <c r="L18" s="142">
        <f>_xlfn.XLOOKUP($D18,'[1]Calc| Project Costs'!$C:$C,'[1]Calc| Project Costs'!AH:AH,0,0,1)*$O18</f>
        <v>1363.204430125319</v>
      </c>
      <c r="M18" s="142">
        <f>_xlfn.XLOOKUP($D18,'[1]Calc| Project Costs'!$C:$C,'[1]Calc| Project Costs'!AI:AI,0,0,1)*$O18</f>
        <v>1377.3408811697927</v>
      </c>
      <c r="N18" s="142">
        <f>_xlfn.XLOOKUP($D18,'[1]Calc| Project Costs'!$C:$C,'[1]Calc| Project Costs'!AJ:AJ,0,0,1)*$O18</f>
        <v>1390.2459757152153</v>
      </c>
      <c r="O18" s="123">
        <f>Direct_view!P18</f>
        <v>0.65059617707222728</v>
      </c>
      <c r="P18" s="31" t="s">
        <v>126</v>
      </c>
      <c r="T18" s="151">
        <f>SUM(E18:G18)</f>
        <v>2293.32404204657</v>
      </c>
      <c r="U18" s="317">
        <f>T18/(T18+T9)</f>
        <v>0.66433627384434257</v>
      </c>
    </row>
    <row r="19" spans="2:21" x14ac:dyDescent="0.3">
      <c r="B19" s="150" t="s">
        <v>130</v>
      </c>
      <c r="C19" s="144"/>
      <c r="D19" s="145"/>
      <c r="E19" s="142">
        <f>SUBTOTAL(9,E17:E18)</f>
        <v>2536.7798345632382</v>
      </c>
      <c r="F19" s="142">
        <f>SUBTOTAL(9,F17:F18)</f>
        <v>2504.7269605779229</v>
      </c>
      <c r="G19" s="142">
        <f>SUBTOTAL(9,G17:G18)</f>
        <v>2956.4899563849258</v>
      </c>
      <c r="H19" s="61">
        <f t="shared" ref="H19:N19" si="3">SUBTOTAL(9,H17:H18)</f>
        <v>3417.1544665036931</v>
      </c>
      <c r="I19" s="142">
        <f t="shared" si="3"/>
        <v>3762.7061332564499</v>
      </c>
      <c r="J19" s="142">
        <f t="shared" si="3"/>
        <v>3702.7801268930525</v>
      </c>
      <c r="K19" s="142">
        <f t="shared" si="3"/>
        <v>3725.8968040121281</v>
      </c>
      <c r="L19" s="142">
        <f t="shared" si="3"/>
        <v>3745.2666565920886</v>
      </c>
      <c r="M19" s="142">
        <f t="shared" si="3"/>
        <v>3785.6171684862238</v>
      </c>
      <c r="N19" s="142">
        <f t="shared" si="3"/>
        <v>3820.3967467281527</v>
      </c>
    </row>
    <row r="20" spans="2:21" x14ac:dyDescent="0.3">
      <c r="B20" s="135" t="s">
        <v>29</v>
      </c>
      <c r="C20" s="136">
        <v>1015</v>
      </c>
      <c r="D20" s="137" t="str">
        <f>VLOOKUP(C20,Assumptions!$B$8:$C$14,2,FALSE)</f>
        <v>COGENERATION PROJECTS up to 1.5MW</v>
      </c>
      <c r="E20" s="138">
        <v>0</v>
      </c>
      <c r="F20" s="138">
        <v>133.59296030079835</v>
      </c>
      <c r="G20" s="138">
        <v>71.702949786975495</v>
      </c>
      <c r="H20" s="139">
        <f>_xlfn.XLOOKUP($D20,Contr_Fcast!$B$10:$B$17,Contr_Fcast!M$10:M$17,0,0,1)/(1+H$2)*$O20</f>
        <v>4260.884390403382</v>
      </c>
      <c r="I20" s="138">
        <f>_xlfn.XLOOKUP($D20,Contr_Fcast!$B$10:$B$17,Contr_Fcast!N$10:N$17,0,0,1)/(1+I$2)*$O20</f>
        <v>211.47482507464994</v>
      </c>
      <c r="J20" s="138">
        <f>_xlfn.XLOOKUP(LEFT($D20,21),'[1]Calc| Project Costs'!$C:$C,'[1]Calc| Project Costs'!AF:AF,0,0,1)*$O20</f>
        <v>261.7107124905724</v>
      </c>
      <c r="K20" s="138">
        <f>_xlfn.XLOOKUP(LEFT($D20,21),'[1]Calc| Project Costs'!$C:$C,'[1]Calc| Project Costs'!AG:AG,0,0,1)*$O20</f>
        <v>261.97965457611082</v>
      </c>
      <c r="L20" s="138">
        <f>_xlfn.XLOOKUP(LEFT($D20,21),'[1]Calc| Project Costs'!$C:$C,'[1]Calc| Project Costs'!AH:AH,0,0,1)*$O20</f>
        <v>0</v>
      </c>
      <c r="M20" s="138">
        <f>_xlfn.XLOOKUP(LEFT($D20,21),'[1]Calc| Project Costs'!$C:$C,'[1]Calc| Project Costs'!AI:AI,0,0,1)*$O20</f>
        <v>0</v>
      </c>
      <c r="N20" s="138">
        <f>_xlfn.XLOOKUP(LEFT($D20,21),'[1]Calc| Project Costs'!$C:$C,'[1]Calc| Project Costs'!AJ:AJ,0,0,1)*$O20</f>
        <v>0</v>
      </c>
      <c r="O20" s="123">
        <f>Direct_view!P20</f>
        <v>1</v>
      </c>
    </row>
    <row r="21" spans="2:21" x14ac:dyDescent="0.3">
      <c r="B21" s="140"/>
      <c r="C21" s="32">
        <v>1047</v>
      </c>
      <c r="D21" s="31" t="s">
        <v>302</v>
      </c>
      <c r="E21" s="141">
        <v>0</v>
      </c>
      <c r="F21" s="141">
        <v>0</v>
      </c>
      <c r="G21" s="141">
        <v>409.54775342295028</v>
      </c>
      <c r="H21" s="66">
        <f>_xlfn.XLOOKUP($D21,Contr_Fcast!$B$10:$B$17,Contr_Fcast!M$10:M$17,0,0,1)/(1+H$2)*$O21</f>
        <v>0</v>
      </c>
      <c r="I21" s="141">
        <f>_xlfn.XLOOKUP($D21,Contr_Fcast!$B$10:$B$17,Contr_Fcast!N$10:N$17,0,0,1)/(1+I$2)*$O21</f>
        <v>0</v>
      </c>
      <c r="J21" s="141">
        <f>_xlfn.XLOOKUP($D21,'[1]Calc| Project Costs'!$C:$C,'[1]Calc| Project Costs'!AF:AF,0,0,1)*$O21</f>
        <v>0</v>
      </c>
      <c r="K21" s="141">
        <f>_xlfn.XLOOKUP($D21,'[1]Calc| Project Costs'!$C:$C,'[1]Calc| Project Costs'!AG:AG,0,0,1)*$O21</f>
        <v>0</v>
      </c>
      <c r="L21" s="141">
        <f>_xlfn.XLOOKUP($D21,'[1]Calc| Project Costs'!$C:$C,'[1]Calc| Project Costs'!AH:AH,0,0,1)*$O21</f>
        <v>0</v>
      </c>
      <c r="M21" s="141">
        <f>_xlfn.XLOOKUP($D21,'[1]Calc| Project Costs'!$C:$C,'[1]Calc| Project Costs'!AI:AI,0,0,1)*$O21</f>
        <v>0</v>
      </c>
      <c r="N21" s="141">
        <f>_xlfn.XLOOKUP($D21,'[1]Calc| Project Costs'!$C:$C,'[1]Calc| Project Costs'!AJ:AJ,0,0,1)*$O21</f>
        <v>0</v>
      </c>
      <c r="O21" s="123">
        <f>Direct_view!P21</f>
        <v>1</v>
      </c>
    </row>
    <row r="22" spans="2:21" x14ac:dyDescent="0.3">
      <c r="B22" s="143"/>
      <c r="C22" s="144">
        <v>1048</v>
      </c>
      <c r="D22" s="145" t="s">
        <v>236</v>
      </c>
      <c r="E22" s="142">
        <v>0</v>
      </c>
      <c r="F22" s="142">
        <v>0</v>
      </c>
      <c r="G22" s="142">
        <v>69.393480469416573</v>
      </c>
      <c r="H22" s="61">
        <f>_xlfn.XLOOKUP($D22,Contr_Fcast!$B$10:$B$17,Contr_Fcast!M$10:M$17,0,0,1)/(1+H$2)*$O22</f>
        <v>11902.048553498436</v>
      </c>
      <c r="I22" s="142">
        <f>_xlfn.XLOOKUP($D22,Contr_Fcast!$B$10:$B$17,Contr_Fcast!N$10:N$17,0,0,1)/(1+I$2)*$O22</f>
        <v>23267.822617531569</v>
      </c>
      <c r="J22" s="142">
        <f>_xlfn.XLOOKUP($D22,'[1]Calc| Project Costs'!$C:$C,'[1]Calc| Project Costs'!AF:AF,0,0,1)*$O22</f>
        <v>21515.842862561432</v>
      </c>
      <c r="K22" s="142">
        <f>_xlfn.XLOOKUP($D22,'[1]Calc| Project Costs'!$C:$C,'[1]Calc| Project Costs'!AG:AG,0,0,1)*$O22</f>
        <v>9276.8386091638622</v>
      </c>
      <c r="L22" s="142">
        <f>_xlfn.XLOOKUP($D22,'[1]Calc| Project Costs'!$C:$C,'[1]Calc| Project Costs'!AH:AH,0,0,1)*$O22</f>
        <v>4586.2255935614994</v>
      </c>
      <c r="M22" s="142">
        <f>_xlfn.XLOOKUP($D22,'[1]Calc| Project Costs'!$C:$C,'[1]Calc| Project Costs'!AI:AI,0,0,1)*$O22</f>
        <v>4382.2312230329326</v>
      </c>
      <c r="N22" s="142">
        <f>_xlfn.XLOOKUP($D22,'[1]Calc| Project Costs'!$C:$C,'[1]Calc| Project Costs'!AJ:AJ,0,0,1)*$O22</f>
        <v>6994.8337901141458</v>
      </c>
      <c r="O22" s="123">
        <f>Direct_view!P22</f>
        <v>1</v>
      </c>
    </row>
    <row r="23" spans="2:21" x14ac:dyDescent="0.3">
      <c r="B23" s="150" t="s">
        <v>130</v>
      </c>
      <c r="C23" s="147"/>
      <c r="D23" s="148"/>
      <c r="E23" s="142">
        <f>SUBTOTAL(9,E20:E22)</f>
        <v>0</v>
      </c>
      <c r="F23" s="142">
        <f>SUBTOTAL(9,F20:F22)</f>
        <v>133.59296030079835</v>
      </c>
      <c r="G23" s="142">
        <f>SUBTOTAL(9,G20:G22)</f>
        <v>550.64418367934229</v>
      </c>
      <c r="H23" s="61">
        <f t="shared" ref="H23:N23" si="4">SUBTOTAL(9,H20:H22)</f>
        <v>16162.932943901818</v>
      </c>
      <c r="I23" s="142">
        <f t="shared" si="4"/>
        <v>23479.297442606217</v>
      </c>
      <c r="J23" s="142">
        <f t="shared" si="4"/>
        <v>21777.553575052007</v>
      </c>
      <c r="K23" s="142">
        <f t="shared" si="4"/>
        <v>9538.8182637399732</v>
      </c>
      <c r="L23" s="142">
        <f t="shared" si="4"/>
        <v>4586.2255935614994</v>
      </c>
      <c r="M23" s="142">
        <f t="shared" si="4"/>
        <v>4382.2312230329326</v>
      </c>
      <c r="N23" s="142">
        <f t="shared" si="4"/>
        <v>6994.8337901141458</v>
      </c>
      <c r="O23" s="123"/>
    </row>
    <row r="24" spans="2:21" x14ac:dyDescent="0.3">
      <c r="B24" s="146"/>
      <c r="C24" s="148"/>
      <c r="D24" s="148"/>
      <c r="E24" s="149">
        <f t="shared" ref="E24:I24" si="5">SUBTOTAL(9,E6:E23)</f>
        <v>17358.126490599996</v>
      </c>
      <c r="F24" s="149">
        <f t="shared" si="5"/>
        <v>19909.853284606408</v>
      </c>
      <c r="G24" s="149">
        <f t="shared" si="5"/>
        <v>19718.060701902396</v>
      </c>
      <c r="H24" s="319">
        <f t="shared" si="5"/>
        <v>40954.576320604247</v>
      </c>
      <c r="I24" s="319">
        <f t="shared" si="5"/>
        <v>50854.586270019659</v>
      </c>
      <c r="J24" s="149">
        <f>SUBTOTAL(9,J6:J23)</f>
        <v>62653.475599576253</v>
      </c>
      <c r="K24" s="149">
        <f t="shared" ref="K24:N24" si="6">SUBTOTAL(9,K6:K23)</f>
        <v>51479.774571182264</v>
      </c>
      <c r="L24" s="149">
        <f t="shared" si="6"/>
        <v>48152.770851275491</v>
      </c>
      <c r="M24" s="149">
        <f t="shared" si="6"/>
        <v>47279.003407327255</v>
      </c>
      <c r="N24" s="149">
        <f t="shared" si="6"/>
        <v>48398.910267651343</v>
      </c>
    </row>
    <row r="25" spans="2:21" x14ac:dyDescent="0.3">
      <c r="E25" s="31" t="b">
        <v>1</v>
      </c>
      <c r="F25" s="31" t="b">
        <v>1</v>
      </c>
      <c r="G25" s="31" t="b">
        <v>1</v>
      </c>
      <c r="H25" s="31" t="b">
        <v>0</v>
      </c>
      <c r="I25" s="31" t="b">
        <v>1</v>
      </c>
      <c r="J25" s="31" t="b">
        <f>J24=J26+J27+J28</f>
        <v>1</v>
      </c>
      <c r="K25" s="31" t="b">
        <f t="shared" ref="K25:N25" si="7">K24=K26+K27+K28</f>
        <v>1</v>
      </c>
      <c r="L25" s="31" t="b">
        <f t="shared" si="7"/>
        <v>1</v>
      </c>
      <c r="M25" s="31" t="b">
        <f t="shared" si="7"/>
        <v>0</v>
      </c>
      <c r="N25" s="31" t="b">
        <f t="shared" si="7"/>
        <v>1</v>
      </c>
    </row>
    <row r="26" spans="2:21" x14ac:dyDescent="0.3">
      <c r="H26" s="31" t="s">
        <v>370</v>
      </c>
      <c r="J26" s="59" cm="1">
        <f t="array" ref="J26">IFERROR(SUMPRODUCT(--('[1]Input| Projects'!$G$10:$G$1009=$H26),'[1]Calc| Project Costs'!AF$10:AF$1009,'[1]Calc| Project Costs'!$BZ$10:$BZ$1009),0)</f>
        <v>37191.050145307338</v>
      </c>
      <c r="K26" s="59" cm="1">
        <f t="array" ref="K26">IFERROR(SUMPRODUCT(--('[1]Input| Projects'!$G$10:$G$1009=$H26),'[1]Calc| Project Costs'!AG$10:AG$1009,'[1]Calc| Project Costs'!$BZ$10:$BZ$1009),0)</f>
        <v>38342.164046362865</v>
      </c>
      <c r="L26" s="59" cm="1">
        <f t="array" ref="L26">IFERROR(SUMPRODUCT(--('[1]Input| Projects'!$G$10:$G$1009=$H26),'[1]Calc| Project Costs'!AH$10:AH$1009,'[1]Calc| Project Costs'!$BZ$10:$BZ$1009),0)</f>
        <v>38940.977242600027</v>
      </c>
      <c r="M26" s="59" cm="1">
        <f t="array" ref="M26">IFERROR(SUMPRODUCT(--('[1]Input| Projects'!$G$10:$G$1009=$H26),'[1]Calc| Project Costs'!AI$10:AI$1009,'[1]Calc| Project Costs'!$BZ$10:$BZ$1009),0)</f>
        <v>40184.990047008498</v>
      </c>
      <c r="N26" s="59" cm="1">
        <f t="array" ref="N26">IFERROR(SUMPRODUCT(--('[1]Input| Projects'!$G$10:$G$1009=$H26),'[1]Calc| Project Costs'!AJ$10:AJ$1009,'[1]Calc| Project Costs'!$BZ$10:$BZ$1009),0)</f>
        <v>41357.654927538606</v>
      </c>
    </row>
    <row r="27" spans="2:21" x14ac:dyDescent="0.3">
      <c r="H27" s="31" t="s">
        <v>263</v>
      </c>
      <c r="J27" s="59" cm="1">
        <f t="array" ref="J27">IFERROR(SUMPRODUCT(--('[1]Input| Projects'!$G$10:$G$1009=$H27),'[1]Calc| Project Costs'!AF$10:AF$1009,'[1]Calc| Project Costs'!$BZ$10:$BZ$1009),0)</f>
        <v>25392.351056222906</v>
      </c>
      <c r="K27" s="59" cm="1">
        <f t="array" ref="K27">IFERROR(SUMPRODUCT(--('[1]Input| Projects'!$G$10:$G$1009=$H27),'[1]Calc| Project Costs'!AG$10:AG$1009,'[1]Calc| Project Costs'!$BZ$10:$BZ$1009),0)</f>
        <v>13084.473355607744</v>
      </c>
      <c r="L27" s="59" cm="1">
        <f t="array" ref="L27">IFERROR(SUMPRODUCT(--('[1]Input| Projects'!$G$10:$G$1009=$H27),'[1]Calc| Project Costs'!AH$10:AH$1009,'[1]Calc| Project Costs'!$BZ$10:$BZ$1009),0)</f>
        <v>9164.371626564056</v>
      </c>
      <c r="M27" s="59" cm="1">
        <f t="array" ref="M27">IFERROR(SUMPRODUCT(--('[1]Input| Projects'!$G$10:$G$1009=$H27),'[1]Calc| Project Costs'!AI$10:AI$1009,'[1]Calc| Project Costs'!$BZ$10:$BZ$1009),0)</f>
        <v>7047.8474802024703</v>
      </c>
      <c r="N27" s="59" cm="1">
        <f t="array" ref="N27">IFERROR(SUMPRODUCT(--('[1]Input| Projects'!$G$10:$G$1009=$H27),'[1]Calc| Project Costs'!AJ$10:AJ$1009,'[1]Calc| Project Costs'!$BZ$10:$BZ$1009),0)</f>
        <v>6994.8337901141458</v>
      </c>
    </row>
    <row r="28" spans="2:21" x14ac:dyDescent="0.3">
      <c r="B28" s="52" t="s">
        <v>309</v>
      </c>
      <c r="H28" s="31" t="s">
        <v>371</v>
      </c>
      <c r="I28" s="407"/>
      <c r="J28" s="59">
        <f>'[1]Calc| Project Costs'!AF$199</f>
        <v>70.074398046013599</v>
      </c>
      <c r="K28" s="59">
        <f>'[1]Calc| Project Costs'!AG$199</f>
        <v>53.137169211656271</v>
      </c>
      <c r="L28" s="59">
        <f>'[1]Calc| Project Costs'!AH$199</f>
        <v>47.421982111403572</v>
      </c>
      <c r="M28" s="59">
        <f>'[1]Calc| Project Costs'!AI$199</f>
        <v>46.165880116269037</v>
      </c>
      <c r="N28" s="59">
        <f>'[1]Calc| Project Costs'!AJ$199</f>
        <v>46.421549998583586</v>
      </c>
    </row>
    <row r="29" spans="2:21" x14ac:dyDescent="0.3">
      <c r="B29" t="s">
        <v>156</v>
      </c>
      <c r="C29"/>
      <c r="D29"/>
      <c r="E29" s="503" t="s">
        <v>306</v>
      </c>
      <c r="F29" s="504"/>
      <c r="G29" s="504"/>
      <c r="H29" s="504"/>
      <c r="I29" s="505"/>
      <c r="J29" s="503" t="s">
        <v>307</v>
      </c>
      <c r="K29" s="504"/>
      <c r="L29" s="504"/>
      <c r="M29" s="504"/>
      <c r="N29" s="505"/>
    </row>
    <row r="30" spans="2:21" x14ac:dyDescent="0.3">
      <c r="B30" s="131" t="s">
        <v>31</v>
      </c>
      <c r="C30" s="29" t="s">
        <v>30</v>
      </c>
      <c r="D30" s="227"/>
      <c r="E30" s="43" t="str">
        <f>Allocations!H$50</f>
        <v>2021-22</v>
      </c>
      <c r="F30" s="43" t="str">
        <f>Allocations!I$50</f>
        <v>2022-23</v>
      </c>
      <c r="G30" s="43" t="str">
        <f>Allocations!J$50</f>
        <v>2023-24</v>
      </c>
      <c r="H30" s="134" t="str">
        <f>Allocations!K$50</f>
        <v>2024-25</v>
      </c>
      <c r="I30" s="43" t="str">
        <f>Allocations!L$50</f>
        <v>2025-26</v>
      </c>
      <c r="J30" s="43" t="str">
        <f>Allocations!M$50</f>
        <v>2026-27</v>
      </c>
      <c r="K30" s="43" t="str">
        <f>Allocations!N$50</f>
        <v>2027–28</v>
      </c>
      <c r="L30" s="43" t="str">
        <f>Allocations!O$50</f>
        <v>2028–29</v>
      </c>
      <c r="M30" s="43" t="str">
        <f>Allocations!P$50</f>
        <v>2029–30</v>
      </c>
      <c r="N30" s="43" t="str">
        <f>Allocations!Q$50</f>
        <v>2030–31</v>
      </c>
    </row>
    <row r="31" spans="2:21" x14ac:dyDescent="0.3">
      <c r="B31" s="135" t="s">
        <v>26</v>
      </c>
      <c r="C31" s="136">
        <v>1013</v>
      </c>
      <c r="D31" s="137" t="s">
        <v>84</v>
      </c>
      <c r="E31" s="138">
        <f>E6*Escalation!M$12</f>
        <v>5344.5693679941178</v>
      </c>
      <c r="F31" s="138">
        <f>F6*Escalation!N$12</f>
        <v>5332.2511133003691</v>
      </c>
      <c r="G31" s="138">
        <f>G6*Escalation!O$12</f>
        <v>4518.5955370371221</v>
      </c>
      <c r="H31" s="139">
        <f>H6*Escalation!P$12</f>
        <v>5771.5495860001192</v>
      </c>
      <c r="I31" s="138">
        <f>I6*Escalation!Q$12</f>
        <v>6262.8069284414723</v>
      </c>
      <c r="J31" s="138">
        <f>J6*Escalation!$O$12</f>
        <v>10976.358223818839</v>
      </c>
      <c r="K31" s="138">
        <f>K6*Escalation!$O$12</f>
        <v>11153.511374118067</v>
      </c>
      <c r="L31" s="138">
        <f>L6*Escalation!$O$12</f>
        <v>11206.9383268571</v>
      </c>
      <c r="M31" s="138">
        <f>M6*Escalation!$O$12</f>
        <v>11324.912865498543</v>
      </c>
      <c r="N31" s="138">
        <f>N6*Escalation!$O$12</f>
        <v>11432.486582740785</v>
      </c>
    </row>
    <row r="32" spans="2:21" x14ac:dyDescent="0.3">
      <c r="B32" s="140"/>
      <c r="C32" s="32">
        <v>1016</v>
      </c>
      <c r="D32" s="31" t="s">
        <v>88</v>
      </c>
      <c r="E32" s="141">
        <f>E7*Escalation!M$12</f>
        <v>2.2795292880624238</v>
      </c>
      <c r="F32" s="141">
        <f>F7*Escalation!N$12</f>
        <v>2.7362352907402596</v>
      </c>
      <c r="G32" s="141">
        <f>G7*Escalation!O$12</f>
        <v>0</v>
      </c>
      <c r="H32" s="66">
        <f>H7*Escalation!P$12</f>
        <v>0</v>
      </c>
      <c r="I32" s="141">
        <f>I7*Escalation!Q$12</f>
        <v>0</v>
      </c>
      <c r="J32" s="141">
        <f>J7*Escalation!$O$12</f>
        <v>1.6699587805817679</v>
      </c>
      <c r="K32" s="141">
        <f>K7*Escalation!$O$12</f>
        <v>1.6799349380625426</v>
      </c>
      <c r="L32" s="141">
        <f>L7*Escalation!$O$12</f>
        <v>1.6967168872906919</v>
      </c>
      <c r="M32" s="141">
        <f>M7*Escalation!$O$12</f>
        <v>1.6716544773661772</v>
      </c>
      <c r="N32" s="141">
        <f>N7*Escalation!$O$12</f>
        <v>1.6457601873596761</v>
      </c>
    </row>
    <row r="33" spans="2:14" x14ac:dyDescent="0.3">
      <c r="B33" s="140"/>
      <c r="C33" s="32">
        <v>1018</v>
      </c>
      <c r="D33" s="31" t="s">
        <v>86</v>
      </c>
      <c r="E33" s="141">
        <f>E8*Escalation!M$12</f>
        <v>6284.5781547780134</v>
      </c>
      <c r="F33" s="141">
        <f>F8*Escalation!N$12</f>
        <v>5208.0166995008112</v>
      </c>
      <c r="G33" s="141">
        <f>G8*Escalation!O$12</f>
        <v>4954.9957379793022</v>
      </c>
      <c r="H33" s="66">
        <f>H8*Escalation!P$12</f>
        <v>6179.9868845665114</v>
      </c>
      <c r="I33" s="141">
        <f>I8*Escalation!Q$12</f>
        <v>6328.8373927159955</v>
      </c>
      <c r="J33" s="141">
        <f>J8*Escalation!$O$12</f>
        <v>9373.7488025089406</v>
      </c>
      <c r="K33" s="141">
        <f>K8*Escalation!$O$12</f>
        <v>9521.4584204524035</v>
      </c>
      <c r="L33" s="141">
        <f>L8*Escalation!$O$12</f>
        <v>9562.6958937442942</v>
      </c>
      <c r="M33" s="141">
        <f>M8*Escalation!$O$12</f>
        <v>9658.1448603449862</v>
      </c>
      <c r="N33" s="141">
        <f>N8*Escalation!$O$12</f>
        <v>9745.5431630392141</v>
      </c>
    </row>
    <row r="34" spans="2:14" x14ac:dyDescent="0.3">
      <c r="B34" s="140"/>
      <c r="C34" s="32">
        <v>1019</v>
      </c>
      <c r="D34" s="31" t="s">
        <v>78</v>
      </c>
      <c r="E34" s="142">
        <f>E9*Escalation!M$12</f>
        <v>259.50759223336507</v>
      </c>
      <c r="F34" s="142">
        <f>F9*Escalation!N$12</f>
        <v>241.98361666723702</v>
      </c>
      <c r="G34" s="142">
        <f>G9*Escalation!O$12</f>
        <v>784.91744761624136</v>
      </c>
      <c r="H34" s="61">
        <f>H9*Escalation!P$12</f>
        <v>356.36308450878317</v>
      </c>
      <c r="I34" s="142">
        <f>I9*Escalation!Q$12</f>
        <v>504.60798131904187</v>
      </c>
      <c r="J34" s="142">
        <f>J9*Escalation!$O$12</f>
        <v>768.67027178253284</v>
      </c>
      <c r="K34" s="142">
        <f>K9*Escalation!$O$12</f>
        <v>780.99179837416887</v>
      </c>
      <c r="L34" s="142">
        <f>L9*Escalation!$O$12</f>
        <v>784.62969453163646</v>
      </c>
      <c r="M34" s="142">
        <f>M9*Escalation!$O$12</f>
        <v>792.76631661095814</v>
      </c>
      <c r="N34" s="142">
        <f>N9*Escalation!$O$12</f>
        <v>800.19419768830039</v>
      </c>
    </row>
    <row r="35" spans="2:14" x14ac:dyDescent="0.3">
      <c r="B35" s="150" t="s">
        <v>130</v>
      </c>
      <c r="C35" s="144"/>
      <c r="D35" s="145"/>
      <c r="E35" s="142">
        <f t="shared" ref="E35:N35" si="8">SUBTOTAL(9,E31:E34)</f>
        <v>11890.934644293558</v>
      </c>
      <c r="F35" s="142">
        <f t="shared" si="8"/>
        <v>10784.987664759157</v>
      </c>
      <c r="G35" s="142">
        <f t="shared" si="8"/>
        <v>10258.508722632665</v>
      </c>
      <c r="H35" s="61">
        <f t="shared" si="8"/>
        <v>12307.899555075413</v>
      </c>
      <c r="I35" s="142">
        <f t="shared" si="8"/>
        <v>13096.252302476511</v>
      </c>
      <c r="J35" s="142">
        <f t="shared" si="8"/>
        <v>21120.447256890893</v>
      </c>
      <c r="K35" s="142">
        <f t="shared" si="8"/>
        <v>21457.641527882701</v>
      </c>
      <c r="L35" s="142">
        <f t="shared" si="8"/>
        <v>21555.96063202032</v>
      </c>
      <c r="M35" s="142">
        <f t="shared" si="8"/>
        <v>21777.495696931855</v>
      </c>
      <c r="N35" s="142">
        <f t="shared" si="8"/>
        <v>21979.869703655659</v>
      </c>
    </row>
    <row r="36" spans="2:14" x14ac:dyDescent="0.3">
      <c r="B36" s="135" t="s">
        <v>27</v>
      </c>
      <c r="C36" s="136">
        <v>1014</v>
      </c>
      <c r="D36" s="137" t="s">
        <v>85</v>
      </c>
      <c r="E36" s="138">
        <f>E11*Escalation!M$12</f>
        <v>5836.6229738690308</v>
      </c>
      <c r="F36" s="138">
        <f>F11*Escalation!N$12</f>
        <v>9174.8656876820878</v>
      </c>
      <c r="G36" s="138">
        <f>G11*Escalation!O$12</f>
        <v>7115.3163401972533</v>
      </c>
      <c r="H36" s="139">
        <f>H11*Escalation!P$12</f>
        <v>9130.3808882675967</v>
      </c>
      <c r="I36" s="138">
        <f>I11*Escalation!Q$12</f>
        <v>7579.6596939656147</v>
      </c>
      <c r="J36" s="138">
        <f>J11*Escalation!$O$12</f>
        <v>10102.634164592986</v>
      </c>
      <c r="K36" s="138">
        <f>K11*Escalation!$O$12</f>
        <v>10086.570347214863</v>
      </c>
      <c r="L36" s="138">
        <f>L11*Escalation!$O$12</f>
        <v>10120.648640689591</v>
      </c>
      <c r="M36" s="138">
        <f>M11*Escalation!$O$12</f>
        <v>10205.685537359737</v>
      </c>
      <c r="N36" s="138">
        <f>N11*Escalation!$O$12</f>
        <v>10287.869758218794</v>
      </c>
    </row>
    <row r="37" spans="2:14" x14ac:dyDescent="0.3">
      <c r="B37" s="140"/>
      <c r="C37" s="32">
        <v>1016</v>
      </c>
      <c r="D37" s="31" t="s">
        <v>88</v>
      </c>
      <c r="E37" s="296">
        <f>E12*Escalation!M$12</f>
        <v>0.26523408315128283</v>
      </c>
      <c r="F37" s="296">
        <f>F12*Escalation!N$12</f>
        <v>0.37221662254604349</v>
      </c>
      <c r="G37" s="141">
        <f>G12*Escalation!O$12</f>
        <v>0</v>
      </c>
      <c r="H37" s="66">
        <f>H12*Escalation!P$12</f>
        <v>0</v>
      </c>
      <c r="I37" s="141">
        <f>I12*Escalation!Q$12</f>
        <v>0</v>
      </c>
      <c r="J37" s="141">
        <f>J12*Escalation!$O$12</f>
        <v>0.18555097562019643</v>
      </c>
      <c r="K37" s="141">
        <f>K12*Escalation!$O$12</f>
        <v>0.18665943756250475</v>
      </c>
      <c r="L37" s="141">
        <f>L12*Escalation!$O$12</f>
        <v>0.18852409858785468</v>
      </c>
      <c r="M37" s="141">
        <f>M12*Escalation!$O$12</f>
        <v>0.18573938637401971</v>
      </c>
      <c r="N37" s="141">
        <f>N12*Escalation!$O$12</f>
        <v>0.18286224303996398</v>
      </c>
    </row>
    <row r="38" spans="2:14" x14ac:dyDescent="0.3">
      <c r="B38" s="140"/>
      <c r="C38" s="32">
        <v>1014</v>
      </c>
      <c r="D38" s="31" t="s">
        <v>298</v>
      </c>
      <c r="E38" s="141">
        <f>E13*Escalation!M$12</f>
        <v>0</v>
      </c>
      <c r="F38" s="141">
        <f>F13*Escalation!N$12</f>
        <v>0</v>
      </c>
      <c r="G38" s="141">
        <f>G13*Escalation!O$12</f>
        <v>0</v>
      </c>
      <c r="H38" s="66">
        <f>H13*Escalation!P$12</f>
        <v>0</v>
      </c>
      <c r="I38" s="141">
        <f>I13*Escalation!Q$12</f>
        <v>1764.5872546383434</v>
      </c>
      <c r="J38" s="141">
        <f>J13*Escalation!$O$12</f>
        <v>4154.5913464223713</v>
      </c>
      <c r="K38" s="141">
        <f>K13*Escalation!$O$12</f>
        <v>4080.7772298221921</v>
      </c>
      <c r="L38" s="141">
        <f>L13*Escalation!$O$12</f>
        <v>4906.5615087492142</v>
      </c>
      <c r="M38" s="141">
        <f>M13*Escalation!$O$12</f>
        <v>2856.8355028960041</v>
      </c>
      <c r="N38" s="141">
        <f>N13*Escalation!$O$12</f>
        <v>0</v>
      </c>
    </row>
    <row r="39" spans="2:14" x14ac:dyDescent="0.3">
      <c r="B39" s="140"/>
      <c r="C39" s="32">
        <v>1014</v>
      </c>
      <c r="D39" s="31" t="s">
        <v>267</v>
      </c>
      <c r="E39" s="141">
        <f>E14*Escalation!M$12</f>
        <v>0</v>
      </c>
      <c r="F39" s="141">
        <f>F14*Escalation!N$12</f>
        <v>0</v>
      </c>
      <c r="G39" s="141">
        <f>G14*Escalation!O$12</f>
        <v>0</v>
      </c>
      <c r="H39" s="66">
        <f>H14*Escalation!P$12</f>
        <v>577.44313416168836</v>
      </c>
      <c r="I39" s="141">
        <f>I14*Escalation!Q$12</f>
        <v>1172.0834430765201</v>
      </c>
      <c r="J39" s="141">
        <f>J14*Escalation!$O$12</f>
        <v>2258.1347429628058</v>
      </c>
      <c r="K39" s="141">
        <f>K14*Escalation!$O$12</f>
        <v>3105.8533703937132</v>
      </c>
      <c r="L39" s="141">
        <f>L14*Escalation!$O$12</f>
        <v>3846.580893669061</v>
      </c>
      <c r="M39" s="141">
        <f>M14*Escalation!$O$12</f>
        <v>4796.1689707080359</v>
      </c>
      <c r="N39" s="141">
        <f>N14*Escalation!$O$12</f>
        <v>5701.1203256940607</v>
      </c>
    </row>
    <row r="40" spans="2:14" x14ac:dyDescent="0.3">
      <c r="B40" s="140"/>
      <c r="C40" s="32">
        <v>1014</v>
      </c>
      <c r="D40" s="31" t="s">
        <v>285</v>
      </c>
      <c r="E40" s="142">
        <f>E15*Escalation!M$12</f>
        <v>0</v>
      </c>
      <c r="F40" s="142">
        <f>F15*Escalation!N$12</f>
        <v>0</v>
      </c>
      <c r="G40" s="142">
        <f>G15*Escalation!O$12</f>
        <v>0</v>
      </c>
      <c r="H40" s="61">
        <f>H15*Escalation!P$12</f>
        <v>0</v>
      </c>
      <c r="I40" s="142">
        <f>I15*Escalation!Q$12</f>
        <v>0</v>
      </c>
      <c r="J40" s="142">
        <f>J15*Escalation!$O$12</f>
        <v>2203.7817901097092</v>
      </c>
      <c r="K40" s="142">
        <f>K15*Escalation!$O$12</f>
        <v>2225.4057763296223</v>
      </c>
      <c r="L40" s="142">
        <f>L15*Escalation!$O$12</f>
        <v>2247.9366978762027</v>
      </c>
      <c r="M40" s="142">
        <f>M15*Escalation!$O$12</f>
        <v>2280.4408125117529</v>
      </c>
      <c r="N40" s="142">
        <f>N15*Escalation!$O$12</f>
        <v>2310.7201613811321</v>
      </c>
    </row>
    <row r="41" spans="2:14" x14ac:dyDescent="0.3">
      <c r="B41" s="150" t="s">
        <v>130</v>
      </c>
      <c r="C41" s="144"/>
      <c r="D41" s="145"/>
      <c r="E41" s="142">
        <f t="shared" ref="E41" si="9">SUBTOTAL(9,E36:E40)</f>
        <v>5836.8882079521818</v>
      </c>
      <c r="F41" s="142">
        <f t="shared" ref="F41" si="10">SUBTOTAL(9,F36:F40)</f>
        <v>9175.237904304633</v>
      </c>
      <c r="G41" s="142">
        <f t="shared" ref="G41" si="11">SUBTOTAL(9,G36:G40)</f>
        <v>7115.3163401972533</v>
      </c>
      <c r="H41" s="61">
        <f t="shared" ref="H41" si="12">SUBTOTAL(9,H36:H40)</f>
        <v>9707.8240224292858</v>
      </c>
      <c r="I41" s="142">
        <f t="shared" ref="I41" si="13">SUBTOTAL(9,I36:I40)</f>
        <v>10516.33039168048</v>
      </c>
      <c r="J41" s="142">
        <f t="shared" ref="J41" si="14">SUBTOTAL(9,J36:J40)</f>
        <v>18719.327595063492</v>
      </c>
      <c r="K41" s="142">
        <f t="shared" ref="K41" si="15">SUBTOTAL(9,K36:K40)</f>
        <v>19498.793383197954</v>
      </c>
      <c r="L41" s="142">
        <f t="shared" ref="L41" si="16">SUBTOTAL(9,L36:L40)</f>
        <v>21121.916265082662</v>
      </c>
      <c r="M41" s="142">
        <f t="shared" ref="M41" si="17">SUBTOTAL(9,M36:M40)</f>
        <v>20139.316562861903</v>
      </c>
      <c r="N41" s="142">
        <f t="shared" ref="N41" si="18">SUBTOTAL(9,N36:N40)</f>
        <v>18299.893107537027</v>
      </c>
    </row>
    <row r="42" spans="2:14" x14ac:dyDescent="0.3">
      <c r="B42" s="135" t="s">
        <v>28</v>
      </c>
      <c r="C42" s="136">
        <v>1012</v>
      </c>
      <c r="D42" s="137" t="s">
        <v>83</v>
      </c>
      <c r="E42" s="138">
        <f>E17*Escalation!M$12</f>
        <v>1904.7185839124709</v>
      </c>
      <c r="F42" s="138">
        <f>F17*Escalation!N$12</f>
        <v>2103.714944609987</v>
      </c>
      <c r="G42" s="138">
        <f>G17*Escalation!O$12</f>
        <v>2456.3034680216665</v>
      </c>
      <c r="H42" s="139">
        <f>H17*Escalation!P$12</f>
        <v>2856.1146537032746</v>
      </c>
      <c r="I42" s="138">
        <f>I17*Escalation!Q$12</f>
        <v>2823.117033127553</v>
      </c>
      <c r="J42" s="138">
        <f>J17*Escalation!$O$12</f>
        <v>2537.1229993844177</v>
      </c>
      <c r="K42" s="138">
        <f>K17*Escalation!$O$12</f>
        <v>2538.955059068117</v>
      </c>
      <c r="L42" s="138">
        <f>L17*Escalation!$O$12</f>
        <v>2552.9405893944272</v>
      </c>
      <c r="M42" s="138">
        <f>M17*Escalation!$O$12</f>
        <v>2581.0351283247646</v>
      </c>
      <c r="N42" s="138">
        <f>N17*Escalation!$O$12</f>
        <v>2604.4787884778789</v>
      </c>
    </row>
    <row r="43" spans="2:14" x14ac:dyDescent="0.3">
      <c r="B43" s="140"/>
      <c r="C43" s="32">
        <v>1019</v>
      </c>
      <c r="D43" s="31" t="s">
        <v>78</v>
      </c>
      <c r="E43" s="142">
        <f>E18*Escalation!M$12</f>
        <v>1129.5255077989484</v>
      </c>
      <c r="F43" s="142">
        <f>F18*Escalation!N$12</f>
        <v>790.9275905482566</v>
      </c>
      <c r="G43" s="142">
        <f>G18*Escalation!O$12</f>
        <v>712.27169677885274</v>
      </c>
      <c r="H43" s="61">
        <f>H18*Escalation!P$12</f>
        <v>663.55444679552943</v>
      </c>
      <c r="I43" s="142">
        <f>I18*Escalation!Q$12</f>
        <v>939.58910012889714</v>
      </c>
      <c r="J43" s="142">
        <f>J18*Escalation!$O$12</f>
        <v>1431.2778150517345</v>
      </c>
      <c r="K43" s="142">
        <f>K18*Escalation!$O$12</f>
        <v>1454.220718277694</v>
      </c>
      <c r="L43" s="142">
        <f>L18*Escalation!$O$12</f>
        <v>1460.9945460875961</v>
      </c>
      <c r="M43" s="142">
        <f>M18*Escalation!$O$12</f>
        <v>1476.1450821485093</v>
      </c>
      <c r="N43" s="142">
        <f>N18*Escalation!$O$12</f>
        <v>1489.9759297682415</v>
      </c>
    </row>
    <row r="44" spans="2:14" x14ac:dyDescent="0.3">
      <c r="B44" s="150" t="s">
        <v>130</v>
      </c>
      <c r="C44" s="144"/>
      <c r="D44" s="145"/>
      <c r="E44" s="142">
        <f t="shared" ref="E44:N44" si="19">SUBTOTAL(9,E42:E43)</f>
        <v>3034.2440917114191</v>
      </c>
      <c r="F44" s="142">
        <f t="shared" si="19"/>
        <v>2894.6425351582438</v>
      </c>
      <c r="G44" s="142">
        <f t="shared" si="19"/>
        <v>3168.5751648005194</v>
      </c>
      <c r="H44" s="61">
        <f t="shared" si="19"/>
        <v>3519.6691004988043</v>
      </c>
      <c r="I44" s="142">
        <f t="shared" si="19"/>
        <v>3762.7061332564499</v>
      </c>
      <c r="J44" s="142">
        <f t="shared" si="19"/>
        <v>3968.4008144361524</v>
      </c>
      <c r="K44" s="142">
        <f t="shared" si="19"/>
        <v>3993.1757773458112</v>
      </c>
      <c r="L44" s="142">
        <f t="shared" si="19"/>
        <v>4013.9351354820233</v>
      </c>
      <c r="M44" s="142">
        <f t="shared" si="19"/>
        <v>4057.1802104732742</v>
      </c>
      <c r="N44" s="142">
        <f t="shared" si="19"/>
        <v>4094.4547182461201</v>
      </c>
    </row>
    <row r="45" spans="2:14" x14ac:dyDescent="0.3">
      <c r="B45" s="135" t="s">
        <v>29</v>
      </c>
      <c r="C45" s="136">
        <v>1015</v>
      </c>
      <c r="D45" s="137" t="s">
        <v>87</v>
      </c>
      <c r="E45" s="138">
        <f>E20*Escalation!M$12</f>
        <v>0</v>
      </c>
      <c r="F45" s="138">
        <f>F20*Escalation!N$12</f>
        <v>154.38962863847331</v>
      </c>
      <c r="G45" s="138">
        <f>G20*Escalation!O$12</f>
        <v>76.846594877580912</v>
      </c>
      <c r="H45" s="139">
        <f>H20*Escalation!P$12</f>
        <v>4388.7109221154833</v>
      </c>
      <c r="I45" s="138">
        <f>I20*Escalation!Q$12</f>
        <v>211.47482507464994</v>
      </c>
      <c r="J45" s="138">
        <f>J20*Escalation!$O$12</f>
        <v>280.48465450356196</v>
      </c>
      <c r="K45" s="138">
        <f>K20*Escalation!$O$12</f>
        <v>280.77288927708668</v>
      </c>
      <c r="L45" s="138">
        <f>L20*Escalation!$O$12</f>
        <v>0</v>
      </c>
      <c r="M45" s="138">
        <f>M20*Escalation!$O$12</f>
        <v>0</v>
      </c>
      <c r="N45" s="138">
        <f>N20*Escalation!$O$12</f>
        <v>0</v>
      </c>
    </row>
    <row r="46" spans="2:14" x14ac:dyDescent="0.3">
      <c r="B46" s="140"/>
      <c r="C46" s="32">
        <v>1047</v>
      </c>
      <c r="D46" s="31" t="s">
        <v>302</v>
      </c>
      <c r="E46" s="141">
        <f>E21*Escalation!M$12</f>
        <v>0</v>
      </c>
      <c r="F46" s="141">
        <f>F21*Escalation!N$12</f>
        <v>0</v>
      </c>
      <c r="G46" s="141">
        <f>G21*Escalation!O$12</f>
        <v>438.92685564288553</v>
      </c>
      <c r="H46" s="66">
        <f>H21*Escalation!P$12</f>
        <v>0</v>
      </c>
      <c r="I46" s="141">
        <f>I21*Escalation!Q$12</f>
        <v>0</v>
      </c>
      <c r="J46" s="141">
        <f>J21*Escalation!$O$12</f>
        <v>0</v>
      </c>
      <c r="K46" s="141">
        <f>K21*Escalation!$O$12</f>
        <v>0</v>
      </c>
      <c r="L46" s="141">
        <f>L21*Escalation!$O$12</f>
        <v>0</v>
      </c>
      <c r="M46" s="141">
        <f>M21*Escalation!$O$12</f>
        <v>0</v>
      </c>
      <c r="N46" s="141">
        <f>N21*Escalation!$O$12</f>
        <v>0</v>
      </c>
    </row>
    <row r="47" spans="2:14" x14ac:dyDescent="0.3">
      <c r="B47" s="143"/>
      <c r="C47" s="144">
        <v>1048</v>
      </c>
      <c r="D47" s="145" t="s">
        <v>236</v>
      </c>
      <c r="E47" s="142">
        <f>E22*Escalation!M$12</f>
        <v>0</v>
      </c>
      <c r="F47" s="142">
        <f>F22*Escalation!N$12</f>
        <v>0</v>
      </c>
      <c r="G47" s="142">
        <f>G22*Escalation!O$12</f>
        <v>74.371454683824325</v>
      </c>
      <c r="H47" s="61">
        <f>H22*Escalation!P$12</f>
        <v>12259.11001010339</v>
      </c>
      <c r="I47" s="142">
        <f>I22*Escalation!Q$12</f>
        <v>23267.822617531569</v>
      </c>
      <c r="J47" s="142">
        <f>J22*Escalation!$O$12</f>
        <v>23059.292048948384</v>
      </c>
      <c r="K47" s="142">
        <f>K22*Escalation!$O$12</f>
        <v>9942.3170240704694</v>
      </c>
      <c r="L47" s="142">
        <f>L22*Escalation!$O$12</f>
        <v>4915.220660414614</v>
      </c>
      <c r="M47" s="142">
        <f>M22*Escalation!$O$12</f>
        <v>4696.5926570216016</v>
      </c>
      <c r="N47" s="142">
        <f>N22*Escalation!$O$12</f>
        <v>7496.611507641981</v>
      </c>
    </row>
    <row r="48" spans="2:14" x14ac:dyDescent="0.3">
      <c r="B48" s="150" t="s">
        <v>130</v>
      </c>
      <c r="C48" s="147"/>
      <c r="D48" s="148"/>
      <c r="E48" s="142">
        <f>SUBTOTAL(9,E45:E47)</f>
        <v>0</v>
      </c>
      <c r="F48" s="142">
        <f>SUBTOTAL(9,F45:F47)</f>
        <v>154.38962863847331</v>
      </c>
      <c r="G48" s="142">
        <f>SUBTOTAL(9,G45:G47)</f>
        <v>590.14490520429081</v>
      </c>
      <c r="H48" s="61">
        <f t="shared" ref="H48:N48" si="20">SUBTOTAL(9,H45:H47)</f>
        <v>16647.820932218874</v>
      </c>
      <c r="I48" s="142">
        <f t="shared" si="20"/>
        <v>23479.297442606217</v>
      </c>
      <c r="J48" s="142">
        <f t="shared" si="20"/>
        <v>23339.776703451946</v>
      </c>
      <c r="K48" s="142">
        <f t="shared" si="20"/>
        <v>10223.089913347556</v>
      </c>
      <c r="L48" s="142">
        <f t="shared" si="20"/>
        <v>4915.220660414614</v>
      </c>
      <c r="M48" s="142">
        <f t="shared" si="20"/>
        <v>4696.5926570216016</v>
      </c>
      <c r="N48" s="142">
        <f t="shared" si="20"/>
        <v>7496.611507641981</v>
      </c>
    </row>
    <row r="49" spans="2:14" x14ac:dyDescent="0.3">
      <c r="B49" s="146"/>
      <c r="C49" s="148"/>
      <c r="D49" s="148"/>
      <c r="E49" s="149">
        <f t="shared" ref="E49" si="21">SUBTOTAL(9,E31:E48)</f>
        <v>20762.066943957161</v>
      </c>
      <c r="F49" s="149">
        <f t="shared" ref="F49" si="22">SUBTOTAL(9,F31:F48)</f>
        <v>23009.257732860508</v>
      </c>
      <c r="G49" s="149">
        <f t="shared" ref="G49" si="23">SUBTOTAL(9,G31:G48)</f>
        <v>21132.545132834726</v>
      </c>
      <c r="H49" s="149">
        <f t="shared" ref="H49" si="24">SUBTOTAL(9,H31:H48)</f>
        <v>42183.213610222374</v>
      </c>
      <c r="I49" s="149">
        <f t="shared" ref="I49" si="25">SUBTOTAL(9,I31:I48)</f>
        <v>50854.586270019659</v>
      </c>
      <c r="J49" s="149">
        <f>SUBTOTAL(9,J31:J48)</f>
        <v>67147.952369842489</v>
      </c>
      <c r="K49" s="149">
        <f t="shared" ref="K49" si="26">SUBTOTAL(9,K31:K48)</f>
        <v>55172.700601774028</v>
      </c>
      <c r="L49" s="149">
        <f t="shared" ref="L49" si="27">SUBTOTAL(9,L31:L48)</f>
        <v>51607.032692999608</v>
      </c>
      <c r="M49" s="149">
        <f t="shared" ref="M49" si="28">SUBTOTAL(9,M31:M48)</f>
        <v>50670.58512728865</v>
      </c>
      <c r="N49" s="149">
        <f t="shared" ref="N49" si="29">SUBTOTAL(9,N31:N48)</f>
        <v>51870.829037080788</v>
      </c>
    </row>
  </sheetData>
  <mergeCells count="4">
    <mergeCell ref="J4:N4"/>
    <mergeCell ref="J29:N29"/>
    <mergeCell ref="E4:I4"/>
    <mergeCell ref="E29:I29"/>
  </mergeCells>
  <hyperlinks>
    <hyperlink ref="B1" location="Contents!A1" display="Table of Contents" xr:uid="{00000000-0004-0000-1C00-000000000000}"/>
  </hyperlinks>
  <pageMargins left="0.7" right="0.7" top="0.75" bottom="0.75" header="0.3" footer="0.3"/>
  <headerFooter>
    <oddFooter>&amp;C_x000D_&amp;1#&amp;"Century Gothic"&amp;7&amp;K7F7F7F BUSINESS USE ONLY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1F68-29D8-44CB-B486-93F4C7BDC3DD}">
  <dimension ref="B2:S37"/>
  <sheetViews>
    <sheetView zoomScale="85" zoomScaleNormal="85" workbookViewId="0">
      <pane xSplit="2" topLeftCell="C1" activePane="topRight" state="frozen"/>
      <selection activeCell="C26" sqref="C26"/>
      <selection pane="topRight" activeCell="O11" sqref="O11"/>
    </sheetView>
  </sheetViews>
  <sheetFormatPr defaultRowHeight="14.65" outlineLevelCol="1" x14ac:dyDescent="0.3"/>
  <cols>
    <col min="2" max="2" width="30.88671875" customWidth="1"/>
    <col min="3" max="3" width="9.109375" hidden="1" customWidth="1" outlineLevel="1"/>
    <col min="4" max="4" width="11.5546875" hidden="1" customWidth="1" outlineLevel="1"/>
    <col min="5" max="5" width="13" hidden="1" customWidth="1" outlineLevel="1"/>
    <col min="6" max="12" width="11.5546875" hidden="1" customWidth="1" outlineLevel="1"/>
    <col min="13" max="14" width="11.109375" hidden="1" customWidth="1" outlineLevel="1"/>
    <col min="15" max="15" width="10.44140625" customWidth="1" collapsed="1"/>
    <col min="16" max="16" width="10.5546875" customWidth="1"/>
    <col min="17" max="17" width="11.109375" customWidth="1"/>
    <col min="18" max="18" width="11" customWidth="1"/>
  </cols>
  <sheetData>
    <row r="2" spans="2:19" x14ac:dyDescent="0.3">
      <c r="B2" s="51" t="s">
        <v>54</v>
      </c>
    </row>
    <row r="5" spans="2:19" x14ac:dyDescent="0.3">
      <c r="C5" s="7" t="s">
        <v>310</v>
      </c>
    </row>
    <row r="6" spans="2:19" x14ac:dyDescent="0.3">
      <c r="B6" s="131" t="s">
        <v>31</v>
      </c>
      <c r="C6" s="7" t="s">
        <v>30</v>
      </c>
      <c r="D6" s="199">
        <v>2009</v>
      </c>
      <c r="E6" s="199">
        <v>2010</v>
      </c>
      <c r="F6" s="199">
        <v>2011</v>
      </c>
      <c r="G6" s="199">
        <v>2012</v>
      </c>
      <c r="H6" s="199">
        <v>2013</v>
      </c>
      <c r="I6" s="199">
        <v>2014</v>
      </c>
      <c r="J6" s="199">
        <v>2015</v>
      </c>
      <c r="K6" s="199">
        <v>2016</v>
      </c>
      <c r="L6" s="199">
        <v>2017</v>
      </c>
      <c r="M6" s="199">
        <v>2018</v>
      </c>
      <c r="N6" s="199">
        <v>2019</v>
      </c>
      <c r="O6" s="199">
        <v>2020</v>
      </c>
      <c r="P6" s="199" t="s">
        <v>127</v>
      </c>
      <c r="Q6" s="227" t="s">
        <v>163</v>
      </c>
      <c r="R6" s="29" t="s">
        <v>162</v>
      </c>
      <c r="S6" s="29" t="s">
        <v>161</v>
      </c>
    </row>
    <row r="7" spans="2:19" x14ac:dyDescent="0.3">
      <c r="B7" s="128" t="s">
        <v>26</v>
      </c>
      <c r="C7" s="7">
        <v>1013</v>
      </c>
      <c r="D7" s="214">
        <v>1</v>
      </c>
      <c r="E7" s="214">
        <v>1</v>
      </c>
      <c r="F7" s="214">
        <v>1</v>
      </c>
      <c r="G7" s="214">
        <v>1</v>
      </c>
      <c r="H7" s="214">
        <v>1</v>
      </c>
      <c r="I7" s="214">
        <v>1</v>
      </c>
      <c r="J7" s="214">
        <v>1</v>
      </c>
      <c r="K7" s="214">
        <v>1</v>
      </c>
      <c r="L7" s="214">
        <v>1</v>
      </c>
      <c r="M7" s="214">
        <v>1</v>
      </c>
      <c r="N7" s="214">
        <v>1</v>
      </c>
      <c r="O7" s="214">
        <v>1</v>
      </c>
      <c r="P7" s="214">
        <v>1</v>
      </c>
      <c r="Q7" s="214">
        <v>1</v>
      </c>
      <c r="R7" s="214">
        <v>1</v>
      </c>
      <c r="S7" s="214">
        <v>1</v>
      </c>
    </row>
    <row r="8" spans="2:19" x14ac:dyDescent="0.3">
      <c r="B8" s="76"/>
      <c r="C8" s="7" t="s">
        <v>311</v>
      </c>
      <c r="D8" s="21">
        <f>D36</f>
        <v>0.91434991974317814</v>
      </c>
      <c r="E8" s="21">
        <f t="shared" ref="E8:S8" si="0">E36</f>
        <v>0.92989121049905021</v>
      </c>
      <c r="F8" s="21">
        <f t="shared" si="0"/>
        <v>0.89493981535584899</v>
      </c>
      <c r="G8" s="21">
        <f t="shared" si="0"/>
        <v>0.8714213646109219</v>
      </c>
      <c r="H8" s="21">
        <f t="shared" si="0"/>
        <v>0.87175006989097004</v>
      </c>
      <c r="I8" s="21">
        <f t="shared" si="0"/>
        <v>0.89168036829990138</v>
      </c>
      <c r="J8" s="21">
        <f t="shared" si="0"/>
        <v>0.89926098794243481</v>
      </c>
      <c r="K8" s="21">
        <f t="shared" si="0"/>
        <v>0.90867804099668592</v>
      </c>
      <c r="L8" s="21">
        <f t="shared" si="0"/>
        <v>0.87729991455425804</v>
      </c>
      <c r="M8" s="21">
        <f t="shared" si="0"/>
        <v>0.89947829828430059</v>
      </c>
      <c r="N8" s="21">
        <f t="shared" si="0"/>
        <v>0.88070996896608045</v>
      </c>
      <c r="O8" s="21">
        <f t="shared" si="0"/>
        <v>0.8913633894622488</v>
      </c>
      <c r="P8" s="21">
        <f t="shared" si="0"/>
        <v>0.90602598566308246</v>
      </c>
      <c r="Q8" s="21">
        <f t="shared" si="0"/>
        <v>0.89577259475218662</v>
      </c>
      <c r="R8" s="21">
        <f t="shared" si="0"/>
        <v>0.88025659301496795</v>
      </c>
      <c r="S8" s="21">
        <f t="shared" si="0"/>
        <v>0.89612795652442412</v>
      </c>
    </row>
    <row r="9" spans="2:19" x14ac:dyDescent="0.3">
      <c r="B9" s="76"/>
      <c r="C9" s="7">
        <v>1018</v>
      </c>
      <c r="D9" s="21">
        <v>1</v>
      </c>
      <c r="E9" s="21">
        <v>1</v>
      </c>
      <c r="F9" s="21">
        <v>1</v>
      </c>
      <c r="G9" s="21">
        <v>1</v>
      </c>
      <c r="H9" s="21">
        <v>1</v>
      </c>
      <c r="I9" s="21">
        <v>1</v>
      </c>
      <c r="J9" s="21">
        <v>1</v>
      </c>
      <c r="K9" s="21">
        <v>1</v>
      </c>
      <c r="L9" s="21">
        <v>1</v>
      </c>
      <c r="M9" s="21">
        <v>1</v>
      </c>
      <c r="N9" s="21">
        <v>1</v>
      </c>
      <c r="O9" s="21">
        <v>1</v>
      </c>
      <c r="P9" s="21">
        <v>1</v>
      </c>
      <c r="Q9" s="21">
        <v>1</v>
      </c>
      <c r="R9" s="21">
        <v>1</v>
      </c>
      <c r="S9" s="21">
        <v>1</v>
      </c>
    </row>
    <row r="10" spans="2:19" x14ac:dyDescent="0.3">
      <c r="B10" s="213"/>
      <c r="C10" s="7" t="s">
        <v>312</v>
      </c>
      <c r="D10" s="189">
        <f>D26</f>
        <v>0.97376193340489059</v>
      </c>
      <c r="E10" s="189">
        <f t="shared" ref="E10:S10" si="1">E26</f>
        <v>0.97222519219235182</v>
      </c>
      <c r="F10" s="189">
        <f t="shared" si="1"/>
        <v>0.97571079191669041</v>
      </c>
      <c r="G10" s="189">
        <f t="shared" si="1"/>
        <v>0.95285636261165296</v>
      </c>
      <c r="H10" s="189">
        <f t="shared" si="1"/>
        <v>0.94168661413154864</v>
      </c>
      <c r="I10" s="189">
        <f t="shared" si="1"/>
        <v>0.86495197153315317</v>
      </c>
      <c r="J10" s="189">
        <f t="shared" si="1"/>
        <v>0.85996554080530485</v>
      </c>
      <c r="K10" s="189">
        <f t="shared" si="1"/>
        <v>0.70577562257581583</v>
      </c>
      <c r="L10" s="189">
        <f t="shared" si="1"/>
        <v>0.76845792187835249</v>
      </c>
      <c r="M10" s="189">
        <f t="shared" si="1"/>
        <v>0.64117675594701207</v>
      </c>
      <c r="N10" s="189">
        <f t="shared" si="1"/>
        <v>0.61145223324501541</v>
      </c>
      <c r="O10" s="189">
        <f t="shared" si="1"/>
        <v>0.43392040481182736</v>
      </c>
      <c r="P10" s="189">
        <f t="shared" si="1"/>
        <v>0.43385487271897816</v>
      </c>
      <c r="Q10" s="189">
        <f t="shared" si="1"/>
        <v>0.18682606787939615</v>
      </c>
      <c r="R10" s="189">
        <f t="shared" si="1"/>
        <v>0.23427339637409184</v>
      </c>
      <c r="S10" s="189">
        <f t="shared" si="1"/>
        <v>0.52426071251897155</v>
      </c>
    </row>
    <row r="11" spans="2:19" x14ac:dyDescent="0.3">
      <c r="B11" s="128" t="s">
        <v>27</v>
      </c>
      <c r="C11" s="7">
        <v>1014</v>
      </c>
      <c r="D11" s="214">
        <v>1</v>
      </c>
      <c r="E11" s="214">
        <v>1</v>
      </c>
      <c r="F11" s="214">
        <v>1</v>
      </c>
      <c r="G11" s="214">
        <v>1</v>
      </c>
      <c r="H11" s="214">
        <v>1</v>
      </c>
      <c r="I11" s="214">
        <v>1</v>
      </c>
      <c r="J11" s="214">
        <v>1</v>
      </c>
      <c r="K11" s="214">
        <v>1</v>
      </c>
      <c r="L11" s="214">
        <v>1</v>
      </c>
      <c r="M11" s="214">
        <v>1</v>
      </c>
      <c r="N11" s="214">
        <v>1</v>
      </c>
      <c r="O11" s="214">
        <v>1</v>
      </c>
      <c r="P11" s="214">
        <v>1</v>
      </c>
      <c r="Q11" s="214">
        <v>1</v>
      </c>
      <c r="R11" s="214">
        <v>1</v>
      </c>
      <c r="S11" s="214">
        <v>1</v>
      </c>
    </row>
    <row r="12" spans="2:19" x14ac:dyDescent="0.3">
      <c r="B12" s="213"/>
      <c r="C12" s="7" t="s">
        <v>311</v>
      </c>
      <c r="D12" s="189">
        <f>D37</f>
        <v>8.5650080256821831E-2</v>
      </c>
      <c r="E12" s="189">
        <f t="shared" ref="E12:S12" si="2">E37</f>
        <v>7.0108789500949745E-2</v>
      </c>
      <c r="F12" s="189">
        <f t="shared" si="2"/>
        <v>0.10506018464415098</v>
      </c>
      <c r="G12" s="189">
        <f t="shared" si="2"/>
        <v>0.12857863538907807</v>
      </c>
      <c r="H12" s="189">
        <f t="shared" si="2"/>
        <v>0.12824993010902991</v>
      </c>
      <c r="I12" s="189">
        <f t="shared" si="2"/>
        <v>0.10831963170009865</v>
      </c>
      <c r="J12" s="189">
        <f t="shared" si="2"/>
        <v>0.10073901205756515</v>
      </c>
      <c r="K12" s="189">
        <f t="shared" si="2"/>
        <v>9.1321959003314107E-2</v>
      </c>
      <c r="L12" s="189">
        <f t="shared" si="2"/>
        <v>0.12270008544574196</v>
      </c>
      <c r="M12" s="189">
        <f t="shared" si="2"/>
        <v>0.10052170171569946</v>
      </c>
      <c r="N12" s="189">
        <f t="shared" si="2"/>
        <v>0.11929003103391952</v>
      </c>
      <c r="O12" s="189">
        <f t="shared" si="2"/>
        <v>0.10863661053775123</v>
      </c>
      <c r="P12" s="189">
        <f t="shared" si="2"/>
        <v>9.3974014336917558E-2</v>
      </c>
      <c r="Q12" s="189">
        <f t="shared" si="2"/>
        <v>0.10422740524781342</v>
      </c>
      <c r="R12" s="189">
        <f t="shared" si="2"/>
        <v>0.11974340698503208</v>
      </c>
      <c r="S12" s="189">
        <f t="shared" si="2"/>
        <v>0.10387204347557587</v>
      </c>
    </row>
    <row r="13" spans="2:19" x14ac:dyDescent="0.3">
      <c r="B13" s="128" t="s">
        <v>28</v>
      </c>
      <c r="C13" s="7">
        <v>1012</v>
      </c>
      <c r="D13" s="214">
        <v>1</v>
      </c>
      <c r="E13" s="214">
        <v>1</v>
      </c>
      <c r="F13" s="214">
        <v>1</v>
      </c>
      <c r="G13" s="214">
        <v>1</v>
      </c>
      <c r="H13" s="214">
        <v>1</v>
      </c>
      <c r="I13" s="214">
        <v>1</v>
      </c>
      <c r="J13" s="214">
        <v>1</v>
      </c>
      <c r="K13" s="214">
        <v>1</v>
      </c>
      <c r="L13" s="214">
        <v>1</v>
      </c>
      <c r="M13" s="214">
        <v>1</v>
      </c>
      <c r="N13" s="214">
        <v>1</v>
      </c>
      <c r="O13" s="214">
        <v>1</v>
      </c>
      <c r="P13" s="214">
        <v>1</v>
      </c>
      <c r="Q13" s="214">
        <v>1</v>
      </c>
      <c r="R13" s="214">
        <v>1</v>
      </c>
      <c r="S13" s="214">
        <v>1</v>
      </c>
    </row>
    <row r="14" spans="2:19" x14ac:dyDescent="0.3">
      <c r="B14" s="213"/>
      <c r="C14" s="7" t="s">
        <v>312</v>
      </c>
      <c r="D14" s="189">
        <f>D27</f>
        <v>2.6238066595109404E-2</v>
      </c>
      <c r="E14" s="189">
        <f t="shared" ref="E14:S14" si="3">E27</f>
        <v>2.7774807807648134E-2</v>
      </c>
      <c r="F14" s="189">
        <f t="shared" si="3"/>
        <v>2.4289208083309578E-2</v>
      </c>
      <c r="G14" s="189">
        <f t="shared" si="3"/>
        <v>4.7143637388347072E-2</v>
      </c>
      <c r="H14" s="189">
        <f t="shared" si="3"/>
        <v>5.8313385868451369E-2</v>
      </c>
      <c r="I14" s="189">
        <f t="shared" si="3"/>
        <v>0.1350480284668468</v>
      </c>
      <c r="J14" s="189">
        <f t="shared" si="3"/>
        <v>0.14003445919469518</v>
      </c>
      <c r="K14" s="189">
        <f t="shared" si="3"/>
        <v>0.29422437742418417</v>
      </c>
      <c r="L14" s="189">
        <f t="shared" si="3"/>
        <v>0.23154207812164754</v>
      </c>
      <c r="M14" s="189">
        <f t="shared" si="3"/>
        <v>0.35882324405298788</v>
      </c>
      <c r="N14" s="189">
        <f t="shared" si="3"/>
        <v>0.38854776675498454</v>
      </c>
      <c r="O14" s="189">
        <f t="shared" si="3"/>
        <v>0.56607959518817264</v>
      </c>
      <c r="P14" s="189">
        <f t="shared" si="3"/>
        <v>0.56614512728102184</v>
      </c>
      <c r="Q14" s="189">
        <f t="shared" si="3"/>
        <v>0.81317393212060385</v>
      </c>
      <c r="R14" s="189">
        <f t="shared" si="3"/>
        <v>0.76572660362590816</v>
      </c>
      <c r="S14" s="189">
        <f t="shared" si="3"/>
        <v>0.47573928748102851</v>
      </c>
    </row>
    <row r="15" spans="2:19" x14ac:dyDescent="0.3">
      <c r="B15" s="129" t="s">
        <v>29</v>
      </c>
      <c r="C15" s="7">
        <v>1015</v>
      </c>
      <c r="D15" s="329">
        <v>1</v>
      </c>
      <c r="E15" s="330">
        <v>1</v>
      </c>
      <c r="F15" s="330">
        <v>1</v>
      </c>
      <c r="G15" s="330">
        <v>1</v>
      </c>
      <c r="H15" s="330">
        <v>1</v>
      </c>
      <c r="I15" s="330">
        <v>1</v>
      </c>
      <c r="J15" s="330">
        <v>1</v>
      </c>
      <c r="K15" s="330">
        <v>1</v>
      </c>
      <c r="L15" s="330">
        <v>1</v>
      </c>
      <c r="M15" s="330">
        <v>1</v>
      </c>
      <c r="N15" s="330">
        <v>1</v>
      </c>
      <c r="O15" s="330">
        <v>1</v>
      </c>
      <c r="P15" s="330">
        <v>1</v>
      </c>
      <c r="Q15" s="330">
        <v>1</v>
      </c>
      <c r="R15" s="330">
        <v>1</v>
      </c>
      <c r="S15" s="330">
        <v>1</v>
      </c>
    </row>
    <row r="20" spans="2:19" x14ac:dyDescent="0.3">
      <c r="B20" s="9" t="s">
        <v>313</v>
      </c>
    </row>
    <row r="21" spans="2:19" x14ac:dyDescent="0.3">
      <c r="B21" t="s">
        <v>314</v>
      </c>
    </row>
    <row r="22" spans="2:19" x14ac:dyDescent="0.3">
      <c r="D22" s="3">
        <v>2009</v>
      </c>
      <c r="E22" s="3">
        <v>2010</v>
      </c>
      <c r="F22" s="3">
        <v>2011</v>
      </c>
      <c r="G22" s="3">
        <v>2012</v>
      </c>
      <c r="H22" s="3">
        <v>2013</v>
      </c>
      <c r="I22" s="3">
        <v>2014</v>
      </c>
      <c r="J22" s="3">
        <v>2015</v>
      </c>
      <c r="K22" s="3">
        <v>2016</v>
      </c>
      <c r="L22" s="3">
        <v>2017</v>
      </c>
      <c r="M22" s="3">
        <v>2018</v>
      </c>
      <c r="N22" s="3">
        <v>2019</v>
      </c>
      <c r="O22" s="3">
        <v>2020</v>
      </c>
      <c r="P22" s="3" t="s">
        <v>127</v>
      </c>
      <c r="Q22" s="3" t="s">
        <v>163</v>
      </c>
      <c r="R22" s="3" t="s">
        <v>162</v>
      </c>
      <c r="S22" s="3" t="s">
        <v>161</v>
      </c>
    </row>
    <row r="23" spans="2:19" x14ac:dyDescent="0.3">
      <c r="B23" t="s">
        <v>315</v>
      </c>
      <c r="D23" s="108">
        <v>9319791.8800000045</v>
      </c>
      <c r="E23" s="108">
        <v>10555474.66</v>
      </c>
      <c r="F23" s="108">
        <v>11276947.319999989</v>
      </c>
      <c r="G23" s="108">
        <v>12655119.609999996</v>
      </c>
      <c r="H23" s="108">
        <v>11210727.01</v>
      </c>
      <c r="I23" s="108">
        <v>13409861.74</v>
      </c>
      <c r="J23" s="108">
        <v>12727200.889996544</v>
      </c>
      <c r="K23" s="108">
        <v>6261537.8834117139</v>
      </c>
      <c r="L23" s="108">
        <v>5398627.5847745864</v>
      </c>
      <c r="M23" s="99">
        <v>4198641.160147625</v>
      </c>
      <c r="N23" s="99">
        <v>3799378.3600000003</v>
      </c>
      <c r="O23" s="99">
        <v>3889454.8200000003</v>
      </c>
      <c r="P23" s="99">
        <v>2111888.6799999997</v>
      </c>
      <c r="Q23" s="99">
        <v>1337722.44</v>
      </c>
      <c r="R23" s="99">
        <v>2536183.9700000002</v>
      </c>
      <c r="S23">
        <v>3010871.09</v>
      </c>
    </row>
    <row r="24" spans="2:19" x14ac:dyDescent="0.3">
      <c r="B24" t="s">
        <v>316</v>
      </c>
      <c r="D24" s="108">
        <v>244533.31999999998</v>
      </c>
      <c r="E24" s="108">
        <v>293176.28000000003</v>
      </c>
      <c r="F24" s="108">
        <v>273908.12</v>
      </c>
      <c r="G24" s="108">
        <v>596608.37</v>
      </c>
      <c r="H24" s="108">
        <v>653735.45000000007</v>
      </c>
      <c r="I24" s="108">
        <v>1810975.39</v>
      </c>
      <c r="J24" s="108">
        <v>1782246.6936929091</v>
      </c>
      <c r="K24" s="108">
        <v>1842297.0854647553</v>
      </c>
      <c r="L24" s="108">
        <v>1250009.4499835586</v>
      </c>
      <c r="M24" s="99">
        <v>1506570.0416985715</v>
      </c>
      <c r="N24" s="99">
        <v>1476239.9768352157</v>
      </c>
      <c r="O24" s="99">
        <v>2201741.0100082872</v>
      </c>
      <c r="P24" s="99">
        <v>1195635.485541949</v>
      </c>
      <c r="Q24" s="99">
        <v>1087801.0166207685</v>
      </c>
      <c r="R24" s="99">
        <v>1942023.5375185723</v>
      </c>
      <c r="S24">
        <v>1432389.6670538276</v>
      </c>
    </row>
    <row r="25" spans="2:19" x14ac:dyDescent="0.3">
      <c r="D25" s="108"/>
      <c r="E25" s="108"/>
      <c r="F25" s="108"/>
      <c r="G25" s="108"/>
      <c r="H25" s="108"/>
      <c r="I25" s="108"/>
      <c r="J25" s="108"/>
      <c r="K25" s="108"/>
      <c r="L25" s="108"/>
    </row>
    <row r="26" spans="2:19" x14ac:dyDescent="0.3">
      <c r="B26" t="s">
        <v>317</v>
      </c>
      <c r="D26" s="11">
        <f>1-D27</f>
        <v>0.97376193340489059</v>
      </c>
      <c r="E26" s="11">
        <f t="shared" ref="E26:S26" si="4">1-E27</f>
        <v>0.97222519219235182</v>
      </c>
      <c r="F26" s="11">
        <f t="shared" si="4"/>
        <v>0.97571079191669041</v>
      </c>
      <c r="G26" s="11">
        <f t="shared" si="4"/>
        <v>0.95285636261165296</v>
      </c>
      <c r="H26" s="11">
        <f t="shared" si="4"/>
        <v>0.94168661413154864</v>
      </c>
      <c r="I26" s="11">
        <f t="shared" si="4"/>
        <v>0.86495197153315317</v>
      </c>
      <c r="J26" s="11">
        <f t="shared" si="4"/>
        <v>0.85996554080530485</v>
      </c>
      <c r="K26" s="11">
        <f t="shared" si="4"/>
        <v>0.70577562257581583</v>
      </c>
      <c r="L26" s="11">
        <f t="shared" si="4"/>
        <v>0.76845792187835249</v>
      </c>
      <c r="M26" s="331">
        <f t="shared" si="4"/>
        <v>0.64117675594701207</v>
      </c>
      <c r="N26" s="331">
        <f t="shared" si="4"/>
        <v>0.61145223324501541</v>
      </c>
      <c r="O26" s="331">
        <f t="shared" si="4"/>
        <v>0.43392040481182736</v>
      </c>
      <c r="P26" s="331">
        <f t="shared" si="4"/>
        <v>0.43385487271897816</v>
      </c>
      <c r="Q26" s="331">
        <f t="shared" si="4"/>
        <v>0.18682606787939615</v>
      </c>
      <c r="R26" s="331">
        <f t="shared" si="4"/>
        <v>0.23427339637409184</v>
      </c>
      <c r="S26" s="331">
        <f t="shared" si="4"/>
        <v>0.52426071251897155</v>
      </c>
    </row>
    <row r="27" spans="2:19" x14ac:dyDescent="0.3">
      <c r="B27" t="s">
        <v>318</v>
      </c>
      <c r="D27" s="11">
        <f t="shared" ref="D27:S27" si="5">D24/D23</f>
        <v>2.6238066595109404E-2</v>
      </c>
      <c r="E27" s="11">
        <f t="shared" si="5"/>
        <v>2.7774807807648134E-2</v>
      </c>
      <c r="F27" s="11">
        <f t="shared" si="5"/>
        <v>2.4289208083309578E-2</v>
      </c>
      <c r="G27" s="11">
        <f t="shared" si="5"/>
        <v>4.7143637388347072E-2</v>
      </c>
      <c r="H27" s="11">
        <f t="shared" si="5"/>
        <v>5.8313385868451369E-2</v>
      </c>
      <c r="I27" s="11">
        <f t="shared" si="5"/>
        <v>0.1350480284668468</v>
      </c>
      <c r="J27" s="11">
        <f t="shared" si="5"/>
        <v>0.14003445919469518</v>
      </c>
      <c r="K27" s="11">
        <f t="shared" si="5"/>
        <v>0.29422437742418417</v>
      </c>
      <c r="L27" s="11">
        <f t="shared" si="5"/>
        <v>0.23154207812164754</v>
      </c>
      <c r="M27" s="331">
        <f t="shared" si="5"/>
        <v>0.35882324405298788</v>
      </c>
      <c r="N27" s="331">
        <f t="shared" si="5"/>
        <v>0.38854776675498454</v>
      </c>
      <c r="O27" s="331">
        <f t="shared" si="5"/>
        <v>0.56607959518817264</v>
      </c>
      <c r="P27" s="331">
        <f t="shared" si="5"/>
        <v>0.56614512728102184</v>
      </c>
      <c r="Q27" s="331">
        <f t="shared" si="5"/>
        <v>0.81317393212060385</v>
      </c>
      <c r="R27" s="331">
        <f t="shared" si="5"/>
        <v>0.76572660362590816</v>
      </c>
      <c r="S27" s="331">
        <f t="shared" si="5"/>
        <v>0.47573928748102851</v>
      </c>
    </row>
    <row r="28" spans="2:19" x14ac:dyDescent="0.3">
      <c r="J28" s="331"/>
      <c r="K28" s="331"/>
      <c r="L28" s="331"/>
      <c r="M28" s="331"/>
      <c r="N28" s="331"/>
    </row>
    <row r="29" spans="2:19" x14ac:dyDescent="0.3">
      <c r="B29" t="s">
        <v>319</v>
      </c>
    </row>
    <row r="31" spans="2:19" x14ac:dyDescent="0.3">
      <c r="B31" t="s">
        <v>320</v>
      </c>
      <c r="D31" s="7">
        <v>2009</v>
      </c>
      <c r="E31" s="7">
        <v>2010</v>
      </c>
      <c r="F31" s="7">
        <v>2011</v>
      </c>
      <c r="G31" s="7">
        <v>2012</v>
      </c>
      <c r="H31" s="7">
        <v>2013</v>
      </c>
      <c r="I31" s="7">
        <v>2014</v>
      </c>
      <c r="J31" s="7">
        <v>2015</v>
      </c>
      <c r="K31" s="7">
        <v>2016</v>
      </c>
      <c r="L31" s="7">
        <v>2017</v>
      </c>
      <c r="M31" s="7">
        <v>2018</v>
      </c>
      <c r="N31" s="7">
        <v>2019</v>
      </c>
      <c r="O31" s="7">
        <v>2020</v>
      </c>
      <c r="P31" s="7" t="s">
        <v>127</v>
      </c>
      <c r="Q31" s="7" t="s">
        <v>163</v>
      </c>
      <c r="R31" s="7" t="s">
        <v>162</v>
      </c>
      <c r="S31" s="7" t="s">
        <v>161</v>
      </c>
    </row>
    <row r="32" spans="2:19" x14ac:dyDescent="0.3">
      <c r="B32" t="s">
        <v>164</v>
      </c>
      <c r="D32">
        <v>14241</v>
      </c>
      <c r="E32">
        <v>16155</v>
      </c>
      <c r="F32">
        <v>15316</v>
      </c>
      <c r="G32">
        <v>13819</v>
      </c>
      <c r="H32">
        <v>12473</v>
      </c>
      <c r="I32">
        <v>13558</v>
      </c>
      <c r="J32">
        <v>13872</v>
      </c>
      <c r="K32">
        <v>14806</v>
      </c>
      <c r="L32">
        <v>15401</v>
      </c>
      <c r="M32">
        <v>16724</v>
      </c>
      <c r="N32">
        <v>16176</v>
      </c>
      <c r="O32">
        <v>14769</v>
      </c>
      <c r="P32">
        <v>16178</v>
      </c>
      <c r="Q32">
        <v>15977</v>
      </c>
      <c r="R32">
        <v>13585</v>
      </c>
      <c r="S32">
        <v>14511</v>
      </c>
    </row>
    <row r="33" spans="2:19" x14ac:dyDescent="0.3">
      <c r="B33" t="s">
        <v>165</v>
      </c>
      <c r="D33" s="16">
        <v>1334</v>
      </c>
      <c r="E33" s="16">
        <v>1218</v>
      </c>
      <c r="F33" s="16">
        <v>1798</v>
      </c>
      <c r="G33" s="16">
        <v>2039</v>
      </c>
      <c r="H33" s="16">
        <v>1835</v>
      </c>
      <c r="I33" s="16">
        <v>1647</v>
      </c>
      <c r="J33" s="16">
        <v>1554</v>
      </c>
      <c r="K33" s="16">
        <v>1488</v>
      </c>
      <c r="L33" s="16">
        <v>2154</v>
      </c>
      <c r="M33" s="16">
        <v>1869</v>
      </c>
      <c r="N33" s="16">
        <v>2191</v>
      </c>
      <c r="O33" s="16">
        <v>1800</v>
      </c>
      <c r="P33" s="16">
        <v>1678</v>
      </c>
      <c r="Q33" s="16">
        <v>1859</v>
      </c>
      <c r="R33" s="16">
        <v>1848</v>
      </c>
      <c r="S33" s="16">
        <v>1682</v>
      </c>
    </row>
    <row r="34" spans="2:19" x14ac:dyDescent="0.3">
      <c r="B34" t="s">
        <v>2</v>
      </c>
      <c r="D34">
        <f>SUM(D32:D33)</f>
        <v>15575</v>
      </c>
      <c r="E34">
        <f t="shared" ref="E34:S34" si="6">SUM(E32:E33)</f>
        <v>17373</v>
      </c>
      <c r="F34">
        <f t="shared" si="6"/>
        <v>17114</v>
      </c>
      <c r="G34">
        <f t="shared" si="6"/>
        <v>15858</v>
      </c>
      <c r="H34">
        <f t="shared" si="6"/>
        <v>14308</v>
      </c>
      <c r="I34">
        <f t="shared" si="6"/>
        <v>15205</v>
      </c>
      <c r="J34">
        <f t="shared" si="6"/>
        <v>15426</v>
      </c>
      <c r="K34">
        <f t="shared" si="6"/>
        <v>16294</v>
      </c>
      <c r="L34">
        <f t="shared" si="6"/>
        <v>17555</v>
      </c>
      <c r="M34">
        <f t="shared" si="6"/>
        <v>18593</v>
      </c>
      <c r="N34">
        <f t="shared" si="6"/>
        <v>18367</v>
      </c>
      <c r="O34">
        <f t="shared" si="6"/>
        <v>16569</v>
      </c>
      <c r="P34">
        <f t="shared" si="6"/>
        <v>17856</v>
      </c>
      <c r="Q34">
        <f t="shared" si="6"/>
        <v>17836</v>
      </c>
      <c r="R34">
        <f t="shared" si="6"/>
        <v>15433</v>
      </c>
      <c r="S34">
        <f t="shared" si="6"/>
        <v>16193</v>
      </c>
    </row>
    <row r="36" spans="2:19" x14ac:dyDescent="0.3">
      <c r="B36" t="s">
        <v>164</v>
      </c>
      <c r="D36" s="11">
        <v>0.91434991974317814</v>
      </c>
      <c r="E36" s="11">
        <v>0.92989121049905021</v>
      </c>
      <c r="F36" s="11">
        <v>0.89493981535584899</v>
      </c>
      <c r="G36" s="11">
        <v>0.8714213646109219</v>
      </c>
      <c r="H36" s="11">
        <v>0.87175006989097004</v>
      </c>
      <c r="I36" s="11">
        <v>0.89168036829990138</v>
      </c>
      <c r="J36" s="11">
        <v>0.89926098794243481</v>
      </c>
      <c r="K36" s="11">
        <v>0.90867804099668592</v>
      </c>
      <c r="L36" s="11">
        <f t="shared" ref="L36:S37" si="7">L32/L$34</f>
        <v>0.87729991455425804</v>
      </c>
      <c r="M36" s="11">
        <f t="shared" si="7"/>
        <v>0.89947829828430059</v>
      </c>
      <c r="N36" s="11">
        <f t="shared" si="7"/>
        <v>0.88070996896608045</v>
      </c>
      <c r="O36" s="11">
        <f t="shared" si="7"/>
        <v>0.8913633894622488</v>
      </c>
      <c r="P36" s="11">
        <f t="shared" si="7"/>
        <v>0.90602598566308246</v>
      </c>
      <c r="Q36" s="11">
        <f t="shared" si="7"/>
        <v>0.89577259475218662</v>
      </c>
      <c r="R36" s="11">
        <f t="shared" si="7"/>
        <v>0.88025659301496795</v>
      </c>
      <c r="S36" s="11">
        <f t="shared" si="7"/>
        <v>0.89612795652442412</v>
      </c>
    </row>
    <row r="37" spans="2:19" x14ac:dyDescent="0.3">
      <c r="B37" t="s">
        <v>165</v>
      </c>
      <c r="D37" s="11">
        <v>8.5650080256821831E-2</v>
      </c>
      <c r="E37" s="11">
        <v>7.0108789500949745E-2</v>
      </c>
      <c r="F37" s="11">
        <v>0.10506018464415098</v>
      </c>
      <c r="G37" s="11">
        <v>0.12857863538907807</v>
      </c>
      <c r="H37" s="11">
        <v>0.12824993010902991</v>
      </c>
      <c r="I37" s="11">
        <v>0.10831963170009865</v>
      </c>
      <c r="J37" s="11">
        <v>0.10073901205756515</v>
      </c>
      <c r="K37" s="11">
        <v>9.1321959003314107E-2</v>
      </c>
      <c r="L37" s="11">
        <f t="shared" si="7"/>
        <v>0.12270008544574196</v>
      </c>
      <c r="M37" s="11">
        <f t="shared" si="7"/>
        <v>0.10052170171569946</v>
      </c>
      <c r="N37" s="11">
        <f t="shared" si="7"/>
        <v>0.11929003103391952</v>
      </c>
      <c r="O37" s="11">
        <f t="shared" si="7"/>
        <v>0.10863661053775123</v>
      </c>
      <c r="P37" s="11">
        <f t="shared" si="7"/>
        <v>9.3974014336917558E-2</v>
      </c>
      <c r="Q37" s="11">
        <f t="shared" si="7"/>
        <v>0.10422740524781342</v>
      </c>
      <c r="R37" s="11">
        <f t="shared" si="7"/>
        <v>0.11974340698503208</v>
      </c>
      <c r="S37" s="11">
        <f t="shared" si="7"/>
        <v>0.10387204347557587</v>
      </c>
    </row>
  </sheetData>
  <hyperlinks>
    <hyperlink ref="B2" location="Contents!A1" display="Table of Contents" xr:uid="{8C71ED49-FA1F-4876-8821-2100E7B4EAE7}"/>
  </hyperlinks>
  <pageMargins left="0.7" right="0.7" top="0.75" bottom="0.75" header="0.3" footer="0.3"/>
  <pageSetup paperSize="9" orientation="portrait" verticalDpi="0" r:id="rId1"/>
  <headerFooter>
    <oddFooter>&amp;C_x000D_&amp;1#&amp;"Century Gothic"&amp;7&amp;K7F7F7F BUSINESS USE ONLY</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E5AC-428F-471D-8E40-B00B46266843}">
  <dimension ref="B1:P38"/>
  <sheetViews>
    <sheetView zoomScale="85" zoomScaleNormal="85" workbookViewId="0">
      <pane xSplit="3" topLeftCell="D1" activePane="topRight" state="frozen"/>
      <selection activeCell="C26" sqref="C26"/>
      <selection pane="topRight" activeCell="B1" sqref="B1"/>
    </sheetView>
  </sheetViews>
  <sheetFormatPr defaultRowHeight="14.65" x14ac:dyDescent="0.3"/>
  <cols>
    <col min="1" max="1" width="5" customWidth="1"/>
    <col min="2" max="2" width="6.33203125" customWidth="1"/>
    <col min="3" max="3" width="40.88671875" customWidth="1"/>
    <col min="4" max="4" width="16" customWidth="1"/>
    <col min="5" max="5" width="13.5546875" bestFit="1" customWidth="1"/>
    <col min="6" max="6" width="13.33203125" customWidth="1"/>
    <col min="7" max="7" width="12.88671875" customWidth="1"/>
    <col min="8" max="8" width="13.109375" customWidth="1"/>
    <col min="9" max="9" width="11.5546875" customWidth="1"/>
    <col min="10" max="16" width="13.5546875" bestFit="1" customWidth="1"/>
  </cols>
  <sheetData>
    <row r="1" spans="2:16" x14ac:dyDescent="0.3">
      <c r="B1" s="51" t="s">
        <v>54</v>
      </c>
      <c r="E1" s="74"/>
    </row>
    <row r="2" spans="2:16" x14ac:dyDescent="0.3">
      <c r="B2" s="1" t="s">
        <v>429</v>
      </c>
    </row>
    <row r="3" spans="2:16" x14ac:dyDescent="0.3">
      <c r="E3" s="503" t="s">
        <v>98</v>
      </c>
      <c r="F3" s="504"/>
      <c r="G3" s="504"/>
      <c r="H3" s="504"/>
      <c r="I3" s="505"/>
      <c r="J3" s="565" t="s">
        <v>328</v>
      </c>
      <c r="K3" s="566"/>
      <c r="L3" s="566"/>
      <c r="M3" s="566"/>
      <c r="N3" s="566"/>
      <c r="O3" s="566"/>
      <c r="P3" s="567"/>
    </row>
    <row r="4" spans="2:16" x14ac:dyDescent="0.3">
      <c r="C4" s="131" t="s">
        <v>31</v>
      </c>
      <c r="D4" s="127" t="s">
        <v>321</v>
      </c>
      <c r="E4" s="227">
        <v>2020</v>
      </c>
      <c r="F4" s="29" t="s">
        <v>127</v>
      </c>
      <c r="G4" s="29" t="s">
        <v>163</v>
      </c>
      <c r="H4" s="29" t="s">
        <v>162</v>
      </c>
      <c r="I4" s="29" t="s">
        <v>161</v>
      </c>
      <c r="J4" s="114" t="s">
        <v>160</v>
      </c>
      <c r="K4" s="114" t="s">
        <v>159</v>
      </c>
      <c r="L4" s="114" t="s">
        <v>225</v>
      </c>
      <c r="M4" s="114" t="s">
        <v>226</v>
      </c>
      <c r="N4" s="114" t="s">
        <v>247</v>
      </c>
      <c r="O4" s="114" t="s">
        <v>248</v>
      </c>
      <c r="P4" s="114" t="s">
        <v>249</v>
      </c>
    </row>
    <row r="5" spans="2:16" x14ac:dyDescent="0.3">
      <c r="C5" s="128" t="s">
        <v>26</v>
      </c>
      <c r="D5" s="332">
        <v>1013</v>
      </c>
      <c r="E5" s="333">
        <f>'Word code splits'!O7*E22</f>
        <v>2341</v>
      </c>
      <c r="F5" s="333">
        <f>'Word code splits'!P7*F22</f>
        <v>18554</v>
      </c>
      <c r="G5" s="333">
        <f>'Word code splits'!Q7*G22</f>
        <v>5890</v>
      </c>
      <c r="H5" s="333">
        <f>'Word code splits'!R7*H22</f>
        <v>9040</v>
      </c>
      <c r="I5" s="333">
        <f>'Word code splits'!$S7*I22</f>
        <v>0</v>
      </c>
      <c r="J5" s="333">
        <f>'Word code splits'!$S7*J22</f>
        <v>0</v>
      </c>
      <c r="K5" s="333">
        <f>'Word code splits'!$S7*K22</f>
        <v>0</v>
      </c>
      <c r="L5" s="333">
        <f>'Word code splits'!$S7*L22</f>
        <v>0</v>
      </c>
      <c r="M5" s="333">
        <f>'Word code splits'!$S7*M22</f>
        <v>0</v>
      </c>
      <c r="N5" s="333">
        <f>'Word code splits'!$S7*N22</f>
        <v>0</v>
      </c>
      <c r="O5" s="333">
        <f>'Word code splits'!$S7*O22</f>
        <v>0</v>
      </c>
      <c r="P5" s="333">
        <f>'Word code splits'!$S7*P22</f>
        <v>0</v>
      </c>
    </row>
    <row r="6" spans="2:16" x14ac:dyDescent="0.3">
      <c r="C6" s="76"/>
      <c r="D6" s="334" t="s">
        <v>311</v>
      </c>
      <c r="E6" s="282">
        <f>'Word code splits'!O8*'Type 2_contributions'!E25</f>
        <v>0</v>
      </c>
      <c r="F6" s="282">
        <f>'Word code splits'!P8*'Type 2_contributions'!F25</f>
        <v>0</v>
      </c>
      <c r="G6" s="282">
        <f>'Word code splits'!Q8*'Type 2_contributions'!G25</f>
        <v>0</v>
      </c>
      <c r="H6" s="282">
        <f>'Word code splits'!R8*'Type 2_contributions'!H25</f>
        <v>0</v>
      </c>
      <c r="I6" s="282">
        <f>'Word code splits'!$S8*'Type 2_contributions'!I25</f>
        <v>0</v>
      </c>
      <c r="J6" s="282">
        <f>'Word code splits'!$S8*J25</f>
        <v>0</v>
      </c>
      <c r="K6" s="282">
        <f>'Word code splits'!$S8*K25</f>
        <v>0</v>
      </c>
      <c r="L6" s="282">
        <f>'Word code splits'!$S8*L25</f>
        <v>0</v>
      </c>
      <c r="M6" s="282">
        <f>'Word code splits'!$S8*M25</f>
        <v>0</v>
      </c>
      <c r="N6" s="282">
        <f>'Word code splits'!$S8*N25</f>
        <v>0</v>
      </c>
      <c r="O6" s="282">
        <f>'Word code splits'!$S8*O25</f>
        <v>0</v>
      </c>
      <c r="P6" s="282">
        <f>'Word code splits'!$S8*P25</f>
        <v>0</v>
      </c>
    </row>
    <row r="7" spans="2:16" x14ac:dyDescent="0.3">
      <c r="C7" s="76"/>
      <c r="D7" s="334">
        <v>1018</v>
      </c>
      <c r="E7" s="282">
        <f>'Word code splits'!O9*'Type 2_contributions'!E26</f>
        <v>145167</v>
      </c>
      <c r="F7" s="282">
        <f>'Word code splits'!P9*'Type 2_contributions'!F26</f>
        <v>106876</v>
      </c>
      <c r="G7" s="282">
        <f>'Word code splits'!Q9*'Type 2_contributions'!G26</f>
        <v>177584</v>
      </c>
      <c r="H7" s="282">
        <f>'Word code splits'!R9*'Type 2_contributions'!H26</f>
        <v>196576</v>
      </c>
      <c r="I7" s="282">
        <f>'Word code splits'!$S9*'Type 2_contributions'!I26</f>
        <v>110318</v>
      </c>
      <c r="J7" s="282">
        <f>'Word code splits'!$S9*J26</f>
        <v>0</v>
      </c>
      <c r="K7" s="282">
        <f>'Word code splits'!$S9*K26</f>
        <v>0</v>
      </c>
      <c r="L7" s="282">
        <f>'Word code splits'!$S9*L26</f>
        <v>0</v>
      </c>
      <c r="M7" s="282">
        <f>'Word code splits'!$S9*M26</f>
        <v>0</v>
      </c>
      <c r="N7" s="282">
        <f>'Word code splits'!$S9*N26</f>
        <v>0</v>
      </c>
      <c r="O7" s="282">
        <f>'Word code splits'!$S9*O26</f>
        <v>0</v>
      </c>
      <c r="P7" s="282">
        <f>'Word code splits'!$S9*P26</f>
        <v>0</v>
      </c>
    </row>
    <row r="8" spans="2:16" x14ac:dyDescent="0.3">
      <c r="C8" s="213"/>
      <c r="D8" s="335" t="s">
        <v>312</v>
      </c>
      <c r="E8" s="283">
        <f>'Word code splits'!O10*'Type 2_contributions'!E27</f>
        <v>779413.90600867174</v>
      </c>
      <c r="F8" s="283">
        <f>'Word code splits'!P10*'Type 2_contributions'!F27</f>
        <v>958721.21750770719</v>
      </c>
      <c r="G8" s="283">
        <f>'Word code splits'!Q10*'Type 2_contributions'!G27</f>
        <v>368821.56094770262</v>
      </c>
      <c r="H8" s="283">
        <f>'Word code splits'!R10*'Type 2_contributions'!H27</f>
        <v>908001.74940802902</v>
      </c>
      <c r="I8" s="283">
        <f>'Word code splits'!$S10*'Type 2_contributions'!I27</f>
        <v>1477287.0002501588</v>
      </c>
      <c r="J8" s="283">
        <f>'Word code splits'!$S10*J27</f>
        <v>1548019.1604840322</v>
      </c>
      <c r="K8" s="283">
        <f>'Word code splits'!$S10*K27</f>
        <v>1548019.1604840322</v>
      </c>
      <c r="L8" s="283">
        <f>'Word code splits'!$S10*L27</f>
        <v>1548019.1604840322</v>
      </c>
      <c r="M8" s="283">
        <f>'Word code splits'!$S10*M27</f>
        <v>1548019.1604840322</v>
      </c>
      <c r="N8" s="283">
        <f>'Word code splits'!$S10*N27</f>
        <v>1548019.1604840322</v>
      </c>
      <c r="O8" s="283">
        <f>'Word code splits'!$S10*O27</f>
        <v>1548019.1604840322</v>
      </c>
      <c r="P8" s="283">
        <f>'Word code splits'!$S10*P27</f>
        <v>1548019.1604840322</v>
      </c>
    </row>
    <row r="9" spans="2:16" x14ac:dyDescent="0.3">
      <c r="C9" s="265" t="s">
        <v>322</v>
      </c>
      <c r="D9" s="336"/>
      <c r="E9" s="337">
        <f t="shared" ref="E9:I9" si="0">SUBTOTAL(9,E5:E8)</f>
        <v>926921.90600867174</v>
      </c>
      <c r="F9" s="337">
        <f t="shared" si="0"/>
        <v>1084151.2175077072</v>
      </c>
      <c r="G9" s="337">
        <f t="shared" si="0"/>
        <v>552295.56094770262</v>
      </c>
      <c r="H9" s="337">
        <f t="shared" si="0"/>
        <v>1113617.749408029</v>
      </c>
      <c r="I9" s="337">
        <f t="shared" si="0"/>
        <v>1587605.0002501588</v>
      </c>
      <c r="J9" s="337">
        <f t="shared" ref="J9" si="1">SUBTOTAL(9,J5:J8)</f>
        <v>1548019.1604840322</v>
      </c>
      <c r="K9" s="337">
        <f t="shared" ref="K9:P9" si="2">SUBTOTAL(9,K5:K8)</f>
        <v>1548019.1604840322</v>
      </c>
      <c r="L9" s="337">
        <f t="shared" si="2"/>
        <v>1548019.1604840322</v>
      </c>
      <c r="M9" s="337">
        <f t="shared" si="2"/>
        <v>1548019.1604840322</v>
      </c>
      <c r="N9" s="337">
        <f t="shared" si="2"/>
        <v>1548019.1604840322</v>
      </c>
      <c r="O9" s="337">
        <f t="shared" si="2"/>
        <v>1548019.1604840322</v>
      </c>
      <c r="P9" s="337">
        <f t="shared" si="2"/>
        <v>1548019.1604840322</v>
      </c>
    </row>
    <row r="10" spans="2:16" x14ac:dyDescent="0.3">
      <c r="C10" s="128" t="s">
        <v>27</v>
      </c>
      <c r="D10" s="332">
        <v>1014</v>
      </c>
      <c r="E10" s="333">
        <f>'Word code splits'!O11*'Type 2_contributions'!E23</f>
        <v>3335266</v>
      </c>
      <c r="F10" s="333">
        <f>'Word code splits'!P11*'Type 2_contributions'!F23</f>
        <v>6894963</v>
      </c>
      <c r="G10" s="333">
        <f>'Word code splits'!Q11*'Type 2_contributions'!G23</f>
        <v>2327148</v>
      </c>
      <c r="H10" s="333">
        <f>'Word code splits'!R11*'Type 2_contributions'!H23</f>
        <v>5462830</v>
      </c>
      <c r="I10" s="333">
        <f>'Word code splits'!$S11*'Type 2_contributions'!I23</f>
        <v>5066483</v>
      </c>
      <c r="J10" s="333">
        <f>'Word code splits'!$S11*J23</f>
        <v>5232761.467699239</v>
      </c>
      <c r="K10" s="333">
        <f>'Word code splits'!$S11*K23</f>
        <v>5232761.467699239</v>
      </c>
      <c r="L10" s="333">
        <f>'Word code splits'!$S11*L23</f>
        <v>5232761.467699239</v>
      </c>
      <c r="M10" s="333">
        <f>'Word code splits'!$S11*M23</f>
        <v>5232761.467699239</v>
      </c>
      <c r="N10" s="333">
        <f>'Word code splits'!$S11*N23</f>
        <v>5232761.467699239</v>
      </c>
      <c r="O10" s="333">
        <f>'Word code splits'!$S11*O23</f>
        <v>5232761.467699239</v>
      </c>
      <c r="P10" s="333">
        <f>'Word code splits'!$S11*P23</f>
        <v>5232761.467699239</v>
      </c>
    </row>
    <row r="11" spans="2:16" x14ac:dyDescent="0.3">
      <c r="C11" s="213"/>
      <c r="D11" s="335" t="s">
        <v>311</v>
      </c>
      <c r="E11" s="283">
        <f>'Word code splits'!O12*'Type 2_contributions'!E25</f>
        <v>0</v>
      </c>
      <c r="F11" s="283">
        <f>'Word code splits'!P12*'Type 2_contributions'!F25</f>
        <v>0</v>
      </c>
      <c r="G11" s="283">
        <f>'Word code splits'!Q12*'Type 2_contributions'!G25</f>
        <v>0</v>
      </c>
      <c r="H11" s="283">
        <f>'Word code splits'!R12*'Type 2_contributions'!H25</f>
        <v>0</v>
      </c>
      <c r="I11" s="283">
        <f>'Word code splits'!$S12*'Type 2_contributions'!I25</f>
        <v>0</v>
      </c>
      <c r="J11" s="283">
        <f>'Word code splits'!$S12*J25</f>
        <v>0</v>
      </c>
      <c r="K11" s="283">
        <f>'Word code splits'!$S12*K25</f>
        <v>0</v>
      </c>
      <c r="L11" s="283">
        <f>'Word code splits'!$S12*L25</f>
        <v>0</v>
      </c>
      <c r="M11" s="283">
        <f>'Word code splits'!$S12*M25</f>
        <v>0</v>
      </c>
      <c r="N11" s="283">
        <f>'Word code splits'!$S12*N25</f>
        <v>0</v>
      </c>
      <c r="O11" s="283">
        <f>'Word code splits'!$S12*O25</f>
        <v>0</v>
      </c>
      <c r="P11" s="283">
        <f>'Word code splits'!$S12*P25</f>
        <v>0</v>
      </c>
    </row>
    <row r="12" spans="2:16" x14ac:dyDescent="0.3">
      <c r="C12" s="265" t="s">
        <v>323</v>
      </c>
      <c r="D12" s="336"/>
      <c r="E12" s="337">
        <f t="shared" ref="E12:I12" si="3">SUBTOTAL(9,E10:E11)</f>
        <v>3335266</v>
      </c>
      <c r="F12" s="337">
        <f t="shared" si="3"/>
        <v>6894963</v>
      </c>
      <c r="G12" s="337">
        <f t="shared" si="3"/>
        <v>2327148</v>
      </c>
      <c r="H12" s="337">
        <f t="shared" si="3"/>
        <v>5462830</v>
      </c>
      <c r="I12" s="337">
        <f t="shared" si="3"/>
        <v>5066483</v>
      </c>
      <c r="J12" s="337">
        <f t="shared" ref="J12" si="4">SUBTOTAL(9,J10:J11)</f>
        <v>5232761.467699239</v>
      </c>
      <c r="K12" s="337">
        <f t="shared" ref="K12:P12" si="5">SUBTOTAL(9,K10:K11)</f>
        <v>5232761.467699239</v>
      </c>
      <c r="L12" s="337">
        <f t="shared" si="5"/>
        <v>5232761.467699239</v>
      </c>
      <c r="M12" s="337">
        <f t="shared" si="5"/>
        <v>5232761.467699239</v>
      </c>
      <c r="N12" s="337">
        <f t="shared" si="5"/>
        <v>5232761.467699239</v>
      </c>
      <c r="O12" s="337">
        <f t="shared" si="5"/>
        <v>5232761.467699239</v>
      </c>
      <c r="P12" s="337">
        <f t="shared" si="5"/>
        <v>5232761.467699239</v>
      </c>
    </row>
    <row r="13" spans="2:16" x14ac:dyDescent="0.3">
      <c r="C13" s="128" t="s">
        <v>28</v>
      </c>
      <c r="D13" s="332">
        <v>1012</v>
      </c>
      <c r="E13" s="333">
        <f>'Word code splits'!O13*'Type 2_contributions'!E21</f>
        <v>26982467</v>
      </c>
      <c r="F13" s="333">
        <f>'Word code splits'!P13*'Type 2_contributions'!F21</f>
        <v>26609491</v>
      </c>
      <c r="G13" s="333">
        <f>'Word code splits'!Q13*'Type 2_contributions'!G21</f>
        <v>24192470</v>
      </c>
      <c r="H13" s="333">
        <f>'Word code splits'!R13*'Type 2_contributions'!H21</f>
        <v>30182985</v>
      </c>
      <c r="I13" s="333">
        <f>'Word code splits'!$S13*'Type 2_contributions'!I21</f>
        <v>38035239</v>
      </c>
      <c r="J13" s="333">
        <f>'Word code splits'!$S13*J21</f>
        <v>37000698.50499583</v>
      </c>
      <c r="K13" s="333">
        <f>'Word code splits'!$S13*K21</f>
        <v>36413605.681300312</v>
      </c>
      <c r="L13" s="333">
        <f>'Word code splits'!$S13*L21</f>
        <v>36984069.49062147</v>
      </c>
      <c r="M13" s="333">
        <f>'Word code splits'!$S13*M21</f>
        <v>37535317.676891811</v>
      </c>
      <c r="N13" s="333">
        <f>'Word code splits'!$S13*N21</f>
        <v>37518504.006722346</v>
      </c>
      <c r="O13" s="333">
        <f>'Word code splits'!$S13*O21</f>
        <v>37536518.653332487</v>
      </c>
      <c r="P13" s="333">
        <f>'Word code splits'!$S13*P21</f>
        <v>37544925.488417216</v>
      </c>
    </row>
    <row r="14" spans="2:16" x14ac:dyDescent="0.3">
      <c r="C14" s="213"/>
      <c r="D14" s="335" t="s">
        <v>312</v>
      </c>
      <c r="E14" s="283">
        <f>'Word code splits'!O14*'Type 2_contributions'!E27</f>
        <v>1016800.0939913283</v>
      </c>
      <c r="F14" s="283">
        <f>'Word code splits'!P14*'Type 2_contributions'!F27</f>
        <v>1251052.7824922928</v>
      </c>
      <c r="G14" s="283">
        <f>'Word code splits'!Q14*'Type 2_contributions'!G27</f>
        <v>1605322.4390522973</v>
      </c>
      <c r="H14" s="283">
        <f>'Word code splits'!R14*'Type 2_contributions'!H27</f>
        <v>2967819.250591971</v>
      </c>
      <c r="I14" s="283">
        <f>'Word code splits'!$S14*'Type 2_contributions'!I27</f>
        <v>1340560.9997498412</v>
      </c>
      <c r="J14" s="283">
        <f>'Word code splits'!$S14*J27</f>
        <v>1404746.7506713145</v>
      </c>
      <c r="K14" s="283">
        <f>'Word code splits'!$S14*K27</f>
        <v>1404746.7506713145</v>
      </c>
      <c r="L14" s="283">
        <f>'Word code splits'!$S14*L27</f>
        <v>1404746.7506713145</v>
      </c>
      <c r="M14" s="283">
        <f>'Word code splits'!$S14*M27</f>
        <v>1404746.7506713145</v>
      </c>
      <c r="N14" s="283">
        <f>'Word code splits'!$S14*N27</f>
        <v>1404746.7506713145</v>
      </c>
      <c r="O14" s="283">
        <f>'Word code splits'!$S14*O27</f>
        <v>1404746.7506713145</v>
      </c>
      <c r="P14" s="283">
        <f>'Word code splits'!$S14*P27</f>
        <v>1404746.7506713145</v>
      </c>
    </row>
    <row r="15" spans="2:16" x14ac:dyDescent="0.3">
      <c r="C15" s="266" t="s">
        <v>324</v>
      </c>
      <c r="D15" s="338"/>
      <c r="E15" s="339">
        <f t="shared" ref="E15:I15" si="6">SUBTOTAL(9,E13:E14)</f>
        <v>27999267.093991328</v>
      </c>
      <c r="F15" s="339">
        <f t="shared" si="6"/>
        <v>27860543.782492291</v>
      </c>
      <c r="G15" s="339">
        <f t="shared" si="6"/>
        <v>25797792.439052299</v>
      </c>
      <c r="H15" s="339">
        <f t="shared" si="6"/>
        <v>33150804.250591971</v>
      </c>
      <c r="I15" s="339">
        <f t="shared" si="6"/>
        <v>39375799.999749839</v>
      </c>
      <c r="J15" s="339">
        <f t="shared" ref="J15" si="7">SUBTOTAL(9,J13:J14)</f>
        <v>38405445.255667143</v>
      </c>
      <c r="K15" s="339">
        <f t="shared" ref="K15:P15" si="8">SUBTOTAL(9,K13:K14)</f>
        <v>37818352.431971624</v>
      </c>
      <c r="L15" s="339">
        <f t="shared" si="8"/>
        <v>38388816.241292782</v>
      </c>
      <c r="M15" s="339">
        <f t="shared" si="8"/>
        <v>38940064.427563123</v>
      </c>
      <c r="N15" s="339">
        <f t="shared" si="8"/>
        <v>38923250.757393658</v>
      </c>
      <c r="O15" s="339">
        <f t="shared" si="8"/>
        <v>38941265.404003799</v>
      </c>
      <c r="P15" s="339">
        <f t="shared" si="8"/>
        <v>38949672.239088528</v>
      </c>
    </row>
    <row r="16" spans="2:16" x14ac:dyDescent="0.3">
      <c r="C16" s="340" t="s">
        <v>29</v>
      </c>
      <c r="D16" s="341">
        <v>1015</v>
      </c>
      <c r="E16" s="342">
        <f>'Word code splits'!O15*'Type 2_contributions'!E24</f>
        <v>36648</v>
      </c>
      <c r="F16" s="342">
        <f>'Word code splits'!P15*'Type 2_contributions'!F24</f>
        <v>36648</v>
      </c>
      <c r="G16" s="342">
        <f>'Word code splits'!Q15*('Type 2_contributions'!G24+G28+G29)</f>
        <v>3300000</v>
      </c>
      <c r="H16" s="342">
        <f>'Word code splits'!R15*('Type 2_contributions'!H24+H28+H29)</f>
        <v>965165.21</v>
      </c>
      <c r="I16" s="342">
        <f>'Word code splits'!$S15*('Type 2_contributions'!I24+I28+I29)</f>
        <v>457017</v>
      </c>
      <c r="J16" s="342">
        <f>'Word code splits'!$S15*(J24+J28+J29)</f>
        <v>5093607.6414401187</v>
      </c>
      <c r="K16" s="342">
        <f>'Word code splits'!$S15*(K24+K28+K29)</f>
        <v>0</v>
      </c>
      <c r="L16" s="342">
        <f>'Word code splits'!$S15*(L24+L28+L29)</f>
        <v>0</v>
      </c>
      <c r="M16" s="342">
        <f>'Word code splits'!$S15*(M24+M28+M29)</f>
        <v>0</v>
      </c>
      <c r="N16" s="342">
        <f>'Word code splits'!$S15*(N24+N28+N29)</f>
        <v>0</v>
      </c>
      <c r="O16" s="342">
        <f>'Word code splits'!$S15*(O24+O28+O29)</f>
        <v>0</v>
      </c>
      <c r="P16" s="342">
        <f>'Word code splits'!$S15*(P24+P28+P29)</f>
        <v>0</v>
      </c>
    </row>
    <row r="17" spans="2:16" x14ac:dyDescent="0.3">
      <c r="C17" s="131" t="s">
        <v>325</v>
      </c>
      <c r="D17" s="343"/>
      <c r="E17" s="344">
        <f t="shared" ref="E17:I17" si="9">SUBTOTAL(9,E5:E16)</f>
        <v>32298103</v>
      </c>
      <c r="F17" s="344">
        <f t="shared" si="9"/>
        <v>35876306</v>
      </c>
      <c r="G17" s="344">
        <f t="shared" si="9"/>
        <v>31977236</v>
      </c>
      <c r="H17" s="344">
        <f t="shared" si="9"/>
        <v>40692417.210000001</v>
      </c>
      <c r="I17" s="344">
        <f t="shared" si="9"/>
        <v>46486905</v>
      </c>
      <c r="J17" s="344">
        <f t="shared" ref="J17:P17" si="10">SUBTOTAL(9,J5:J16)</f>
        <v>50279833.525290526</v>
      </c>
      <c r="K17" s="344">
        <f t="shared" si="10"/>
        <v>44599133.0601549</v>
      </c>
      <c r="L17" s="344">
        <f t="shared" si="10"/>
        <v>45169596.86947605</v>
      </c>
      <c r="M17" s="344">
        <f t="shared" si="10"/>
        <v>45720845.055746391</v>
      </c>
      <c r="N17" s="344">
        <f t="shared" si="10"/>
        <v>45704031.385576934</v>
      </c>
      <c r="O17" s="344">
        <f t="shared" si="10"/>
        <v>45722046.032187074</v>
      </c>
      <c r="P17" s="344">
        <f t="shared" si="10"/>
        <v>45730452.867271796</v>
      </c>
    </row>
    <row r="18" spans="2:16" x14ac:dyDescent="0.3">
      <c r="E18" s="74">
        <f t="shared" ref="E18:H18" si="11">E17-E32</f>
        <v>0</v>
      </c>
      <c r="F18" s="74">
        <f t="shared" si="11"/>
        <v>0</v>
      </c>
      <c r="G18" s="74">
        <f t="shared" si="11"/>
        <v>0</v>
      </c>
      <c r="H18" s="74">
        <f t="shared" si="11"/>
        <v>0</v>
      </c>
      <c r="J18" s="74">
        <f t="shared" ref="J18" si="12">J17-J32</f>
        <v>0</v>
      </c>
      <c r="K18" s="74">
        <f>K17-K32</f>
        <v>0</v>
      </c>
      <c r="L18" s="74">
        <f t="shared" ref="L18:P18" si="13">L17-L32</f>
        <v>0</v>
      </c>
      <c r="M18" s="74">
        <f t="shared" si="13"/>
        <v>0</v>
      </c>
      <c r="N18" s="74">
        <f t="shared" si="13"/>
        <v>0</v>
      </c>
      <c r="O18" s="74">
        <f t="shared" si="13"/>
        <v>0</v>
      </c>
      <c r="P18" s="74">
        <f t="shared" si="13"/>
        <v>0</v>
      </c>
    </row>
    <row r="19" spans="2:16" x14ac:dyDescent="0.3">
      <c r="B19" s="1" t="s">
        <v>430</v>
      </c>
      <c r="E19" s="503" t="s">
        <v>98</v>
      </c>
      <c r="F19" s="504"/>
      <c r="G19" s="504"/>
      <c r="H19" s="504"/>
      <c r="I19" s="505"/>
      <c r="J19" s="565" t="s">
        <v>328</v>
      </c>
      <c r="K19" s="566"/>
      <c r="L19" s="566"/>
      <c r="M19" s="566"/>
      <c r="N19" s="566"/>
      <c r="O19" s="566"/>
      <c r="P19" s="567"/>
    </row>
    <row r="20" spans="2:16" x14ac:dyDescent="0.3">
      <c r="E20" s="3">
        <v>2020</v>
      </c>
      <c r="F20" s="3" t="s">
        <v>127</v>
      </c>
      <c r="G20" s="3" t="s">
        <v>163</v>
      </c>
      <c r="H20" s="3" t="s">
        <v>162</v>
      </c>
      <c r="I20" s="3" t="s">
        <v>161</v>
      </c>
      <c r="J20" s="3" t="s">
        <v>160</v>
      </c>
      <c r="K20" s="3" t="s">
        <v>159</v>
      </c>
      <c r="L20" s="3" t="s">
        <v>225</v>
      </c>
      <c r="M20" s="3" t="s">
        <v>226</v>
      </c>
      <c r="N20" s="3" t="s">
        <v>247</v>
      </c>
      <c r="O20" s="3" t="s">
        <v>248</v>
      </c>
      <c r="P20" s="3" t="s">
        <v>249</v>
      </c>
    </row>
    <row r="21" spans="2:16" x14ac:dyDescent="0.3">
      <c r="B21">
        <v>1012</v>
      </c>
      <c r="C21" t="s">
        <v>83</v>
      </c>
      <c r="E21" s="108">
        <f>Historical_Cap_Cons!D30</f>
        <v>26982467</v>
      </c>
      <c r="F21" s="108">
        <f>Historical_Cap_Cons!E30</f>
        <v>26609491</v>
      </c>
      <c r="G21" s="108">
        <f>Historical_Cap_Cons!F30</f>
        <v>24192470</v>
      </c>
      <c r="H21" s="108">
        <f>Historical_Cap_Cons!G30</f>
        <v>30182985</v>
      </c>
      <c r="I21" s="108">
        <f>Historical_Cap_Cons!H30</f>
        <v>38035239</v>
      </c>
      <c r="J21" s="108">
        <f>_xlfn.XLOOKUP($C21,Capex_Fcast_Total!$B$5:$B$12,Capex_Fcast_Total!T$5:T$12,0,0,1)*Thousands</f>
        <v>37000698.50499583</v>
      </c>
      <c r="K21" s="108">
        <f>_xlfn.XLOOKUP($C21,Capex_Fcast_Total!$B$5:$B$12,Capex_Fcast_Total!U$5:U$12,0,0,1)*Thousands</f>
        <v>36413605.681300312</v>
      </c>
      <c r="L21" s="108">
        <f>_xlfn.XLOOKUP($C21,Capex_Fcast_Total!$B$5:$B$12,Capex_Fcast_Total!V$5:V$12,0,0,1)*Thousands</f>
        <v>36984069.49062147</v>
      </c>
      <c r="M21" s="108">
        <f>_xlfn.XLOOKUP($C21,Capex_Fcast_Total!$B$5:$B$12,Capex_Fcast_Total!W$5:W$12,0,0,1)*Thousands</f>
        <v>37535317.676891811</v>
      </c>
      <c r="N21" s="108">
        <f>_xlfn.XLOOKUP($C21,Capex_Fcast_Total!$B$5:$B$12,Capex_Fcast_Total!X$5:X$12,0,0,1)*Thousands</f>
        <v>37518504.006722346</v>
      </c>
      <c r="O21" s="108">
        <f>_xlfn.XLOOKUP($C21,Capex_Fcast_Total!$B$5:$B$12,Capex_Fcast_Total!Y$5:Y$12,0,0,1)*Thousands</f>
        <v>37536518.653332487</v>
      </c>
      <c r="P21" s="108">
        <f>_xlfn.XLOOKUP($C21,Capex_Fcast_Total!$B$5:$B$12,Capex_Fcast_Total!Z$5:Z$12,0,0,1)*Thousands</f>
        <v>37544925.488417216</v>
      </c>
    </row>
    <row r="22" spans="2:16" x14ac:dyDescent="0.3">
      <c r="B22">
        <v>1013</v>
      </c>
      <c r="C22" t="s">
        <v>84</v>
      </c>
      <c r="E22" s="108">
        <f>Historical_Cap_Cons!D31</f>
        <v>2341</v>
      </c>
      <c r="F22" s="108">
        <f>Historical_Cap_Cons!E31</f>
        <v>18554</v>
      </c>
      <c r="G22" s="108">
        <f>Historical_Cap_Cons!F31</f>
        <v>5890</v>
      </c>
      <c r="H22" s="108">
        <f>Historical_Cap_Cons!G31</f>
        <v>9040</v>
      </c>
      <c r="I22" s="108">
        <f>Historical_Cap_Cons!H31</f>
        <v>0</v>
      </c>
      <c r="J22" s="108">
        <f>_xlfn.XLOOKUP($C22,Capex_Fcast_Total!$B$5:$B$12,Capex_Fcast_Total!T$5:T$12,0,0,1)*Thousands</f>
        <v>0</v>
      </c>
      <c r="K22" s="108">
        <f>_xlfn.XLOOKUP($C22,Capex_Fcast_Total!$B$5:$B$12,Capex_Fcast_Total!U$5:U$12,0,0,1)*Thousands</f>
        <v>0</v>
      </c>
      <c r="L22" s="108">
        <f>_xlfn.XLOOKUP($C22,Capex_Fcast_Total!$B$5:$B$12,Capex_Fcast_Total!V$5:V$12,0,0,1)*Thousands</f>
        <v>0</v>
      </c>
      <c r="M22" s="108">
        <f>_xlfn.XLOOKUP($C22,Capex_Fcast_Total!$B$5:$B$12,Capex_Fcast_Total!W$5:W$12,0,0,1)*Thousands</f>
        <v>0</v>
      </c>
      <c r="N22" s="108">
        <f>_xlfn.XLOOKUP($C22,Capex_Fcast_Total!$B$5:$B$12,Capex_Fcast_Total!X$5:X$12,0,0,1)*Thousands</f>
        <v>0</v>
      </c>
      <c r="O22" s="108">
        <f>_xlfn.XLOOKUP($C22,Capex_Fcast_Total!$B$5:$B$12,Capex_Fcast_Total!Y$5:Y$12,0,0,1)*Thousands</f>
        <v>0</v>
      </c>
      <c r="P22" s="108">
        <f>_xlfn.XLOOKUP($C22,Capex_Fcast_Total!$B$5:$B$12,Capex_Fcast_Total!Z$5:Z$12,0,0,1)*Thousands</f>
        <v>0</v>
      </c>
    </row>
    <row r="23" spans="2:16" x14ac:dyDescent="0.3">
      <c r="B23">
        <v>1014</v>
      </c>
      <c r="C23" t="s">
        <v>85</v>
      </c>
      <c r="E23" s="108">
        <f>Historical_Cap_Cons!D32</f>
        <v>3335266</v>
      </c>
      <c r="F23" s="108">
        <f>Historical_Cap_Cons!E32</f>
        <v>6894963</v>
      </c>
      <c r="G23" s="108">
        <f>Historical_Cap_Cons!F32</f>
        <v>2327148</v>
      </c>
      <c r="H23" s="108">
        <f>Historical_Cap_Cons!G32</f>
        <v>5462830</v>
      </c>
      <c r="I23" s="108">
        <f>Historical_Cap_Cons!H32</f>
        <v>5066483</v>
      </c>
      <c r="J23" s="108">
        <f>_xlfn.XLOOKUP($C23,Capex_Fcast_Total!$B$5:$B$12,Capex_Fcast_Total!T$5:T$12,0,0,1)*Thousands</f>
        <v>5232761.467699239</v>
      </c>
      <c r="K23" s="108">
        <f>_xlfn.XLOOKUP($C23,Capex_Fcast_Total!$B$5:$B$12,Capex_Fcast_Total!U$5:U$12,0,0,1)*Thousands</f>
        <v>5232761.467699239</v>
      </c>
      <c r="L23" s="108">
        <f>_xlfn.XLOOKUP($C23,Capex_Fcast_Total!$B$5:$B$12,Capex_Fcast_Total!V$5:V$12,0,0,1)*Thousands</f>
        <v>5232761.467699239</v>
      </c>
      <c r="M23" s="108">
        <f>_xlfn.XLOOKUP($C23,Capex_Fcast_Total!$B$5:$B$12,Capex_Fcast_Total!W$5:W$12,0,0,1)*Thousands</f>
        <v>5232761.467699239</v>
      </c>
      <c r="N23" s="108">
        <f>_xlfn.XLOOKUP($C23,Capex_Fcast_Total!$B$5:$B$12,Capex_Fcast_Total!X$5:X$12,0,0,1)*Thousands</f>
        <v>5232761.467699239</v>
      </c>
      <c r="O23" s="108">
        <f>_xlfn.XLOOKUP($C23,Capex_Fcast_Total!$B$5:$B$12,Capex_Fcast_Total!Y$5:Y$12,0,0,1)*Thousands</f>
        <v>5232761.467699239</v>
      </c>
      <c r="P23" s="108">
        <f>_xlfn.XLOOKUP($C23,Capex_Fcast_Total!$B$5:$B$12,Capex_Fcast_Total!Z$5:Z$12,0,0,1)*Thousands</f>
        <v>5232761.467699239</v>
      </c>
    </row>
    <row r="24" spans="2:16" x14ac:dyDescent="0.3">
      <c r="B24">
        <v>1015</v>
      </c>
      <c r="C24" t="s">
        <v>335</v>
      </c>
      <c r="E24" s="108">
        <f>Historical_Cap_Cons!D33</f>
        <v>36648</v>
      </c>
      <c r="F24" s="108">
        <f>Historical_Cap_Cons!E33</f>
        <v>36648</v>
      </c>
      <c r="G24" s="108">
        <f>Historical_Cap_Cons!F33</f>
        <v>3300000</v>
      </c>
      <c r="H24" s="108">
        <f>Historical_Cap_Cons!G33</f>
        <v>965165.21</v>
      </c>
      <c r="I24" s="108">
        <f>Historical_Cap_Cons!H33</f>
        <v>0</v>
      </c>
      <c r="J24" s="108">
        <f>_xlfn.XLOOKUP($C24,Capex_Fcast_Total!$B$5:$B$12,Capex_Fcast_Total!T$5:T$12,0,0,1)*Thousands</f>
        <v>5093607.6414401187</v>
      </c>
      <c r="K24" s="108">
        <f>_xlfn.XLOOKUP($C24,Capex_Fcast_Total!$B$5:$B$12,Capex_Fcast_Total!U$5:U$12,0,0,1)*Thousands</f>
        <v>0</v>
      </c>
      <c r="L24" s="108">
        <f>_xlfn.XLOOKUP($C24,Capex_Fcast_Total!$B$5:$B$12,Capex_Fcast_Total!V$5:V$12,0,0,1)*Thousands</f>
        <v>0</v>
      </c>
      <c r="M24" s="108">
        <f>_xlfn.XLOOKUP($C24,Capex_Fcast_Total!$B$5:$B$12,Capex_Fcast_Total!W$5:W$12,0,0,1)*Thousands</f>
        <v>0</v>
      </c>
      <c r="N24" s="108">
        <f>_xlfn.XLOOKUP($C24,Capex_Fcast_Total!$B$5:$B$12,Capex_Fcast_Total!X$5:X$12,0,0,1)*Thousands</f>
        <v>0</v>
      </c>
      <c r="O24" s="108">
        <f>_xlfn.XLOOKUP($C24,Capex_Fcast_Total!$B$5:$B$12,Capex_Fcast_Total!Y$5:Y$12,0,0,1)*Thousands</f>
        <v>0</v>
      </c>
      <c r="P24" s="108">
        <f>_xlfn.XLOOKUP($C24,Capex_Fcast_Total!$B$5:$B$12,Capex_Fcast_Total!Z$5:Z$12,0,0,1)*Thousands</f>
        <v>0</v>
      </c>
    </row>
    <row r="25" spans="2:16" x14ac:dyDescent="0.3">
      <c r="B25">
        <v>1016</v>
      </c>
      <c r="C25" t="s">
        <v>88</v>
      </c>
      <c r="E25" s="108">
        <f>Historical_Cap_Cons!D34</f>
        <v>0</v>
      </c>
      <c r="F25" s="108">
        <f>Historical_Cap_Cons!E34</f>
        <v>0</v>
      </c>
      <c r="G25" s="108">
        <f>Historical_Cap_Cons!F34</f>
        <v>0</v>
      </c>
      <c r="H25" s="108">
        <f>Historical_Cap_Cons!G34</f>
        <v>0</v>
      </c>
      <c r="I25" s="108">
        <f>Historical_Cap_Cons!H34</f>
        <v>0</v>
      </c>
      <c r="J25" s="108">
        <f>_xlfn.XLOOKUP($C25,Capex_Fcast_Total!$B$5:$B$12,Capex_Fcast_Total!T$5:T$12,0,0,1)*Thousands</f>
        <v>0</v>
      </c>
      <c r="K25" s="108">
        <f>_xlfn.XLOOKUP($C25,Capex_Fcast_Total!$B$5:$B$12,Capex_Fcast_Total!U$5:U$12,0,0,1)*Thousands</f>
        <v>0</v>
      </c>
      <c r="L25" s="108">
        <f>_xlfn.XLOOKUP($C25,Capex_Fcast_Total!$B$5:$B$12,Capex_Fcast_Total!V$5:V$12,0,0,1)*Thousands</f>
        <v>0</v>
      </c>
      <c r="M25" s="108">
        <f>_xlfn.XLOOKUP($C25,Capex_Fcast_Total!$B$5:$B$12,Capex_Fcast_Total!W$5:W$12,0,0,1)*Thousands</f>
        <v>0</v>
      </c>
      <c r="N25" s="108">
        <f>_xlfn.XLOOKUP($C25,Capex_Fcast_Total!$B$5:$B$12,Capex_Fcast_Total!X$5:X$12,0,0,1)*Thousands</f>
        <v>0</v>
      </c>
      <c r="O25" s="108">
        <f>_xlfn.XLOOKUP($C25,Capex_Fcast_Total!$B$5:$B$12,Capex_Fcast_Total!Y$5:Y$12,0,0,1)*Thousands</f>
        <v>0</v>
      </c>
      <c r="P25" s="108">
        <f>_xlfn.XLOOKUP($C25,Capex_Fcast_Total!$B$5:$B$12,Capex_Fcast_Total!Z$5:Z$12,0,0,1)*Thousands</f>
        <v>0</v>
      </c>
    </row>
    <row r="26" spans="2:16" x14ac:dyDescent="0.3">
      <c r="B26">
        <v>1018</v>
      </c>
      <c r="C26" t="s">
        <v>86</v>
      </c>
      <c r="E26" s="108">
        <f>Historical_Cap_Cons!D35</f>
        <v>145167</v>
      </c>
      <c r="F26" s="108">
        <f>Historical_Cap_Cons!E35</f>
        <v>106876</v>
      </c>
      <c r="G26" s="108">
        <f>Historical_Cap_Cons!F35</f>
        <v>177584</v>
      </c>
      <c r="H26" s="108">
        <f>Historical_Cap_Cons!G35</f>
        <v>196576</v>
      </c>
      <c r="I26" s="108">
        <f>Historical_Cap_Cons!H35</f>
        <v>110318</v>
      </c>
      <c r="J26" s="108">
        <f>_xlfn.XLOOKUP($C26,Capex_Fcast_Total!$B$5:$B$12,Capex_Fcast_Total!T$5:T$12,0,0,1)*Thousands</f>
        <v>0</v>
      </c>
      <c r="K26" s="108">
        <f>_xlfn.XLOOKUP($C26,Capex_Fcast_Total!$B$5:$B$12,Capex_Fcast_Total!U$5:U$12,0,0,1)*Thousands</f>
        <v>0</v>
      </c>
      <c r="L26" s="108">
        <f>_xlfn.XLOOKUP($C26,Capex_Fcast_Total!$B$5:$B$12,Capex_Fcast_Total!V$5:V$12,0,0,1)*Thousands</f>
        <v>0</v>
      </c>
      <c r="M26" s="108">
        <f>_xlfn.XLOOKUP($C26,Capex_Fcast_Total!$B$5:$B$12,Capex_Fcast_Total!W$5:W$12,0,0,1)*Thousands</f>
        <v>0</v>
      </c>
      <c r="N26" s="108">
        <f>_xlfn.XLOOKUP($C26,Capex_Fcast_Total!$B$5:$B$12,Capex_Fcast_Total!X$5:X$12,0,0,1)*Thousands</f>
        <v>0</v>
      </c>
      <c r="O26" s="108">
        <f>_xlfn.XLOOKUP($C26,Capex_Fcast_Total!$B$5:$B$12,Capex_Fcast_Total!Y$5:Y$12,0,0,1)*Thousands</f>
        <v>0</v>
      </c>
      <c r="P26" s="108">
        <f>_xlfn.XLOOKUP($C26,Capex_Fcast_Total!$B$5:$B$12,Capex_Fcast_Total!Z$5:Z$12,0,0,1)*Thousands</f>
        <v>0</v>
      </c>
    </row>
    <row r="27" spans="2:16" x14ac:dyDescent="0.3">
      <c r="B27">
        <v>1019</v>
      </c>
      <c r="C27" t="s">
        <v>78</v>
      </c>
      <c r="E27" s="108">
        <f>Historical_Cap_Cons!D36</f>
        <v>1796214</v>
      </c>
      <c r="F27" s="108">
        <f>Historical_Cap_Cons!E36</f>
        <v>2209774</v>
      </c>
      <c r="G27" s="108">
        <f>Historical_Cap_Cons!F36</f>
        <v>1974144</v>
      </c>
      <c r="H27" s="108">
        <f>Historical_Cap_Cons!G36</f>
        <v>3875821</v>
      </c>
      <c r="I27" s="108">
        <f>Historical_Cap_Cons!H36</f>
        <v>2817848</v>
      </c>
      <c r="J27" s="108">
        <f>_xlfn.XLOOKUP($C27,Capex_Fcast_Total!$B$5:$B$12,Capex_Fcast_Total!T$5:T$12,0,0,1)*Thousands</f>
        <v>2952765.9111553468</v>
      </c>
      <c r="K27" s="108">
        <f>_xlfn.XLOOKUP($C27,Capex_Fcast_Total!$B$5:$B$12,Capex_Fcast_Total!U$5:U$12,0,0,1)*Thousands</f>
        <v>2952765.9111553468</v>
      </c>
      <c r="L27" s="108">
        <f>_xlfn.XLOOKUP($C27,Capex_Fcast_Total!$B$5:$B$12,Capex_Fcast_Total!V$5:V$12,0,0,1)*Thousands</f>
        <v>2952765.9111553468</v>
      </c>
      <c r="M27" s="108">
        <f>_xlfn.XLOOKUP($C27,Capex_Fcast_Total!$B$5:$B$12,Capex_Fcast_Total!W$5:W$12,0,0,1)*Thousands</f>
        <v>2952765.9111553468</v>
      </c>
      <c r="N27" s="108">
        <f>_xlfn.XLOOKUP($C27,Capex_Fcast_Total!$B$5:$B$12,Capex_Fcast_Total!X$5:X$12,0,0,1)*Thousands</f>
        <v>2952765.9111553468</v>
      </c>
      <c r="O27" s="108">
        <f>_xlfn.XLOOKUP($C27,Capex_Fcast_Total!$B$5:$B$12,Capex_Fcast_Total!Y$5:Y$12,0,0,1)*Thousands</f>
        <v>2952765.9111553468</v>
      </c>
      <c r="P27" s="108">
        <f>_xlfn.XLOOKUP($C27,Capex_Fcast_Total!$B$5:$B$12,Capex_Fcast_Total!Z$5:Z$12,0,0,1)*Thousands</f>
        <v>2952765.9111553468</v>
      </c>
    </row>
    <row r="28" spans="2:16" x14ac:dyDescent="0.3">
      <c r="B28">
        <v>1047</v>
      </c>
      <c r="C28" t="s">
        <v>302</v>
      </c>
      <c r="E28" s="108">
        <f>Historical_Cap_Cons!D37</f>
        <v>0</v>
      </c>
      <c r="F28" s="108">
        <f>Historical_Cap_Cons!E37</f>
        <v>0</v>
      </c>
      <c r="G28" s="108">
        <f>Historical_Cap_Cons!F37</f>
        <v>0</v>
      </c>
      <c r="H28" s="108">
        <f>Historical_Cap_Cons!G37</f>
        <v>0</v>
      </c>
      <c r="I28" s="108">
        <f>Historical_Cap_Cons!H37</f>
        <v>457017</v>
      </c>
      <c r="J28" s="108">
        <f>_xlfn.XLOOKUP($C28,Capex_Fcast_Total!$B$5:$B$12,Capex_Fcast_Total!T$5:T$12,0,0,1)*Thousands</f>
        <v>0</v>
      </c>
      <c r="K28" s="108">
        <f>_xlfn.XLOOKUP($C28,Capex_Fcast_Total!$B$5:$B$12,Capex_Fcast_Total!U$5:U$12,0,0,1)*Thousands</f>
        <v>0</v>
      </c>
      <c r="L28" s="108">
        <f>_xlfn.XLOOKUP($C28,Capex_Fcast_Total!$B$5:$B$12,Capex_Fcast_Total!V$5:V$12,0,0,1)*Thousands</f>
        <v>0</v>
      </c>
      <c r="M28" s="108">
        <f>_xlfn.XLOOKUP($C28,Capex_Fcast_Total!$B$5:$B$12,Capex_Fcast_Total!W$5:W$12,0,0,1)*Thousands</f>
        <v>0</v>
      </c>
      <c r="N28" s="108">
        <f>_xlfn.XLOOKUP($C28,Capex_Fcast_Total!$B$5:$B$12,Capex_Fcast_Total!X$5:X$12,0,0,1)*Thousands</f>
        <v>0</v>
      </c>
      <c r="O28" s="108">
        <f>_xlfn.XLOOKUP($C28,Capex_Fcast_Total!$B$5:$B$12,Capex_Fcast_Total!Y$5:Y$12,0,0,1)*Thousands</f>
        <v>0</v>
      </c>
      <c r="P28" s="108">
        <f>_xlfn.XLOOKUP($C28,Capex_Fcast_Total!$B$5:$B$12,Capex_Fcast_Total!Z$5:Z$12,0,0,1)*Thousands</f>
        <v>0</v>
      </c>
    </row>
    <row r="29" spans="2:16" x14ac:dyDescent="0.3">
      <c r="B29">
        <v>1048</v>
      </c>
      <c r="C29" t="s">
        <v>236</v>
      </c>
      <c r="E29" s="108">
        <f>Historical_Cap_Cons!D38</f>
        <v>0</v>
      </c>
      <c r="F29" s="108">
        <f>Historical_Cap_Cons!E38</f>
        <v>0</v>
      </c>
      <c r="G29" s="108">
        <f>Historical_Cap_Cons!F38</f>
        <v>0</v>
      </c>
      <c r="H29" s="108">
        <f>Historical_Cap_Cons!G38</f>
        <v>0</v>
      </c>
      <c r="I29" s="108">
        <f>Historical_Cap_Cons!H38</f>
        <v>0</v>
      </c>
      <c r="J29" s="108">
        <f>_xlfn.XLOOKUP($C29,Capex_Fcast_Total!$B$5:$B$12,Capex_Fcast_Total!T$5:T$12,0,0,1)*Thousands</f>
        <v>0</v>
      </c>
      <c r="K29" s="108">
        <f>_xlfn.XLOOKUP($C29,Capex_Fcast_Total!$B$5:$B$12,Capex_Fcast_Total!U$5:U$12,0,0,1)*Thousands</f>
        <v>0</v>
      </c>
      <c r="L29" s="108">
        <f>_xlfn.XLOOKUP($C29,Capex_Fcast_Total!$B$5:$B$12,Capex_Fcast_Total!V$5:V$12,0,0,1)*Thousands</f>
        <v>0</v>
      </c>
      <c r="M29" s="108">
        <f>_xlfn.XLOOKUP($C29,Capex_Fcast_Total!$B$5:$B$12,Capex_Fcast_Total!W$5:W$12,0,0,1)*Thousands</f>
        <v>0</v>
      </c>
      <c r="N29" s="108">
        <f>_xlfn.XLOOKUP($C29,Capex_Fcast_Total!$B$5:$B$12,Capex_Fcast_Total!X$5:X$12,0,0,1)*Thousands</f>
        <v>0</v>
      </c>
      <c r="O29" s="108">
        <f>_xlfn.XLOOKUP($C29,Capex_Fcast_Total!$B$5:$B$12,Capex_Fcast_Total!Y$5:Y$12,0,0,1)*Thousands</f>
        <v>0</v>
      </c>
      <c r="P29" s="108">
        <f>_xlfn.XLOOKUP($C29,Capex_Fcast_Total!$B$5:$B$12,Capex_Fcast_Total!Z$5:Z$12,0,0,1)*Thousands</f>
        <v>0</v>
      </c>
    </row>
    <row r="30" spans="2:16" x14ac:dyDescent="0.3">
      <c r="B30">
        <v>1020</v>
      </c>
      <c r="C30" t="s">
        <v>112</v>
      </c>
      <c r="E30" s="99"/>
      <c r="F30" s="99"/>
      <c r="G30" s="99"/>
    </row>
    <row r="31" spans="2:16" x14ac:dyDescent="0.3">
      <c r="B31">
        <v>1002</v>
      </c>
      <c r="C31" t="s">
        <v>326</v>
      </c>
    </row>
    <row r="32" spans="2:16" x14ac:dyDescent="0.3">
      <c r="B32" s="1" t="s">
        <v>327</v>
      </c>
      <c r="E32" s="348">
        <f t="shared" ref="E32:P32" si="14">SUM(E21:E31)</f>
        <v>32298103</v>
      </c>
      <c r="F32" s="348">
        <f t="shared" si="14"/>
        <v>35876306</v>
      </c>
      <c r="G32" s="348">
        <f t="shared" si="14"/>
        <v>31977236</v>
      </c>
      <c r="H32" s="348">
        <f t="shared" si="14"/>
        <v>40692417.210000001</v>
      </c>
      <c r="I32" s="348">
        <f t="shared" si="14"/>
        <v>46486905</v>
      </c>
      <c r="J32" s="348">
        <f t="shared" si="14"/>
        <v>50279833.525290534</v>
      </c>
      <c r="K32" s="348">
        <f t="shared" si="14"/>
        <v>44599133.0601549</v>
      </c>
      <c r="L32" s="348">
        <f t="shared" si="14"/>
        <v>45169596.86947605</v>
      </c>
      <c r="M32" s="348">
        <f t="shared" si="14"/>
        <v>45720845.055746391</v>
      </c>
      <c r="N32" s="348">
        <f t="shared" si="14"/>
        <v>45704031.385576934</v>
      </c>
      <c r="O32" s="348">
        <f t="shared" si="14"/>
        <v>45722046.032187074</v>
      </c>
      <c r="P32" s="348">
        <f t="shared" si="14"/>
        <v>45730452.867271796</v>
      </c>
    </row>
    <row r="33" spans="2:16" x14ac:dyDescent="0.3">
      <c r="J33" s="74">
        <f>J32-Capex_Fcast_Total!T13*Thousands</f>
        <v>0</v>
      </c>
      <c r="K33" s="74">
        <f>K32-Capex_Fcast_Total!U13*Thousands</f>
        <v>0</v>
      </c>
      <c r="L33" s="74">
        <f>L32-Capex_Fcast_Total!V13*Thousands</f>
        <v>0</v>
      </c>
      <c r="M33" s="74">
        <f>M32-Capex_Fcast_Total!W13*Thousands</f>
        <v>0</v>
      </c>
      <c r="N33" s="74">
        <f>N32-Capex_Fcast_Total!X13*Thousands</f>
        <v>0</v>
      </c>
      <c r="O33" s="74">
        <f>O32-Capex_Fcast_Total!Y13*Thousands</f>
        <v>0</v>
      </c>
      <c r="P33" s="74">
        <f>P32-Capex_Fcast_Total!Z13*Thousands</f>
        <v>0</v>
      </c>
    </row>
    <row r="34" spans="2:16" x14ac:dyDescent="0.3">
      <c r="I34" s="419" t="s">
        <v>331</v>
      </c>
      <c r="J34" s="110">
        <f>'[1]Input| Type 2 capcons'!C$40*1000</f>
        <v>54309841.514238179</v>
      </c>
      <c r="K34" s="110">
        <f>'[1]Input| Type 2 capcons'!D$40*1000</f>
        <v>48544604.990724124</v>
      </c>
      <c r="L34" s="110">
        <f>'[1]Input| Type 2 capcons'!E$40*1000</f>
        <v>49600788.789105445</v>
      </c>
      <c r="M34" s="110">
        <f>'[1]Input| Type 2 capcons'!F$40*1000</f>
        <v>50605179.933540963</v>
      </c>
      <c r="N34" s="110">
        <f>'[1]Input| Type 2 capcons'!G$40*1000</f>
        <v>51080099.494138494</v>
      </c>
      <c r="O34" s="110">
        <f>'[1]Input| Type 2 capcons'!H$40*1000</f>
        <v>51695577.235007443</v>
      </c>
      <c r="P34" s="110">
        <f>'[1]Input| Type 2 capcons'!I$40*1000</f>
        <v>52206490.706369184</v>
      </c>
    </row>
    <row r="35" spans="2:16" x14ac:dyDescent="0.3">
      <c r="J35" s="347">
        <f>J34/J32</f>
        <v>1.0801515778074438</v>
      </c>
      <c r="K35" s="347">
        <f t="shared" ref="K35:P35" si="15">K34/K32</f>
        <v>1.0884652157979755</v>
      </c>
      <c r="L35" s="347">
        <f t="shared" si="15"/>
        <v>1.0981012058273167</v>
      </c>
      <c r="M35" s="347">
        <f t="shared" si="15"/>
        <v>1.1068294969578802</v>
      </c>
      <c r="N35" s="347">
        <f t="shared" si="15"/>
        <v>1.1176278753882116</v>
      </c>
      <c r="O35" s="347">
        <f t="shared" si="15"/>
        <v>1.130648816516548</v>
      </c>
      <c r="P35" s="347">
        <f t="shared" si="15"/>
        <v>1.1416132452895986</v>
      </c>
    </row>
    <row r="37" spans="2:16" x14ac:dyDescent="0.3">
      <c r="B37" s="345"/>
    </row>
    <row r="38" spans="2:16" x14ac:dyDescent="0.3">
      <c r="L38" s="74"/>
    </row>
  </sheetData>
  <mergeCells count="4">
    <mergeCell ref="J19:P19"/>
    <mergeCell ref="J3:P3"/>
    <mergeCell ref="E3:I3"/>
    <mergeCell ref="E19:I19"/>
  </mergeCells>
  <hyperlinks>
    <hyperlink ref="B1" location="Contents!A1" display="Table of Contents" xr:uid="{623EB38E-C3F8-43B1-B1A2-BF44725874CC}"/>
  </hyperlinks>
  <pageMargins left="0.7" right="0.7" top="0.75" bottom="0.75" header="0.3" footer="0.3"/>
  <pageSetup paperSize="9" orientation="portrait" r:id="rId1"/>
  <headerFooter>
    <oddFooter>&amp;C_x000D_&amp;1#&amp;"Century Gothic"&amp;7&amp;K7F7F7F BUSINESS USE ONLY</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C1:V76"/>
  <sheetViews>
    <sheetView topLeftCell="B1" zoomScale="85" zoomScaleNormal="85" workbookViewId="0">
      <selection activeCell="O12" sqref="O12"/>
    </sheetView>
  </sheetViews>
  <sheetFormatPr defaultRowHeight="14.65" x14ac:dyDescent="0.3"/>
  <cols>
    <col min="1" max="1" width="3.109375" customWidth="1"/>
    <col min="2" max="2" width="2.88671875" customWidth="1"/>
    <col min="3" max="3" width="30.5546875" customWidth="1"/>
    <col min="4" max="4" width="68.88671875" bestFit="1" customWidth="1"/>
    <col min="5" max="7" width="10" bestFit="1" customWidth="1"/>
    <col min="8" max="8" width="9" bestFit="1" customWidth="1"/>
    <col min="9" max="10" width="10" bestFit="1" customWidth="1"/>
    <col min="19" max="19" width="13.33203125" bestFit="1" customWidth="1"/>
  </cols>
  <sheetData>
    <row r="1" spans="3:22" x14ac:dyDescent="0.3">
      <c r="C1" t="s">
        <v>142</v>
      </c>
    </row>
    <row r="2" spans="3:22" x14ac:dyDescent="0.3">
      <c r="C2" t="s">
        <v>156</v>
      </c>
    </row>
    <row r="3" spans="3:22" x14ac:dyDescent="0.3">
      <c r="C3" t="s">
        <v>146</v>
      </c>
      <c r="O3" s="3" t="s">
        <v>144</v>
      </c>
    </row>
    <row r="4" spans="3:22" x14ac:dyDescent="0.3">
      <c r="C4" s="1" t="s">
        <v>31</v>
      </c>
      <c r="D4" s="1" t="s">
        <v>145</v>
      </c>
      <c r="E4" s="119" t="str">
        <f>Allocations!E$50</f>
        <v>CY2019</v>
      </c>
      <c r="F4" s="119" t="str">
        <f>Allocations!F$50</f>
        <v>CY2020</v>
      </c>
      <c r="G4" s="119" t="str">
        <f>Allocations!G$50</f>
        <v>2020-21</v>
      </c>
      <c r="H4" s="119" t="str">
        <f>Allocations!H$50</f>
        <v>2021-22</v>
      </c>
      <c r="I4" s="119" t="str">
        <f>Allocations!I$50</f>
        <v>2022-23</v>
      </c>
      <c r="J4" s="119" t="str">
        <f>Allocations!J$50</f>
        <v>2023-24</v>
      </c>
      <c r="L4" s="119" t="str">
        <f>Allocations!H$50</f>
        <v>2021-22</v>
      </c>
      <c r="M4" s="119" t="str">
        <f>Allocations!I$50</f>
        <v>2022-23</v>
      </c>
      <c r="N4" s="119" t="str">
        <f>Allocations!J$50</f>
        <v>2023-24</v>
      </c>
      <c r="O4" s="3" t="s">
        <v>25</v>
      </c>
    </row>
    <row r="5" spans="3:22" x14ac:dyDescent="0.3">
      <c r="C5" t="s">
        <v>26</v>
      </c>
      <c r="D5" t="s">
        <v>131</v>
      </c>
      <c r="E5" s="99">
        <v>4293.1026710924407</v>
      </c>
      <c r="F5" s="99">
        <v>4094.2258043205356</v>
      </c>
      <c r="G5" s="99">
        <v>2589.4518313929457</v>
      </c>
      <c r="H5" s="99">
        <v>3263.1276984777514</v>
      </c>
      <c r="I5" s="99">
        <v>2964.7652345559263</v>
      </c>
      <c r="J5" s="99">
        <v>3276.8809033829148</v>
      </c>
      <c r="L5" s="13">
        <f>H5/H$22</f>
        <v>0.18294219866593689</v>
      </c>
      <c r="M5" s="13">
        <f t="shared" ref="M5:N7" si="0">I5/I$22</f>
        <v>0.18146042489905678</v>
      </c>
      <c r="N5" s="13">
        <f t="shared" si="0"/>
        <v>0.18948402680934698</v>
      </c>
      <c r="O5" s="21">
        <f>SUM(H5:J5)/SUM(H$22:J$22)</f>
        <v>0.1846698931386295</v>
      </c>
      <c r="S5" s="71"/>
      <c r="T5" s="71"/>
      <c r="U5" s="71"/>
      <c r="V5" s="71"/>
    </row>
    <row r="6" spans="3:22" x14ac:dyDescent="0.3">
      <c r="D6" t="s">
        <v>132</v>
      </c>
      <c r="E6" s="108">
        <v>10306.268714103699</v>
      </c>
      <c r="F6" s="108">
        <v>9286.7162909881627</v>
      </c>
      <c r="G6" s="108">
        <v>7132.1406047885794</v>
      </c>
      <c r="H6" s="108">
        <v>9366.3942481488684</v>
      </c>
      <c r="I6" s="108">
        <v>8358.212398118525</v>
      </c>
      <c r="J6" s="108">
        <v>8391.117530588439</v>
      </c>
      <c r="L6" s="13">
        <f t="shared" ref="L6:L7" si="1">H6/H$22</f>
        <v>0.52511238163547524</v>
      </c>
      <c r="M6" s="13">
        <f t="shared" si="0"/>
        <v>0.51156994000110989</v>
      </c>
      <c r="N6" s="13">
        <f t="shared" si="0"/>
        <v>0.48521224481639519</v>
      </c>
      <c r="O6" s="21">
        <f t="shared" ref="O6:O7" si="2">SUM(H6:J6)/SUM(H$22:J$22)</f>
        <v>0.50740691740605737</v>
      </c>
      <c r="S6" s="71"/>
      <c r="T6" s="71"/>
      <c r="U6" s="71"/>
      <c r="V6" s="71"/>
    </row>
    <row r="7" spans="3:22" x14ac:dyDescent="0.3">
      <c r="D7" t="s">
        <v>133</v>
      </c>
      <c r="E7" s="108">
        <v>5890.959285434199</v>
      </c>
      <c r="F7" s="108">
        <v>4788.2782672251215</v>
      </c>
      <c r="G7" s="108">
        <v>5204.832066875314</v>
      </c>
      <c r="H7" s="108">
        <v>5207.4108237967439</v>
      </c>
      <c r="I7" s="108">
        <v>5015.3795391726489</v>
      </c>
      <c r="J7" s="108">
        <v>5625.7067852026721</v>
      </c>
      <c r="L7" s="188">
        <f t="shared" si="1"/>
        <v>0.29194541969858778</v>
      </c>
      <c r="M7" s="188">
        <f t="shared" si="0"/>
        <v>0.30696963509983333</v>
      </c>
      <c r="N7" s="188">
        <f t="shared" si="0"/>
        <v>0.32530372837425781</v>
      </c>
      <c r="O7" s="189">
        <f t="shared" si="2"/>
        <v>0.30792318945531316</v>
      </c>
      <c r="P7" s="21">
        <f>SUM(O5:O7)</f>
        <v>1</v>
      </c>
      <c r="S7" s="71"/>
      <c r="T7" s="71"/>
      <c r="U7" s="71"/>
      <c r="V7" s="71"/>
    </row>
    <row r="8" spans="3:22" x14ac:dyDescent="0.3">
      <c r="C8" t="s">
        <v>27</v>
      </c>
      <c r="D8" t="s">
        <v>131</v>
      </c>
      <c r="E8" s="99">
        <v>38.036939563293686</v>
      </c>
      <c r="F8" s="99">
        <v>16.616179286026068</v>
      </c>
      <c r="G8" s="99">
        <v>11.136816148036701</v>
      </c>
      <c r="H8" s="99">
        <v>25.322637587821987</v>
      </c>
      <c r="I8" s="99">
        <v>21.106322821121125</v>
      </c>
      <c r="J8" s="99">
        <v>13.104838420365809</v>
      </c>
      <c r="L8" s="190">
        <f>H8/H$23</f>
        <v>1.3710956758861345E-3</v>
      </c>
      <c r="M8" s="190">
        <f t="shared" ref="M8:N12" si="3">I8/I$23</f>
        <v>6.6702271794336597E-4</v>
      </c>
      <c r="N8" s="190">
        <f t="shared" si="3"/>
        <v>4.1068284142871099E-4</v>
      </c>
      <c r="O8" s="102">
        <f>SUM(H8:J8)/SUM(H$23:J$23)</f>
        <v>7.2583280731538418E-4</v>
      </c>
      <c r="S8" s="71"/>
      <c r="T8" s="71"/>
      <c r="U8" s="71"/>
      <c r="V8" s="71"/>
    </row>
    <row r="9" spans="3:22" x14ac:dyDescent="0.3">
      <c r="D9" t="s">
        <v>134</v>
      </c>
      <c r="E9" s="108">
        <v>3801.6422249844541</v>
      </c>
      <c r="F9" s="108">
        <v>2471.5352887108947</v>
      </c>
      <c r="G9" s="108">
        <v>2660.0363193949033</v>
      </c>
      <c r="H9" s="108">
        <v>3640.1875956817416</v>
      </c>
      <c r="I9" s="108">
        <v>5702.4296876023354</v>
      </c>
      <c r="J9" s="108">
        <v>6656.8588201737766</v>
      </c>
      <c r="L9" s="13">
        <f t="shared" ref="L9:L12" si="4">H9/H$23</f>
        <v>0.19709816777750849</v>
      </c>
      <c r="M9" s="13">
        <f t="shared" si="3"/>
        <v>0.18021377675978364</v>
      </c>
      <c r="N9" s="13">
        <f t="shared" si="3"/>
        <v>0.2086143764283383</v>
      </c>
      <c r="O9" s="21">
        <f t="shared" ref="O9:O12" si="5">SUM(H9:J9)/SUM(H$23:J$23)</f>
        <v>0.1950647343880075</v>
      </c>
      <c r="S9" s="71"/>
      <c r="T9" s="71"/>
      <c r="U9" s="71"/>
      <c r="V9" s="71"/>
    </row>
    <row r="10" spans="3:22" x14ac:dyDescent="0.3">
      <c r="D10" t="s">
        <v>135</v>
      </c>
      <c r="E10" s="108">
        <v>8743.8834334959683</v>
      </c>
      <c r="F10" s="108">
        <v>10997.272909077601</v>
      </c>
      <c r="G10" s="108">
        <v>10563.56804961016</v>
      </c>
      <c r="H10" s="108">
        <v>8077.0833054735485</v>
      </c>
      <c r="I10" s="108">
        <v>10483.46846443418</v>
      </c>
      <c r="J10" s="108">
        <v>9393.6635639085562</v>
      </c>
      <c r="L10" s="13">
        <f t="shared" si="4"/>
        <v>0.43733414244465318</v>
      </c>
      <c r="M10" s="13">
        <f t="shared" si="3"/>
        <v>0.33130885412322209</v>
      </c>
      <c r="N10" s="13">
        <f t="shared" si="3"/>
        <v>0.29438107667592522</v>
      </c>
      <c r="O10" s="21">
        <f t="shared" si="5"/>
        <v>0.34081625884847239</v>
      </c>
      <c r="S10" s="71"/>
      <c r="T10" s="71"/>
      <c r="U10" s="71"/>
      <c r="V10" s="71"/>
    </row>
    <row r="11" spans="3:22" x14ac:dyDescent="0.3">
      <c r="D11" t="s">
        <v>136</v>
      </c>
      <c r="E11" s="108">
        <v>10984.557419760529</v>
      </c>
      <c r="F11" s="108">
        <v>7724.2696072426797</v>
      </c>
      <c r="G11" s="108">
        <v>7432.2502855093662</v>
      </c>
      <c r="H11" s="108">
        <v>6430.0207521570064</v>
      </c>
      <c r="I11" s="108">
        <v>15129.998114766087</v>
      </c>
      <c r="J11" s="108">
        <v>14941.541328854844</v>
      </c>
      <c r="L11" s="13">
        <f t="shared" si="4"/>
        <v>0.34815384529218252</v>
      </c>
      <c r="M11" s="13">
        <f t="shared" si="3"/>
        <v>0.47815304212490056</v>
      </c>
      <c r="N11" s="13">
        <f t="shared" si="3"/>
        <v>0.4682419158043567</v>
      </c>
      <c r="O11" s="21">
        <f t="shared" si="5"/>
        <v>0.44502501821284379</v>
      </c>
      <c r="S11" s="71"/>
      <c r="T11" s="71"/>
      <c r="U11" s="71"/>
      <c r="V11" s="71"/>
    </row>
    <row r="12" spans="3:22" x14ac:dyDescent="0.3">
      <c r="D12" t="s">
        <v>137</v>
      </c>
      <c r="E12" s="108">
        <v>601.55653473019424</v>
      </c>
      <c r="F12" s="108">
        <v>679.37922314069851</v>
      </c>
      <c r="G12" s="108">
        <v>484.16879073874202</v>
      </c>
      <c r="H12" s="108">
        <v>296.29202481416939</v>
      </c>
      <c r="I12" s="108">
        <v>305.58206805981263</v>
      </c>
      <c r="J12" s="108">
        <v>904.70714438815435</v>
      </c>
      <c r="L12" s="188">
        <f t="shared" si="4"/>
        <v>1.6042748809769476E-2</v>
      </c>
      <c r="M12" s="188">
        <f t="shared" si="3"/>
        <v>9.6573042741503849E-3</v>
      </c>
      <c r="N12" s="188">
        <f t="shared" si="3"/>
        <v>2.83519482499511E-2</v>
      </c>
      <c r="O12" s="189">
        <f t="shared" si="5"/>
        <v>1.836815574336087E-2</v>
      </c>
      <c r="P12" s="102">
        <f>SUM(O8:O12)</f>
        <v>1</v>
      </c>
      <c r="Q12" s="102">
        <f>1-P12</f>
        <v>0</v>
      </c>
      <c r="S12" s="71"/>
      <c r="T12" s="71"/>
      <c r="U12" s="71"/>
      <c r="V12" s="71"/>
    </row>
    <row r="13" spans="3:22" x14ac:dyDescent="0.3">
      <c r="C13" t="s">
        <v>28</v>
      </c>
      <c r="D13" t="s">
        <v>132</v>
      </c>
      <c r="E13" s="108">
        <v>1824.6889645652022</v>
      </c>
      <c r="F13" s="108">
        <v>2530.3556266622272</v>
      </c>
      <c r="G13" s="108">
        <v>1044.2861556294906</v>
      </c>
      <c r="H13" s="108">
        <v>1566.7803863345268</v>
      </c>
      <c r="I13" s="108">
        <v>2478.4528865788466</v>
      </c>
      <c r="J13" s="108">
        <v>1132.8299255657253</v>
      </c>
      <c r="L13" s="13">
        <f>H13/H$24</f>
        <v>0.14277187648808645</v>
      </c>
      <c r="M13" s="13">
        <f t="shared" ref="M13:N15" si="6">I13/I$24</f>
        <v>0.14848883452521452</v>
      </c>
      <c r="N13" s="13">
        <f t="shared" si="6"/>
        <v>5.9957215985940421E-2</v>
      </c>
      <c r="O13" s="21">
        <f>SUM(H13:J13)/SUM(H$24:J$24)</f>
        <v>0.11121470989022737</v>
      </c>
      <c r="S13" s="71"/>
      <c r="T13" s="71"/>
      <c r="U13" s="71"/>
      <c r="V13" s="71"/>
    </row>
    <row r="14" spans="3:22" x14ac:dyDescent="0.3">
      <c r="D14" t="s">
        <v>138</v>
      </c>
      <c r="E14" s="108">
        <v>12333.475337318336</v>
      </c>
      <c r="F14" s="108">
        <v>11242.642322803398</v>
      </c>
      <c r="G14" s="108">
        <v>11767.753030247422</v>
      </c>
      <c r="H14" s="108">
        <v>8858.9710062753766</v>
      </c>
      <c r="I14" s="108">
        <v>13660.340373474115</v>
      </c>
      <c r="J14" s="108">
        <v>16811.803832571557</v>
      </c>
      <c r="L14" s="13">
        <f t="shared" ref="L14:L15" si="7">H14/H$24</f>
        <v>0.80726815662947293</v>
      </c>
      <c r="M14" s="13">
        <f t="shared" si="6"/>
        <v>0.81841701823706448</v>
      </c>
      <c r="N14" s="13">
        <f t="shared" si="6"/>
        <v>0.88979725089745754</v>
      </c>
      <c r="O14" s="21">
        <f t="shared" ref="O14:O15" si="8">SUM(H14:J14)/SUM(H$24:J$24)</f>
        <v>0.84475573208186883</v>
      </c>
      <c r="S14" s="71"/>
      <c r="T14" s="71"/>
      <c r="U14" s="71"/>
      <c r="V14" s="71"/>
    </row>
    <row r="15" spans="3:22" x14ac:dyDescent="0.3">
      <c r="D15" t="s">
        <v>139</v>
      </c>
      <c r="E15" s="108">
        <v>178.42491495167613</v>
      </c>
      <c r="F15" s="108">
        <v>236.35343054266656</v>
      </c>
      <c r="G15" s="108">
        <v>517.18530966503931</v>
      </c>
      <c r="H15" s="108">
        <v>548.2613112524449</v>
      </c>
      <c r="I15" s="108">
        <v>552.38015041640415</v>
      </c>
      <c r="J15" s="108">
        <v>949.33766694300539</v>
      </c>
      <c r="L15" s="188">
        <f t="shared" si="7"/>
        <v>4.995996688244056E-2</v>
      </c>
      <c r="M15" s="188">
        <f t="shared" si="6"/>
        <v>3.3094147237720827E-2</v>
      </c>
      <c r="N15" s="188">
        <f t="shared" si="6"/>
        <v>5.0245533116602105E-2</v>
      </c>
      <c r="O15" s="189">
        <f t="shared" si="8"/>
        <v>4.402955802790378E-2</v>
      </c>
      <c r="P15" s="21">
        <f>SUM(O13:O15)</f>
        <v>1</v>
      </c>
      <c r="S15" s="71"/>
      <c r="T15" s="71"/>
      <c r="U15" s="71"/>
      <c r="V15" s="71"/>
    </row>
    <row r="16" spans="3:22" x14ac:dyDescent="0.3">
      <c r="C16" t="s">
        <v>29</v>
      </c>
      <c r="D16" t="s">
        <v>131</v>
      </c>
      <c r="E16" s="108">
        <v>0</v>
      </c>
      <c r="F16" s="108">
        <v>0</v>
      </c>
      <c r="G16" s="108">
        <v>0</v>
      </c>
      <c r="H16" s="108">
        <v>0</v>
      </c>
      <c r="I16" s="108">
        <v>0</v>
      </c>
      <c r="J16" s="108">
        <v>0</v>
      </c>
      <c r="L16" s="13">
        <f>H16/H$25</f>
        <v>0</v>
      </c>
      <c r="M16" s="13">
        <f t="shared" ref="M16:N18" si="9">I16/I$25</f>
        <v>0</v>
      </c>
      <c r="N16" s="13">
        <f t="shared" si="9"/>
        <v>0</v>
      </c>
      <c r="O16" s="21">
        <f>SUM(H16:J16)/SUM(H$25:J$25)</f>
        <v>0</v>
      </c>
      <c r="S16" s="71"/>
      <c r="T16" s="71"/>
      <c r="U16" s="71"/>
      <c r="V16" s="71"/>
    </row>
    <row r="17" spans="3:22" x14ac:dyDescent="0.3">
      <c r="D17" t="s">
        <v>140</v>
      </c>
      <c r="E17" s="108">
        <v>290.78559999999931</v>
      </c>
      <c r="F17" s="108">
        <v>194.99891000000028</v>
      </c>
      <c r="G17" s="108">
        <v>338.85485999999997</v>
      </c>
      <c r="H17" s="108">
        <v>128.63915</v>
      </c>
      <c r="I17" s="108">
        <v>208.16749999999999</v>
      </c>
      <c r="J17" s="108">
        <v>-78.036779999999993</v>
      </c>
      <c r="L17" s="13">
        <f t="shared" ref="L17:L18" si="10">H17/H$25</f>
        <v>0.27989597021085744</v>
      </c>
      <c r="M17" s="13">
        <f t="shared" si="9"/>
        <v>0.10500444005058257</v>
      </c>
      <c r="N17" s="13">
        <f t="shared" si="9"/>
        <v>-1.6151088666582915E-2</v>
      </c>
      <c r="O17" s="21">
        <f t="shared" ref="O17:O18" si="11">SUM(H17:J17)/SUM(H$25:J$25)</f>
        <v>3.5575936732812272E-2</v>
      </c>
      <c r="S17" s="71"/>
      <c r="T17" s="71"/>
      <c r="U17" s="71"/>
      <c r="V17" s="71"/>
    </row>
    <row r="18" spans="3:22" x14ac:dyDescent="0.3">
      <c r="D18" t="s">
        <v>141</v>
      </c>
      <c r="E18" s="109">
        <v>4176.6618200000003</v>
      </c>
      <c r="F18" s="109">
        <v>3076.4860900000003</v>
      </c>
      <c r="G18" s="109">
        <v>1391.8439799999999</v>
      </c>
      <c r="H18" s="109">
        <v>330.95714180473988</v>
      </c>
      <c r="I18" s="109">
        <v>1774.2962881952599</v>
      </c>
      <c r="J18" s="109">
        <v>4909.7098400000004</v>
      </c>
      <c r="L18" s="13">
        <f t="shared" si="10"/>
        <v>0.72010402978914267</v>
      </c>
      <c r="M18" s="13">
        <f t="shared" si="9"/>
        <v>0.89499555994941737</v>
      </c>
      <c r="N18" s="13">
        <f t="shared" si="9"/>
        <v>1.016151088666583</v>
      </c>
      <c r="O18" s="21">
        <f t="shared" si="11"/>
        <v>0.96442406326718766</v>
      </c>
      <c r="S18" s="71"/>
      <c r="T18" s="71"/>
      <c r="U18" s="71"/>
      <c r="V18" s="71"/>
    </row>
    <row r="19" spans="3:22" x14ac:dyDescent="0.3">
      <c r="E19" s="166">
        <f t="shared" ref="E19:J19" si="12">SUM(E5:E18)</f>
        <v>63464.043860000005</v>
      </c>
      <c r="F19" s="166">
        <f t="shared" si="12"/>
        <v>57339.12995000001</v>
      </c>
      <c r="G19" s="166">
        <f t="shared" si="12"/>
        <v>51137.508099999985</v>
      </c>
      <c r="H19" s="166">
        <f t="shared" si="12"/>
        <v>47739.448081804745</v>
      </c>
      <c r="I19" s="166">
        <f t="shared" si="12"/>
        <v>66654.579028195265</v>
      </c>
      <c r="J19" s="166">
        <f t="shared" si="12"/>
        <v>72929.22540000001</v>
      </c>
    </row>
    <row r="21" spans="3:22" x14ac:dyDescent="0.3">
      <c r="D21" t="s">
        <v>143</v>
      </c>
      <c r="E21" s="120" t="str">
        <f>Allocations!E$50</f>
        <v>CY2019</v>
      </c>
      <c r="F21" s="120" t="str">
        <f>Allocations!F$50</f>
        <v>CY2020</v>
      </c>
      <c r="G21" s="120" t="str">
        <f>Allocations!G$50</f>
        <v>2020-21</v>
      </c>
      <c r="H21" s="120" t="str">
        <f>Allocations!H$50</f>
        <v>2021-22</v>
      </c>
      <c r="I21" s="120" t="str">
        <f>Allocations!I$50</f>
        <v>2022-23</v>
      </c>
      <c r="J21" s="120" t="str">
        <f>Allocations!J$50</f>
        <v>2023-24</v>
      </c>
    </row>
    <row r="22" spans="3:22" x14ac:dyDescent="0.3">
      <c r="D22" t="s">
        <v>26</v>
      </c>
      <c r="E22" s="108">
        <f t="shared" ref="E22:J22" si="13">SUM(E5:E7)</f>
        <v>20490.330670630341</v>
      </c>
      <c r="F22" s="108">
        <f t="shared" si="13"/>
        <v>18169.220362533822</v>
      </c>
      <c r="G22" s="108">
        <f t="shared" si="13"/>
        <v>14926.424503056838</v>
      </c>
      <c r="H22" s="108">
        <f t="shared" si="13"/>
        <v>17836.932770423366</v>
      </c>
      <c r="I22" s="108">
        <f t="shared" si="13"/>
        <v>16338.357171847099</v>
      </c>
      <c r="J22" s="108">
        <f t="shared" si="13"/>
        <v>17293.705219174026</v>
      </c>
    </row>
    <row r="23" spans="3:22" x14ac:dyDescent="0.3">
      <c r="D23" t="s">
        <v>27</v>
      </c>
      <c r="E23" s="108">
        <f t="shared" ref="E23:J23" si="14">SUM(E8:E12)</f>
        <v>24169.676552534438</v>
      </c>
      <c r="F23" s="108">
        <f t="shared" si="14"/>
        <v>21889.073207457899</v>
      </c>
      <c r="G23" s="108">
        <f t="shared" si="14"/>
        <v>21151.160261401208</v>
      </c>
      <c r="H23" s="108">
        <f t="shared" si="14"/>
        <v>18468.906315714292</v>
      </c>
      <c r="I23" s="108">
        <f t="shared" si="14"/>
        <v>31642.584657683536</v>
      </c>
      <c r="J23" s="108">
        <f t="shared" si="14"/>
        <v>31909.875695745697</v>
      </c>
    </row>
    <row r="24" spans="3:22" x14ac:dyDescent="0.3">
      <c r="D24" t="s">
        <v>28</v>
      </c>
      <c r="E24" s="108">
        <f t="shared" ref="E24:J24" si="15">SUM(E13:E15)</f>
        <v>14336.589216835215</v>
      </c>
      <c r="F24" s="108">
        <f t="shared" si="15"/>
        <v>14009.351380008293</v>
      </c>
      <c r="G24" s="108">
        <f t="shared" si="15"/>
        <v>13329.224495541952</v>
      </c>
      <c r="H24" s="108">
        <f t="shared" si="15"/>
        <v>10974.012703862349</v>
      </c>
      <c r="I24" s="108">
        <f t="shared" si="15"/>
        <v>16691.173410469368</v>
      </c>
      <c r="J24" s="108">
        <f t="shared" si="15"/>
        <v>18893.971425080286</v>
      </c>
    </row>
    <row r="25" spans="3:22" x14ac:dyDescent="0.3">
      <c r="D25" t="s">
        <v>29</v>
      </c>
      <c r="E25" s="108">
        <f t="shared" ref="E25:J25" si="16">SUM(E16:E18)</f>
        <v>4467.4474199999995</v>
      </c>
      <c r="F25" s="108">
        <f t="shared" si="16"/>
        <v>3271.4850000000006</v>
      </c>
      <c r="G25" s="108">
        <f t="shared" si="16"/>
        <v>1730.6988399999998</v>
      </c>
      <c r="H25" s="108">
        <f t="shared" si="16"/>
        <v>459.59629180473985</v>
      </c>
      <c r="I25" s="108">
        <f t="shared" si="16"/>
        <v>1982.4637881952599</v>
      </c>
      <c r="J25" s="108">
        <f t="shared" si="16"/>
        <v>4831.6730600000001</v>
      </c>
    </row>
    <row r="29" spans="3:22" x14ac:dyDescent="0.3">
      <c r="C29" t="s">
        <v>149</v>
      </c>
    </row>
    <row r="30" spans="3:22" x14ac:dyDescent="0.3">
      <c r="C30" t="s">
        <v>150</v>
      </c>
      <c r="O30" s="3" t="s">
        <v>144</v>
      </c>
    </row>
    <row r="31" spans="3:22" x14ac:dyDescent="0.3">
      <c r="C31" s="1" t="s">
        <v>31</v>
      </c>
      <c r="D31" s="1" t="s">
        <v>145</v>
      </c>
      <c r="E31" s="119" t="str">
        <f>Allocations!E$50</f>
        <v>CY2019</v>
      </c>
      <c r="F31" s="119" t="str">
        <f>Allocations!F$50</f>
        <v>CY2020</v>
      </c>
      <c r="G31" s="119" t="str">
        <f>Allocations!G$50</f>
        <v>2020-21</v>
      </c>
      <c r="H31" s="119" t="str">
        <f>Allocations!H$50</f>
        <v>2021-22</v>
      </c>
      <c r="I31" s="119" t="str">
        <f>Allocations!I$50</f>
        <v>2022-23</v>
      </c>
      <c r="J31" s="119" t="str">
        <f>Allocations!J$50</f>
        <v>2023-24</v>
      </c>
      <c r="L31" s="119" t="str">
        <f>Allocations!H$50</f>
        <v>2021-22</v>
      </c>
      <c r="M31" s="119" t="str">
        <f>Allocations!I$50</f>
        <v>2022-23</v>
      </c>
      <c r="N31" s="119" t="str">
        <f>Allocations!J$50</f>
        <v>2023-24</v>
      </c>
      <c r="O31" s="3" t="s">
        <v>25</v>
      </c>
    </row>
    <row r="32" spans="3:22" x14ac:dyDescent="0.3">
      <c r="C32" t="s">
        <v>26</v>
      </c>
      <c r="D32" t="s">
        <v>131</v>
      </c>
      <c r="E32" s="18">
        <v>995.64969782762637</v>
      </c>
      <c r="F32" s="18">
        <v>673.76317218902841</v>
      </c>
      <c r="G32" s="18">
        <v>897.52296146953449</v>
      </c>
      <c r="H32" s="18">
        <v>764.14358600583</v>
      </c>
      <c r="I32" s="18">
        <v>744.67141838916541</v>
      </c>
      <c r="J32" s="18">
        <v>628.16287902180011</v>
      </c>
      <c r="L32" s="13">
        <f>H32/H$49</f>
        <v>0.33882318646109827</v>
      </c>
      <c r="M32" s="13">
        <f t="shared" ref="M32:M34" si="17">I32/I$49</f>
        <v>0.34711068348751245</v>
      </c>
      <c r="N32" s="13">
        <f t="shared" ref="N32:N34" si="18">J32/J$49</f>
        <v>0.33460515647344108</v>
      </c>
      <c r="O32" s="21">
        <f>SUM(H32:J32)/SUM(H$49:J$49)</f>
        <v>0.34039390572110084</v>
      </c>
    </row>
    <row r="33" spans="3:15" x14ac:dyDescent="0.3">
      <c r="D33" t="s">
        <v>132</v>
      </c>
      <c r="E33" s="18">
        <v>1189.6544419821496</v>
      </c>
      <c r="F33" s="18">
        <v>806.36390034436749</v>
      </c>
      <c r="G33" s="18">
        <v>1155.8760420382544</v>
      </c>
      <c r="H33" s="18">
        <v>1072.6889405962652</v>
      </c>
      <c r="I33" s="18">
        <v>1030.0846518473434</v>
      </c>
      <c r="J33" s="18">
        <v>872.06880007443112</v>
      </c>
      <c r="L33" s="13">
        <f t="shared" ref="L33:L34" si="19">H33/H$49</f>
        <v>0.47563297211478966</v>
      </c>
      <c r="M33" s="13">
        <f t="shared" si="17"/>
        <v>0.48014920235043879</v>
      </c>
      <c r="N33" s="13">
        <f t="shared" si="18"/>
        <v>0.46452715855943516</v>
      </c>
      <c r="O33" s="21">
        <f t="shared" ref="O33:O34" si="20">SUM(H33:J33)/SUM(H$49:J$49)</f>
        <v>0.47385526483542878</v>
      </c>
    </row>
    <row r="34" spans="3:15" x14ac:dyDescent="0.3">
      <c r="D34" t="s">
        <v>133</v>
      </c>
      <c r="E34" s="18">
        <v>363.99525584547615</v>
      </c>
      <c r="F34" s="18">
        <v>230.39927184466021</v>
      </c>
      <c r="G34" s="18">
        <v>364.64691943127963</v>
      </c>
      <c r="H34" s="18">
        <v>418.45464540956567</v>
      </c>
      <c r="I34" s="18">
        <v>370.58676654182267</v>
      </c>
      <c r="J34" s="18">
        <v>377.09407894736842</v>
      </c>
      <c r="L34" s="188">
        <f t="shared" si="19"/>
        <v>0.18554384142411204</v>
      </c>
      <c r="M34" s="188">
        <f t="shared" si="17"/>
        <v>0.17274011416204885</v>
      </c>
      <c r="N34" s="188">
        <f t="shared" si="18"/>
        <v>0.20086768496712365</v>
      </c>
      <c r="O34" s="189">
        <f t="shared" si="20"/>
        <v>0.18575082944347021</v>
      </c>
    </row>
    <row r="35" spans="3:15" x14ac:dyDescent="0.3">
      <c r="C35" t="s">
        <v>27</v>
      </c>
      <c r="D35" t="s">
        <v>131</v>
      </c>
      <c r="E35" s="18">
        <v>8.3503021723743132</v>
      </c>
      <c r="F35" s="18">
        <v>4.2368278109722723</v>
      </c>
      <c r="G35" s="18">
        <v>3.4770385304659612</v>
      </c>
      <c r="H35" s="18">
        <v>3.8564139941690883</v>
      </c>
      <c r="I35" s="18">
        <v>5.3285816108339077</v>
      </c>
      <c r="J35" s="18">
        <v>2.3371209782003461</v>
      </c>
      <c r="L35" s="13">
        <f>H35/H$50</f>
        <v>8.1408266070093112E-3</v>
      </c>
      <c r="M35" s="13">
        <f t="shared" ref="M35:M39" si="21">I35/I$50</f>
        <v>9.8013637478023274E-3</v>
      </c>
      <c r="N35" s="13">
        <f t="shared" ref="N35:N39" si="22">J35/J$50</f>
        <v>3.8714936231603204E-3</v>
      </c>
      <c r="O35" s="21">
        <f>SUM(H35:J35)/SUM(H$50:J$50)</f>
        <v>7.1078360154904858E-3</v>
      </c>
    </row>
    <row r="36" spans="3:15" x14ac:dyDescent="0.3">
      <c r="D36" t="s">
        <v>134</v>
      </c>
      <c r="E36" s="18">
        <v>101.00414832622052</v>
      </c>
      <c r="F36" s="18">
        <v>70.920142646340409</v>
      </c>
      <c r="G36" s="18">
        <v>107.26114542216777</v>
      </c>
      <c r="H36" s="18">
        <v>151.86558229803288</v>
      </c>
      <c r="I36" s="18">
        <v>172.8282619177393</v>
      </c>
      <c r="J36" s="18">
        <v>180.78888326273866</v>
      </c>
      <c r="L36" s="13">
        <f t="shared" ref="L36:L39" si="23">H36/H$50</f>
        <v>0.32058575011139762</v>
      </c>
      <c r="M36" s="13">
        <f t="shared" si="21"/>
        <v>0.31789935571449696</v>
      </c>
      <c r="N36" s="13">
        <f t="shared" si="22"/>
        <v>0.29948086351478914</v>
      </c>
      <c r="O36" s="21">
        <f t="shared" ref="O36:O39" si="24">SUM(H36:J36)/SUM(H$50:J$50)</f>
        <v>0.31182537597456228</v>
      </c>
    </row>
    <row r="37" spans="3:15" x14ac:dyDescent="0.3">
      <c r="D37" t="s">
        <v>135</v>
      </c>
      <c r="E37" s="18">
        <v>120.71794871794873</v>
      </c>
      <c r="F37" s="18">
        <v>85.891601923788386</v>
      </c>
      <c r="G37" s="18">
        <v>90.364978902953581</v>
      </c>
      <c r="H37" s="18">
        <v>88.500327439423714</v>
      </c>
      <c r="I37" s="18">
        <v>86.220588235294116</v>
      </c>
      <c r="J37" s="18">
        <v>91.383329045536399</v>
      </c>
      <c r="L37" s="13">
        <f t="shared" si="23"/>
        <v>0.18682273776551056</v>
      </c>
      <c r="M37" s="13">
        <f t="shared" si="21"/>
        <v>0.15859367643453454</v>
      </c>
      <c r="N37" s="13">
        <f t="shared" si="22"/>
        <v>0.15137854606712933</v>
      </c>
      <c r="O37" s="21">
        <f t="shared" si="24"/>
        <v>0.16415606636499325</v>
      </c>
    </row>
    <row r="38" spans="3:15" x14ac:dyDescent="0.3">
      <c r="D38" t="s">
        <v>136</v>
      </c>
      <c r="E38" s="18">
        <v>206.60256410256409</v>
      </c>
      <c r="F38" s="18">
        <v>134.45800961894193</v>
      </c>
      <c r="G38" s="18">
        <v>199.57383966244726</v>
      </c>
      <c r="H38" s="18">
        <v>216.36804191224624</v>
      </c>
      <c r="I38" s="18">
        <v>260.70652173913044</v>
      </c>
      <c r="J38" s="18">
        <v>306.81991252894267</v>
      </c>
      <c r="L38" s="13">
        <f t="shared" si="23"/>
        <v>0.45674938301981716</v>
      </c>
      <c r="M38" s="13">
        <f t="shared" si="21"/>
        <v>0.4795421441597586</v>
      </c>
      <c r="N38" s="13">
        <f t="shared" si="22"/>
        <v>0.5082541066098728</v>
      </c>
      <c r="O38" s="21">
        <f t="shared" si="24"/>
        <v>0.48357377309139066</v>
      </c>
    </row>
    <row r="39" spans="3:15" x14ac:dyDescent="0.3">
      <c r="D39" t="s">
        <v>137</v>
      </c>
      <c r="E39" s="18">
        <v>9.0256410256410255</v>
      </c>
      <c r="F39" s="18">
        <v>7.9670736219015907</v>
      </c>
      <c r="G39" s="18">
        <v>12.277074542897328</v>
      </c>
      <c r="H39" s="18">
        <v>13.122462344466273</v>
      </c>
      <c r="I39" s="18">
        <v>18.573209718670078</v>
      </c>
      <c r="J39" s="18">
        <v>22.344996140982762</v>
      </c>
      <c r="L39" s="188">
        <f t="shared" si="23"/>
        <v>2.7701302496265356E-2</v>
      </c>
      <c r="M39" s="188">
        <f t="shared" si="21"/>
        <v>3.4163459943407644E-2</v>
      </c>
      <c r="N39" s="188">
        <f t="shared" si="22"/>
        <v>3.7014990185048488E-2</v>
      </c>
      <c r="O39" s="189">
        <f t="shared" si="24"/>
        <v>3.3336948553563388E-2</v>
      </c>
    </row>
    <row r="40" spans="3:15" x14ac:dyDescent="0.3">
      <c r="C40" t="s">
        <v>28</v>
      </c>
      <c r="D40" t="s">
        <v>132</v>
      </c>
      <c r="E40" s="18">
        <v>57.482111002906791</v>
      </c>
      <c r="F40" s="18">
        <v>65.81061360035747</v>
      </c>
      <c r="G40" s="18">
        <v>84.839929661433018</v>
      </c>
      <c r="H40" s="18">
        <v>87.696597797522145</v>
      </c>
      <c r="I40" s="18">
        <v>100.49069448470141</v>
      </c>
      <c r="J40" s="18">
        <v>88.989166537477715</v>
      </c>
      <c r="L40" s="13">
        <f>H40/H$51</f>
        <v>0.33859690269313569</v>
      </c>
      <c r="M40" s="13">
        <f t="shared" ref="M40:M42" si="25">I40/I$51</f>
        <v>0.35889533744536217</v>
      </c>
      <c r="N40" s="13">
        <f t="shared" ref="N40:N42" si="26">J40/J$51</f>
        <v>0.31781845191956326</v>
      </c>
      <c r="O40" s="21">
        <f>SUM(H40:J40)/SUM(H$51:J$51)</f>
        <v>0.33843279465164994</v>
      </c>
    </row>
    <row r="41" spans="3:15" x14ac:dyDescent="0.3">
      <c r="D41" t="s">
        <v>138</v>
      </c>
      <c r="E41" s="18">
        <v>162.91409415494164</v>
      </c>
      <c r="F41" s="18">
        <v>197.27698507806258</v>
      </c>
      <c r="G41" s="18">
        <v>201.11535412262157</v>
      </c>
      <c r="H41" s="18">
        <v>159.99548537339274</v>
      </c>
      <c r="I41" s="18">
        <v>166.62084240299021</v>
      </c>
      <c r="J41" s="18">
        <v>177.14253190967105</v>
      </c>
      <c r="L41" s="13">
        <f t="shared" ref="L41:L42" si="27">H41/H$51</f>
        <v>0.61774318676985618</v>
      </c>
      <c r="M41" s="13">
        <f t="shared" si="25"/>
        <v>0.59507443715353647</v>
      </c>
      <c r="N41" s="13">
        <f t="shared" si="26"/>
        <v>0.63265189967739666</v>
      </c>
      <c r="O41" s="21">
        <f t="shared" ref="O41:O42" si="28">SUM(H41:J41)/SUM(H$51:J$51)</f>
        <v>0.61509018276685468</v>
      </c>
    </row>
    <row r="42" spans="3:15" x14ac:dyDescent="0.3">
      <c r="D42" t="s">
        <v>139</v>
      </c>
      <c r="E42" s="18">
        <v>3.6037948421515766</v>
      </c>
      <c r="F42" s="18">
        <v>7.9124013215799369</v>
      </c>
      <c r="G42" s="18">
        <v>11.044716215945412</v>
      </c>
      <c r="H42" s="18">
        <v>11.307916829085102</v>
      </c>
      <c r="I42" s="18">
        <v>12.888463112308399</v>
      </c>
      <c r="J42" s="18">
        <v>13.8683015528512</v>
      </c>
      <c r="L42" s="188">
        <f t="shared" si="27"/>
        <v>4.3659910537008115E-2</v>
      </c>
      <c r="M42" s="188">
        <f t="shared" si="25"/>
        <v>4.6030225401101424E-2</v>
      </c>
      <c r="N42" s="188">
        <f t="shared" si="26"/>
        <v>4.952964840304E-2</v>
      </c>
      <c r="O42" s="189">
        <f t="shared" si="28"/>
        <v>4.6477022581495366E-2</v>
      </c>
    </row>
    <row r="43" spans="3:15" x14ac:dyDescent="0.3">
      <c r="C43" t="s">
        <v>29</v>
      </c>
      <c r="D43" t="s">
        <v>131</v>
      </c>
      <c r="E43" s="18">
        <v>0</v>
      </c>
      <c r="F43" s="18">
        <v>0</v>
      </c>
      <c r="G43" s="18">
        <v>0</v>
      </c>
      <c r="H43" s="18">
        <v>0</v>
      </c>
      <c r="I43" s="18">
        <v>0</v>
      </c>
      <c r="J43" s="18">
        <v>0</v>
      </c>
      <c r="L43" s="11">
        <f>IFERROR(H43/H$52,0)</f>
        <v>0</v>
      </c>
      <c r="M43" s="11">
        <f t="shared" ref="M43:M45" si="29">IFERROR(I43/I$52,0)</f>
        <v>0</v>
      </c>
      <c r="N43" s="11">
        <f t="shared" ref="N43:N45" si="30">IFERROR(J43/J$52,0)</f>
        <v>0</v>
      </c>
      <c r="O43" s="21">
        <f>SUM(H43:J43)/SUM(H$52:J$52)</f>
        <v>0</v>
      </c>
    </row>
    <row r="44" spans="3:15" x14ac:dyDescent="0.3">
      <c r="D44" t="s">
        <v>140</v>
      </c>
      <c r="E44" s="18">
        <v>0</v>
      </c>
      <c r="F44" s="18">
        <v>0</v>
      </c>
      <c r="G44" s="18">
        <v>0</v>
      </c>
      <c r="H44" s="18">
        <v>0</v>
      </c>
      <c r="I44" s="18">
        <v>1</v>
      </c>
      <c r="J44" s="18">
        <v>0</v>
      </c>
      <c r="L44" s="11">
        <f t="shared" ref="L44:L45" si="31">IFERROR(H44/H$52,0)</f>
        <v>0</v>
      </c>
      <c r="M44" s="11">
        <f t="shared" si="29"/>
        <v>0.5</v>
      </c>
      <c r="N44" s="11">
        <f t="shared" si="30"/>
        <v>0</v>
      </c>
      <c r="O44" s="21">
        <f t="shared" ref="O44:O45" si="32">SUM(H44:J44)/SUM(H$52:J$52)</f>
        <v>0.25</v>
      </c>
    </row>
    <row r="45" spans="3:15" x14ac:dyDescent="0.3">
      <c r="D45" t="s">
        <v>141</v>
      </c>
      <c r="E45" s="170">
        <v>0</v>
      </c>
      <c r="F45" s="170">
        <v>1</v>
      </c>
      <c r="G45" s="170">
        <v>1</v>
      </c>
      <c r="H45" s="170">
        <v>0</v>
      </c>
      <c r="I45" s="170">
        <v>1</v>
      </c>
      <c r="J45" s="170">
        <v>2</v>
      </c>
      <c r="L45" s="11">
        <f t="shared" si="31"/>
        <v>0</v>
      </c>
      <c r="M45" s="11">
        <f t="shared" si="29"/>
        <v>0.5</v>
      </c>
      <c r="N45" s="11">
        <f t="shared" si="30"/>
        <v>1</v>
      </c>
      <c r="O45" s="21">
        <f t="shared" si="32"/>
        <v>0.75</v>
      </c>
    </row>
    <row r="46" spans="3:15" x14ac:dyDescent="0.3">
      <c r="E46" s="18">
        <f t="shared" ref="E46:J46" si="33">SUM(E32:E45)</f>
        <v>3219.0000000000014</v>
      </c>
      <c r="F46" s="18">
        <f t="shared" si="33"/>
        <v>2286.0000000000005</v>
      </c>
      <c r="G46" s="18">
        <f t="shared" si="33"/>
        <v>3129.0000000000005</v>
      </c>
      <c r="H46" s="18">
        <f t="shared" si="33"/>
        <v>2987.9999999999991</v>
      </c>
      <c r="I46" s="18">
        <f t="shared" si="33"/>
        <v>2970.9999999999991</v>
      </c>
      <c r="J46" s="18">
        <f t="shared" si="33"/>
        <v>2763.0000000000005</v>
      </c>
    </row>
    <row r="48" spans="3:15" x14ac:dyDescent="0.3">
      <c r="D48" t="s">
        <v>143</v>
      </c>
      <c r="E48" s="120" t="str">
        <f>Allocations!E$50</f>
        <v>CY2019</v>
      </c>
      <c r="F48" s="120" t="str">
        <f>Allocations!F$50</f>
        <v>CY2020</v>
      </c>
      <c r="G48" s="120" t="str">
        <f>Allocations!G$50</f>
        <v>2020-21</v>
      </c>
      <c r="H48" s="120" t="str">
        <f>Allocations!H$50</f>
        <v>2021-22</v>
      </c>
      <c r="I48" s="120" t="str">
        <f>Allocations!I$50</f>
        <v>2022-23</v>
      </c>
      <c r="J48" s="120" t="str">
        <f>Allocations!J$50</f>
        <v>2023-24</v>
      </c>
    </row>
    <row r="49" spans="4:10" x14ac:dyDescent="0.3">
      <c r="D49" t="s">
        <v>26</v>
      </c>
      <c r="E49" s="108">
        <f t="shared" ref="E49:J49" si="34">SUM(E32:E34)</f>
        <v>2549.2993956552518</v>
      </c>
      <c r="F49" s="108">
        <f t="shared" si="34"/>
        <v>1710.5263443780561</v>
      </c>
      <c r="G49" s="108">
        <f t="shared" si="34"/>
        <v>2418.0459229390681</v>
      </c>
      <c r="H49" s="108">
        <f t="shared" si="34"/>
        <v>2255.2871720116609</v>
      </c>
      <c r="I49" s="108">
        <f t="shared" si="34"/>
        <v>2145.3428367783313</v>
      </c>
      <c r="J49" s="108">
        <f t="shared" si="34"/>
        <v>1877.3257580435998</v>
      </c>
    </row>
    <row r="50" spans="4:10" x14ac:dyDescent="0.3">
      <c r="D50" t="s">
        <v>27</v>
      </c>
      <c r="E50" s="108">
        <f t="shared" ref="E50:J50" si="35">SUM(E35:E39)</f>
        <v>445.70060434474868</v>
      </c>
      <c r="F50" s="108">
        <f t="shared" si="35"/>
        <v>303.47365562194454</v>
      </c>
      <c r="G50" s="108">
        <f t="shared" si="35"/>
        <v>412.95407706093187</v>
      </c>
      <c r="H50" s="108">
        <f t="shared" si="35"/>
        <v>473.71282798833818</v>
      </c>
      <c r="I50" s="108">
        <f t="shared" si="35"/>
        <v>543.65716322166782</v>
      </c>
      <c r="J50" s="108">
        <f t="shared" si="35"/>
        <v>603.67424195640081</v>
      </c>
    </row>
    <row r="51" spans="4:10" x14ac:dyDescent="0.3">
      <c r="D51" t="s">
        <v>28</v>
      </c>
      <c r="E51" s="108">
        <f t="shared" ref="E51:J51" si="36">SUM(E40:E42)</f>
        <v>224.00000000000003</v>
      </c>
      <c r="F51" s="108">
        <f t="shared" si="36"/>
        <v>270.99999999999994</v>
      </c>
      <c r="G51" s="108">
        <f t="shared" si="36"/>
        <v>297</v>
      </c>
      <c r="H51" s="108">
        <f t="shared" si="36"/>
        <v>259</v>
      </c>
      <c r="I51" s="108">
        <f t="shared" si="36"/>
        <v>280</v>
      </c>
      <c r="J51" s="108">
        <f t="shared" si="36"/>
        <v>280</v>
      </c>
    </row>
    <row r="52" spans="4:10" x14ac:dyDescent="0.3">
      <c r="D52" t="s">
        <v>29</v>
      </c>
      <c r="E52" s="108">
        <f t="shared" ref="E52:J52" si="37">SUM(E43:E45)</f>
        <v>0</v>
      </c>
      <c r="F52" s="108">
        <f t="shared" si="37"/>
        <v>1</v>
      </c>
      <c r="G52" s="108">
        <f t="shared" si="37"/>
        <v>1</v>
      </c>
      <c r="H52" s="108">
        <f t="shared" si="37"/>
        <v>0</v>
      </c>
      <c r="I52" s="108">
        <f t="shared" si="37"/>
        <v>2</v>
      </c>
      <c r="J52" s="108">
        <f t="shared" si="37"/>
        <v>2</v>
      </c>
    </row>
    <row r="54" spans="4:10" x14ac:dyDescent="0.3">
      <c r="E54" s="7"/>
      <c r="F54" s="7"/>
      <c r="G54" s="7"/>
      <c r="H54" s="7"/>
      <c r="I54" s="7"/>
      <c r="J54" s="7"/>
    </row>
    <row r="61" spans="4:10" x14ac:dyDescent="0.3">
      <c r="E61" s="7"/>
      <c r="F61" s="7"/>
      <c r="G61" s="7"/>
      <c r="H61" s="7"/>
      <c r="I61" s="7"/>
      <c r="J61" s="7"/>
    </row>
    <row r="76" spans="5:10" x14ac:dyDescent="0.3">
      <c r="E76" s="18"/>
      <c r="F76" s="18"/>
      <c r="G76" s="18"/>
      <c r="H76" s="18"/>
      <c r="I76" s="18"/>
      <c r="J76" s="18"/>
    </row>
  </sheetData>
  <pageMargins left="0.7" right="0.7" top="0.75" bottom="0.75" header="0.3" footer="0.3"/>
  <headerFooter>
    <oddFooter>&amp;C_x000D_&amp;1#&amp;"Century Gothic"&amp;7&amp;K7F7F7F BUSINESS USE ONLY</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dimension ref="C1:O53"/>
  <sheetViews>
    <sheetView zoomScale="85" zoomScaleNormal="85" workbookViewId="0">
      <selection activeCell="I21" sqref="I21"/>
    </sheetView>
  </sheetViews>
  <sheetFormatPr defaultRowHeight="14.65" x14ac:dyDescent="0.3"/>
  <cols>
    <col min="1" max="2" width="4.44140625" customWidth="1"/>
    <col min="3" max="3" width="47" customWidth="1"/>
  </cols>
  <sheetData>
    <row r="1" spans="3:15" x14ac:dyDescent="0.3">
      <c r="C1" s="51" t="s">
        <v>54</v>
      </c>
    </row>
    <row r="2" spans="3:15" x14ac:dyDescent="0.3">
      <c r="C2" s="1" t="s">
        <v>153</v>
      </c>
      <c r="E2" s="1"/>
    </row>
    <row r="3" spans="3:15" x14ac:dyDescent="0.3">
      <c r="E3" s="7" t="s">
        <v>15</v>
      </c>
      <c r="F3" s="7" t="s">
        <v>16</v>
      </c>
      <c r="G3" s="7" t="s">
        <v>16</v>
      </c>
      <c r="H3" s="503" t="s">
        <v>303</v>
      </c>
      <c r="I3" s="504"/>
      <c r="J3" s="504"/>
      <c r="K3" s="504"/>
      <c r="L3" s="505"/>
    </row>
    <row r="4" spans="3:15" x14ac:dyDescent="0.3">
      <c r="C4" s="28" t="s">
        <v>31</v>
      </c>
      <c r="D4" s="127" t="s">
        <v>30</v>
      </c>
      <c r="E4" s="284" t="str">
        <f>Allocations!J$50</f>
        <v>2023-24</v>
      </c>
      <c r="F4" s="29" t="str">
        <f>Allocations!K$50</f>
        <v>2024-25</v>
      </c>
      <c r="G4" s="29" t="str">
        <f>Allocations!L$50</f>
        <v>2025-26</v>
      </c>
      <c r="H4" s="29" t="str">
        <f>Allocations!M$50</f>
        <v>2026-27</v>
      </c>
      <c r="I4" s="29" t="str">
        <f>Allocations!N$50</f>
        <v>2027–28</v>
      </c>
      <c r="J4" s="29" t="str">
        <f>Allocations!O$50</f>
        <v>2028–29</v>
      </c>
      <c r="K4" s="29" t="str">
        <f>Allocations!P$50</f>
        <v>2029–30</v>
      </c>
      <c r="L4" s="29" t="str">
        <f>Allocations!Q$50</f>
        <v>2030–31</v>
      </c>
      <c r="N4" s="3" t="s">
        <v>129</v>
      </c>
    </row>
    <row r="5" spans="3:15" x14ac:dyDescent="0.3">
      <c r="C5" s="128" t="s">
        <v>26</v>
      </c>
      <c r="D5" s="171">
        <v>1013</v>
      </c>
      <c r="E5" s="181">
        <f>Connections!R38</f>
        <v>1216</v>
      </c>
      <c r="F5" s="172">
        <f>Connections!S13</f>
        <v>1335.5</v>
      </c>
      <c r="G5" s="172">
        <f>Connections!T13</f>
        <v>1455</v>
      </c>
      <c r="H5" s="172">
        <f>Connections!U13</f>
        <v>1477.7943601583113</v>
      </c>
      <c r="I5" s="172">
        <f>Connections!V13</f>
        <v>1499.8209102902374</v>
      </c>
      <c r="J5" s="172">
        <f>Connections!W13</f>
        <v>1499.1490765171504</v>
      </c>
      <c r="K5" s="172">
        <f>Connections!X13</f>
        <v>1499.8688984168866</v>
      </c>
      <c r="L5" s="173">
        <f>Connections!Y13</f>
        <v>1500.20481530343</v>
      </c>
      <c r="N5" s="21">
        <v>1</v>
      </c>
    </row>
    <row r="6" spans="3:15" x14ac:dyDescent="0.3">
      <c r="C6" s="76"/>
      <c r="D6">
        <v>1018</v>
      </c>
      <c r="E6" s="182">
        <f>Connections!R45</f>
        <v>603</v>
      </c>
      <c r="F6" s="10">
        <f>Connections!S16</f>
        <v>620.5</v>
      </c>
      <c r="G6" s="10">
        <f>Connections!T16</f>
        <v>638</v>
      </c>
      <c r="H6" s="10">
        <f>Connections!U16</f>
        <v>647.99505277044852</v>
      </c>
      <c r="I6" s="10">
        <f>Connections!V16</f>
        <v>657.65343007915567</v>
      </c>
      <c r="J6" s="10">
        <f>Connections!W16</f>
        <v>657.35883905013191</v>
      </c>
      <c r="K6" s="10">
        <f>Connections!X16</f>
        <v>657.67447229551453</v>
      </c>
      <c r="L6" s="174">
        <f>Connections!Y16</f>
        <v>657.82176781002636</v>
      </c>
      <c r="N6" s="21">
        <v>1</v>
      </c>
    </row>
    <row r="7" spans="3:15" x14ac:dyDescent="0.3">
      <c r="C7" s="76"/>
      <c r="D7">
        <v>1019</v>
      </c>
      <c r="E7" s="182">
        <f>Connections!R$46*$N7</f>
        <v>17.819594969316412</v>
      </c>
      <c r="F7" s="10">
        <f>Connections!S$46*$N7</f>
        <v>30.747536417644003</v>
      </c>
      <c r="G7" s="10">
        <f>Connections!T$46*$N7</f>
        <v>30.747536417644003</v>
      </c>
      <c r="H7" s="10">
        <f>Connections!U$46*$N7</f>
        <v>30.747536417644003</v>
      </c>
      <c r="I7" s="10">
        <f>Connections!V$46*$N7</f>
        <v>30.747536417644003</v>
      </c>
      <c r="J7" s="10">
        <f>Connections!W$46*$N7</f>
        <v>30.747536417644003</v>
      </c>
      <c r="K7" s="10">
        <f>Connections!X$46*$N7</f>
        <v>30.747536417644003</v>
      </c>
      <c r="L7" s="174">
        <f>Connections!Y$46*$N7</f>
        <v>30.747536417644003</v>
      </c>
      <c r="N7" s="21">
        <f>Direct_view!P9</f>
        <v>0.34940382292777278</v>
      </c>
      <c r="O7" t="s">
        <v>148</v>
      </c>
    </row>
    <row r="8" spans="3:15" x14ac:dyDescent="0.3">
      <c r="C8" s="185" t="s">
        <v>147</v>
      </c>
      <c r="D8" s="186"/>
      <c r="E8" s="378">
        <v>14561.183165565368</v>
      </c>
      <c r="F8" s="379">
        <f t="shared" ref="F8:L8" si="0">F$27*$N8</f>
        <v>14581.651326811125</v>
      </c>
      <c r="G8" s="379">
        <f t="shared" si="0"/>
        <v>14581.651326811125</v>
      </c>
      <c r="H8" s="379">
        <f t="shared" si="0"/>
        <v>15038.53024371319</v>
      </c>
      <c r="I8" s="379">
        <f t="shared" si="0"/>
        <v>15023.140638091223</v>
      </c>
      <c r="J8" s="379">
        <f t="shared" si="0"/>
        <v>15025.064338793971</v>
      </c>
      <c r="K8" s="379">
        <f t="shared" si="0"/>
        <v>15037.568393361815</v>
      </c>
      <c r="L8" s="380">
        <f t="shared" si="0"/>
        <v>15031.797291253579</v>
      </c>
      <c r="N8" s="21">
        <v>0.9</v>
      </c>
    </row>
    <row r="9" spans="3:15" x14ac:dyDescent="0.3">
      <c r="C9" s="175" t="s">
        <v>130</v>
      </c>
      <c r="D9" s="16"/>
      <c r="E9" s="183">
        <f>SUBTOTAL(9,E5:E8)</f>
        <v>16398.002760534684</v>
      </c>
      <c r="F9" s="68">
        <f>SUBTOTAL(9,F5:F8)</f>
        <v>16568.398863228769</v>
      </c>
      <c r="G9" s="68">
        <f t="shared" ref="G9:L9" si="1">SUBTOTAL(9,G5:G8)</f>
        <v>16705.398863228769</v>
      </c>
      <c r="H9" s="68">
        <f t="shared" si="1"/>
        <v>17195.067193059593</v>
      </c>
      <c r="I9" s="68">
        <f t="shared" si="1"/>
        <v>17211.362514878259</v>
      </c>
      <c r="J9" s="68">
        <f t="shared" si="1"/>
        <v>17212.319790778896</v>
      </c>
      <c r="K9" s="68">
        <f t="shared" si="1"/>
        <v>17225.859300491858</v>
      </c>
      <c r="L9" s="176">
        <f t="shared" si="1"/>
        <v>17220.57141078468</v>
      </c>
    </row>
    <row r="10" spans="3:15" x14ac:dyDescent="0.3">
      <c r="C10" s="128" t="s">
        <v>27</v>
      </c>
      <c r="D10" s="171">
        <v>1014</v>
      </c>
      <c r="E10" s="181">
        <f>Connections!R41</f>
        <v>599</v>
      </c>
      <c r="F10" s="172">
        <f>Connections!S14</f>
        <v>513.5</v>
      </c>
      <c r="G10" s="172">
        <f>Connections!T14</f>
        <v>428</v>
      </c>
      <c r="H10" s="172">
        <f>Connections!U14</f>
        <v>428</v>
      </c>
      <c r="I10" s="172">
        <f>Connections!V14</f>
        <v>428</v>
      </c>
      <c r="J10" s="172">
        <f>Connections!W14</f>
        <v>428</v>
      </c>
      <c r="K10" s="172">
        <f>Connections!X14</f>
        <v>428</v>
      </c>
      <c r="L10" s="173">
        <f>Connections!Y14</f>
        <v>428</v>
      </c>
      <c r="N10" s="21">
        <v>1</v>
      </c>
    </row>
    <row r="11" spans="3:15" x14ac:dyDescent="0.3">
      <c r="C11" s="185" t="s">
        <v>152</v>
      </c>
      <c r="D11" s="186"/>
      <c r="E11" s="381">
        <v>1687.8168344346323</v>
      </c>
      <c r="F11" s="382">
        <f t="shared" ref="F11:L11" si="2">F$27*$N11</f>
        <v>1620.1834807567918</v>
      </c>
      <c r="G11" s="382">
        <f t="shared" si="2"/>
        <v>1620.1834807567918</v>
      </c>
      <c r="H11" s="382">
        <f t="shared" si="2"/>
        <v>1670.9478048570211</v>
      </c>
      <c r="I11" s="382">
        <f t="shared" si="2"/>
        <v>1669.2378486768027</v>
      </c>
      <c r="J11" s="382">
        <f t="shared" si="2"/>
        <v>1669.4515931993301</v>
      </c>
      <c r="K11" s="382">
        <f t="shared" si="2"/>
        <v>1670.8409325957573</v>
      </c>
      <c r="L11" s="383">
        <f t="shared" si="2"/>
        <v>1670.1996990281755</v>
      </c>
      <c r="N11" s="21">
        <v>0.1</v>
      </c>
    </row>
    <row r="12" spans="3:15" x14ac:dyDescent="0.3">
      <c r="C12" s="185"/>
      <c r="D12" s="14">
        <v>1014</v>
      </c>
      <c r="E12" s="321"/>
      <c r="F12" s="351"/>
      <c r="G12" s="351"/>
      <c r="H12" s="351">
        <v>0</v>
      </c>
      <c r="I12" s="351">
        <v>0</v>
      </c>
      <c r="J12" s="351">
        <v>0</v>
      </c>
      <c r="K12" s="351">
        <v>1</v>
      </c>
      <c r="L12" s="322">
        <v>0</v>
      </c>
      <c r="M12" s="49" t="s">
        <v>435</v>
      </c>
      <c r="N12" s="21"/>
    </row>
    <row r="13" spans="3:15" x14ac:dyDescent="0.3">
      <c r="C13" s="185"/>
      <c r="D13" s="14">
        <v>1014</v>
      </c>
      <c r="E13" s="321"/>
      <c r="F13" s="351">
        <v>72.149334148595557</v>
      </c>
      <c r="G13" s="351">
        <v>147.51837598560007</v>
      </c>
      <c r="H13" s="351">
        <v>263.07643794117809</v>
      </c>
      <c r="I13" s="351">
        <v>359.39713293087516</v>
      </c>
      <c r="J13" s="351">
        <v>441.42861249904053</v>
      </c>
      <c r="K13" s="351">
        <v>544.96536784402156</v>
      </c>
      <c r="L13" s="322">
        <v>642.44692942055372</v>
      </c>
      <c r="M13" s="49" t="s">
        <v>267</v>
      </c>
      <c r="N13" s="21"/>
    </row>
    <row r="14" spans="3:15" x14ac:dyDescent="0.3">
      <c r="C14" s="185"/>
      <c r="D14" s="14">
        <v>1014</v>
      </c>
      <c r="E14" s="323"/>
      <c r="F14" s="324"/>
      <c r="G14" s="324"/>
      <c r="H14" s="324">
        <f>27/5</f>
        <v>5.4</v>
      </c>
      <c r="I14" s="324">
        <f t="shared" ref="I14:L14" si="3">27/5</f>
        <v>5.4</v>
      </c>
      <c r="J14" s="324">
        <f t="shared" si="3"/>
        <v>5.4</v>
      </c>
      <c r="K14" s="324">
        <f t="shared" si="3"/>
        <v>5.4</v>
      </c>
      <c r="L14" s="325">
        <f t="shared" si="3"/>
        <v>5.4</v>
      </c>
      <c r="M14" s="49" t="s">
        <v>285</v>
      </c>
      <c r="N14" s="21"/>
    </row>
    <row r="15" spans="3:15" x14ac:dyDescent="0.3">
      <c r="C15" s="175" t="s">
        <v>130</v>
      </c>
      <c r="D15" s="16"/>
      <c r="E15" s="183">
        <f>SUBTOTAL(9,E10:E14)</f>
        <v>2286.8168344346323</v>
      </c>
      <c r="F15" s="68">
        <f t="shared" ref="F15:L15" si="4">SUBTOTAL(9,F10:F14)</f>
        <v>2205.8328149053877</v>
      </c>
      <c r="G15" s="68">
        <f t="shared" si="4"/>
        <v>2195.701856742392</v>
      </c>
      <c r="H15" s="68">
        <f t="shared" si="4"/>
        <v>2367.424242798199</v>
      </c>
      <c r="I15" s="68">
        <f t="shared" si="4"/>
        <v>2462.0349816076782</v>
      </c>
      <c r="J15" s="68">
        <f t="shared" si="4"/>
        <v>2544.2802056983705</v>
      </c>
      <c r="K15" s="68">
        <f t="shared" si="4"/>
        <v>2650.2063004397792</v>
      </c>
      <c r="L15" s="176">
        <f t="shared" si="4"/>
        <v>2746.0466284487293</v>
      </c>
    </row>
    <row r="16" spans="3:15" x14ac:dyDescent="0.3">
      <c r="C16" s="128" t="s">
        <v>28</v>
      </c>
      <c r="D16" s="171">
        <v>1012</v>
      </c>
      <c r="E16" s="181">
        <f>Connections!R36</f>
        <v>388</v>
      </c>
      <c r="F16" s="172">
        <f>Connections!S36</f>
        <v>391.8987520703638</v>
      </c>
      <c r="G16" s="172">
        <f>Connections!T36</f>
        <v>391.8987520703638</v>
      </c>
      <c r="H16" s="172">
        <f>Connections!U36</f>
        <v>404.17790162401963</v>
      </c>
      <c r="I16" s="172">
        <f>Connections!V36</f>
        <v>403.7642881653702</v>
      </c>
      <c r="J16" s="172">
        <f>Connections!W36</f>
        <v>403.81598984770142</v>
      </c>
      <c r="K16" s="172">
        <f>Connections!X36</f>
        <v>404.15205078285402</v>
      </c>
      <c r="L16" s="173">
        <f>Connections!Y36</f>
        <v>403.99694573586055</v>
      </c>
      <c r="N16" s="21">
        <v>1</v>
      </c>
    </row>
    <row r="17" spans="3:15" x14ac:dyDescent="0.3">
      <c r="C17" s="76"/>
      <c r="D17">
        <v>1019</v>
      </c>
      <c r="E17" s="183">
        <f>Connections!R$46*$N17</f>
        <v>33.180405030683588</v>
      </c>
      <c r="F17" s="68">
        <f>Connections!S$46*$N17</f>
        <v>57.252463582356</v>
      </c>
      <c r="G17" s="68">
        <f>Connections!T$46*$N17</f>
        <v>57.252463582356</v>
      </c>
      <c r="H17" s="68">
        <f>Connections!U$46*$N17</f>
        <v>57.252463582356</v>
      </c>
      <c r="I17" s="68">
        <f>Connections!V$46*$N17</f>
        <v>57.252463582356</v>
      </c>
      <c r="J17" s="68">
        <f>Connections!W$46*$N17</f>
        <v>57.252463582356</v>
      </c>
      <c r="K17" s="68">
        <f>Connections!X$46*$N17</f>
        <v>57.252463582356</v>
      </c>
      <c r="L17" s="176">
        <f>Connections!Y$46*$N17</f>
        <v>57.252463582356</v>
      </c>
      <c r="N17" s="21">
        <f>1-N7</f>
        <v>0.65059617707222728</v>
      </c>
      <c r="O17" t="s">
        <v>148</v>
      </c>
    </row>
    <row r="18" spans="3:15" x14ac:dyDescent="0.3">
      <c r="C18" s="175" t="s">
        <v>130</v>
      </c>
      <c r="D18" s="16"/>
      <c r="E18" s="183">
        <f>SUBTOTAL(9,E16:E17)</f>
        <v>421.18040503068357</v>
      </c>
      <c r="F18" s="68">
        <f>SUBTOTAL(9,F16:F17)</f>
        <v>449.15121565271977</v>
      </c>
      <c r="G18" s="68">
        <f t="shared" ref="G18:L18" si="5">SUBTOTAL(9,G16:G17)</f>
        <v>449.15121565271977</v>
      </c>
      <c r="H18" s="68">
        <f t="shared" si="5"/>
        <v>461.43036520637565</v>
      </c>
      <c r="I18" s="68">
        <f t="shared" si="5"/>
        <v>461.01675174772618</v>
      </c>
      <c r="J18" s="68">
        <f t="shared" si="5"/>
        <v>461.06845343005739</v>
      </c>
      <c r="K18" s="68">
        <f t="shared" si="5"/>
        <v>461.40451436521005</v>
      </c>
      <c r="L18" s="176">
        <f t="shared" si="5"/>
        <v>461.24940931821652</v>
      </c>
    </row>
    <row r="19" spans="3:15" x14ac:dyDescent="0.3">
      <c r="C19" s="128" t="s">
        <v>29</v>
      </c>
      <c r="D19" s="171">
        <v>1015</v>
      </c>
      <c r="E19" s="181">
        <f>Connections!R19</f>
        <v>0</v>
      </c>
      <c r="F19" s="172">
        <f>Connections!S19</f>
        <v>7.5</v>
      </c>
      <c r="G19" s="172">
        <f>Connections!T19</f>
        <v>7.5</v>
      </c>
      <c r="H19" s="172">
        <f>Connections!U19</f>
        <v>7.5</v>
      </c>
      <c r="I19" s="172">
        <f>Connections!V19</f>
        <v>7.5</v>
      </c>
      <c r="J19" s="172">
        <f>Connections!W19</f>
        <v>0</v>
      </c>
      <c r="K19" s="172">
        <f>Connections!X19</f>
        <v>0</v>
      </c>
      <c r="L19" s="173">
        <f>Connections!Y19</f>
        <v>0</v>
      </c>
      <c r="N19" s="21">
        <v>1</v>
      </c>
    </row>
    <row r="20" spans="3:15" x14ac:dyDescent="0.3">
      <c r="C20" s="76"/>
      <c r="D20">
        <v>1047</v>
      </c>
      <c r="E20" s="182">
        <v>1</v>
      </c>
      <c r="F20" s="10"/>
      <c r="G20" s="10"/>
      <c r="H20" s="10"/>
      <c r="I20" s="10"/>
      <c r="J20" s="10"/>
      <c r="K20" s="10"/>
      <c r="L20" s="174"/>
      <c r="N20" s="21">
        <v>1</v>
      </c>
    </row>
    <row r="21" spans="3:15" x14ac:dyDescent="0.3">
      <c r="C21" s="213"/>
      <c r="D21" s="16">
        <v>1048</v>
      </c>
      <c r="E21" s="183">
        <f>Connections!R21</f>
        <v>1</v>
      </c>
      <c r="F21" s="68">
        <f>Connections!S21</f>
        <v>1</v>
      </c>
      <c r="G21" s="68">
        <f>Connections!T21</f>
        <v>2</v>
      </c>
      <c r="H21" s="68">
        <f>Connections!U21</f>
        <v>2</v>
      </c>
      <c r="I21" s="68">
        <f>Connections!V21</f>
        <v>4</v>
      </c>
      <c r="J21" s="68">
        <f>Connections!W21</f>
        <v>2</v>
      </c>
      <c r="K21" s="68">
        <f>Connections!X21</f>
        <v>1</v>
      </c>
      <c r="L21" s="176">
        <f>Connections!Y21</f>
        <v>1</v>
      </c>
      <c r="N21" s="21">
        <v>1</v>
      </c>
    </row>
    <row r="22" spans="3:15" x14ac:dyDescent="0.3">
      <c r="C22" s="129"/>
      <c r="D22" s="130"/>
      <c r="E22" s="184">
        <f>SUBTOTAL(9,E19:E21)</f>
        <v>2</v>
      </c>
      <c r="F22" s="177">
        <f t="shared" ref="F22:L22" si="6">SUBTOTAL(9,F19:F21)</f>
        <v>8.5</v>
      </c>
      <c r="G22" s="177">
        <f t="shared" si="6"/>
        <v>9.5</v>
      </c>
      <c r="H22" s="177">
        <f t="shared" si="6"/>
        <v>9.5</v>
      </c>
      <c r="I22" s="177">
        <f t="shared" si="6"/>
        <v>11.5</v>
      </c>
      <c r="J22" s="177">
        <f t="shared" si="6"/>
        <v>2</v>
      </c>
      <c r="K22" s="177">
        <f t="shared" si="6"/>
        <v>1</v>
      </c>
      <c r="L22" s="178">
        <f t="shared" si="6"/>
        <v>1</v>
      </c>
      <c r="N22" s="21"/>
    </row>
    <row r="23" spans="3:15" x14ac:dyDescent="0.3">
      <c r="C23" s="131" t="s">
        <v>151</v>
      </c>
      <c r="D23" s="130"/>
      <c r="E23" s="97">
        <f>SUBTOTAL(9,E5:E22)</f>
        <v>19108</v>
      </c>
      <c r="F23" s="179">
        <f t="shared" ref="F23:L23" si="7">SUBTOTAL(9,F5:F22)</f>
        <v>19231.882893786875</v>
      </c>
      <c r="G23" s="179">
        <f t="shared" si="7"/>
        <v>19359.751935623881</v>
      </c>
      <c r="H23" s="179">
        <f t="shared" si="7"/>
        <v>20033.421801064167</v>
      </c>
      <c r="I23" s="179">
        <f t="shared" si="7"/>
        <v>20145.914248233665</v>
      </c>
      <c r="J23" s="179">
        <f t="shared" si="7"/>
        <v>20219.668449907327</v>
      </c>
      <c r="K23" s="179">
        <f t="shared" si="7"/>
        <v>20338.470115296852</v>
      </c>
      <c r="L23" s="180">
        <f t="shared" si="7"/>
        <v>20428.867448551631</v>
      </c>
    </row>
    <row r="24" spans="3:15" x14ac:dyDescent="0.3">
      <c r="E24" s="270"/>
      <c r="F24" s="10"/>
      <c r="G24" s="10"/>
      <c r="H24" s="10"/>
      <c r="I24" s="10"/>
      <c r="J24" s="10"/>
      <c r="K24" s="10"/>
      <c r="L24" s="10"/>
    </row>
    <row r="25" spans="3:15" x14ac:dyDescent="0.3">
      <c r="E25" s="10"/>
      <c r="F25" s="10"/>
    </row>
    <row r="26" spans="3:15" x14ac:dyDescent="0.3">
      <c r="E26" s="7" t="s">
        <v>15</v>
      </c>
      <c r="F26" s="73" t="s">
        <v>16</v>
      </c>
      <c r="G26" s="73" t="s">
        <v>16</v>
      </c>
      <c r="H26" s="73" t="s">
        <v>16</v>
      </c>
      <c r="I26" s="73" t="s">
        <v>16</v>
      </c>
      <c r="J26" s="73" t="s">
        <v>16</v>
      </c>
      <c r="K26" s="73" t="s">
        <v>16</v>
      </c>
      <c r="L26" s="73" t="s">
        <v>16</v>
      </c>
    </row>
    <row r="27" spans="3:15" x14ac:dyDescent="0.3">
      <c r="C27" t="s">
        <v>334</v>
      </c>
      <c r="E27" s="10">
        <v>16249</v>
      </c>
      <c r="F27" s="271">
        <f>[2]Sheet1!E$32</f>
        <v>16201.834807567917</v>
      </c>
      <c r="G27" s="271">
        <f>[2]Sheet1!F$32</f>
        <v>16201.834807567917</v>
      </c>
      <c r="H27" s="271">
        <f>[2]Sheet1!G$32</f>
        <v>16709.47804857021</v>
      </c>
      <c r="I27" s="271">
        <f>[2]Sheet1!H$32</f>
        <v>16692.378486768026</v>
      </c>
      <c r="J27" s="271">
        <f>[2]Sheet1!I$32</f>
        <v>16694.515931993301</v>
      </c>
      <c r="K27" s="271">
        <f>[2]Sheet1!J$32</f>
        <v>16708.409325957571</v>
      </c>
      <c r="L27" s="271">
        <f>[2]Sheet1!K$32</f>
        <v>16701.996990281754</v>
      </c>
    </row>
    <row r="28" spans="3:15" x14ac:dyDescent="0.3">
      <c r="C28" t="s">
        <v>230</v>
      </c>
      <c r="E28" s="270">
        <v>0</v>
      </c>
      <c r="F28" s="270">
        <f>F27-[2]Sheet1!E$32</f>
        <v>0</v>
      </c>
      <c r="G28" s="270">
        <f>G27-[2]Sheet1!F$32</f>
        <v>0</v>
      </c>
      <c r="H28" s="270">
        <f>H27-[2]Sheet1!G$32</f>
        <v>0</v>
      </c>
      <c r="I28" s="270">
        <f>I27-[2]Sheet1!H$32</f>
        <v>0</v>
      </c>
      <c r="J28" s="270">
        <f>J27-[2]Sheet1!I$32</f>
        <v>0</v>
      </c>
      <c r="K28" s="270">
        <f>K27-[2]Sheet1!J$32</f>
        <v>0</v>
      </c>
      <c r="L28" s="270">
        <f>L27-[2]Sheet1!K$32</f>
        <v>0</v>
      </c>
    </row>
    <row r="29" spans="3:15" x14ac:dyDescent="0.3">
      <c r="E29" s="10"/>
      <c r="F29" s="10"/>
      <c r="G29" s="10"/>
      <c r="H29" s="10"/>
      <c r="I29" s="10"/>
      <c r="J29" s="10"/>
      <c r="K29" s="10"/>
    </row>
    <row r="30" spans="3:15" x14ac:dyDescent="0.3">
      <c r="C30" s="1" t="s">
        <v>155</v>
      </c>
    </row>
    <row r="31" spans="3:15" x14ac:dyDescent="0.3">
      <c r="E31" s="7" t="s">
        <v>15</v>
      </c>
      <c r="F31" s="7" t="s">
        <v>16</v>
      </c>
      <c r="G31" s="7" t="s">
        <v>16</v>
      </c>
      <c r="H31" s="503" t="s">
        <v>167</v>
      </c>
      <c r="I31" s="504"/>
      <c r="J31" s="504"/>
      <c r="K31" s="504"/>
      <c r="L31" s="505"/>
    </row>
    <row r="32" spans="3:15" x14ac:dyDescent="0.3">
      <c r="C32" s="28" t="s">
        <v>31</v>
      </c>
      <c r="D32" s="127" t="s">
        <v>30</v>
      </c>
      <c r="E32" s="284" t="str">
        <f>Allocations!J$50</f>
        <v>2023-24</v>
      </c>
      <c r="F32" s="29" t="str">
        <f>Allocations!K$50</f>
        <v>2024-25</v>
      </c>
      <c r="G32" s="29" t="str">
        <f>Allocations!L$50</f>
        <v>2025-26</v>
      </c>
      <c r="H32" s="29" t="str">
        <f>Allocations!M$50</f>
        <v>2026-27</v>
      </c>
      <c r="I32" s="29" t="str">
        <f>Allocations!N$50</f>
        <v>2027–28</v>
      </c>
      <c r="J32" s="29" t="str">
        <f>Allocations!O$50</f>
        <v>2028–29</v>
      </c>
      <c r="K32" s="29" t="str">
        <f>Allocations!P$50</f>
        <v>2029–30</v>
      </c>
      <c r="L32" s="29" t="str">
        <f>Allocations!Q$50</f>
        <v>2030–31</v>
      </c>
    </row>
    <row r="33" spans="3:12" x14ac:dyDescent="0.3">
      <c r="C33" s="128" t="s">
        <v>26</v>
      </c>
      <c r="D33" s="171">
        <v>1013</v>
      </c>
      <c r="E33" s="181">
        <f t="shared" ref="E33:L35" si="8">E5</f>
        <v>1216</v>
      </c>
      <c r="F33" s="172">
        <f t="shared" si="8"/>
        <v>1335.5</v>
      </c>
      <c r="G33" s="172">
        <f t="shared" si="8"/>
        <v>1455</v>
      </c>
      <c r="H33" s="172">
        <f t="shared" si="8"/>
        <v>1477.7943601583113</v>
      </c>
      <c r="I33" s="172">
        <f t="shared" si="8"/>
        <v>1499.8209102902374</v>
      </c>
      <c r="J33" s="172">
        <f t="shared" si="8"/>
        <v>1499.1490765171504</v>
      </c>
      <c r="K33" s="172">
        <f t="shared" si="8"/>
        <v>1499.8688984168866</v>
      </c>
      <c r="L33" s="173">
        <f t="shared" si="8"/>
        <v>1500.20481530343</v>
      </c>
    </row>
    <row r="34" spans="3:12" x14ac:dyDescent="0.3">
      <c r="C34" s="76"/>
      <c r="D34">
        <v>1018</v>
      </c>
      <c r="E34" s="182">
        <f t="shared" si="8"/>
        <v>603</v>
      </c>
      <c r="F34" s="10">
        <f t="shared" si="8"/>
        <v>620.5</v>
      </c>
      <c r="G34" s="10">
        <f t="shared" si="8"/>
        <v>638</v>
      </c>
      <c r="H34" s="10">
        <f t="shared" si="8"/>
        <v>647.99505277044852</v>
      </c>
      <c r="I34" s="10">
        <f t="shared" si="8"/>
        <v>657.65343007915567</v>
      </c>
      <c r="J34" s="10">
        <f t="shared" si="8"/>
        <v>657.35883905013191</v>
      </c>
      <c r="K34" s="10">
        <f t="shared" si="8"/>
        <v>657.67447229551453</v>
      </c>
      <c r="L34" s="174">
        <f t="shared" si="8"/>
        <v>657.82176781002636</v>
      </c>
    </row>
    <row r="35" spans="3:12" x14ac:dyDescent="0.3">
      <c r="C35" s="76"/>
      <c r="D35">
        <v>1019</v>
      </c>
      <c r="E35" s="182">
        <f t="shared" si="8"/>
        <v>17.819594969316412</v>
      </c>
      <c r="F35" s="10">
        <f t="shared" si="8"/>
        <v>30.747536417644003</v>
      </c>
      <c r="G35" s="10">
        <f t="shared" si="8"/>
        <v>30.747536417644003</v>
      </c>
      <c r="H35" s="10">
        <f t="shared" si="8"/>
        <v>30.747536417644003</v>
      </c>
      <c r="I35" s="10">
        <f t="shared" si="8"/>
        <v>30.747536417644003</v>
      </c>
      <c r="J35" s="10">
        <f t="shared" si="8"/>
        <v>30.747536417644003</v>
      </c>
      <c r="K35" s="10">
        <f t="shared" si="8"/>
        <v>30.747536417644003</v>
      </c>
      <c r="L35" s="174">
        <f t="shared" si="8"/>
        <v>30.747536417644003</v>
      </c>
    </row>
    <row r="36" spans="3:12" x14ac:dyDescent="0.3">
      <c r="C36" s="76"/>
      <c r="E36" s="183"/>
      <c r="F36" s="68"/>
      <c r="G36" s="68"/>
      <c r="H36" s="68"/>
      <c r="I36" s="68"/>
      <c r="J36" s="68"/>
      <c r="K36" s="68"/>
      <c r="L36" s="176"/>
    </row>
    <row r="37" spans="3:12" x14ac:dyDescent="0.3">
      <c r="C37" s="175" t="s">
        <v>130</v>
      </c>
      <c r="D37" s="16"/>
      <c r="E37" s="183">
        <f>SUBTOTAL(9,E33:E36)</f>
        <v>1836.8195949693163</v>
      </c>
      <c r="F37" s="68">
        <f>SUBTOTAL(9,F33:F36)</f>
        <v>1986.7475364176439</v>
      </c>
      <c r="G37" s="68">
        <f t="shared" ref="G37:L37" si="9">SUBTOTAL(9,G33:G36)</f>
        <v>2123.7475364176439</v>
      </c>
      <c r="H37" s="68">
        <f t="shared" si="9"/>
        <v>2156.5369493464036</v>
      </c>
      <c r="I37" s="68">
        <f t="shared" si="9"/>
        <v>2188.2218767870368</v>
      </c>
      <c r="J37" s="68">
        <f t="shared" si="9"/>
        <v>2187.2554519849264</v>
      </c>
      <c r="K37" s="68">
        <f t="shared" si="9"/>
        <v>2188.2909071300451</v>
      </c>
      <c r="L37" s="176">
        <f t="shared" si="9"/>
        <v>2188.7741195311005</v>
      </c>
    </row>
    <row r="38" spans="3:12" x14ac:dyDescent="0.3">
      <c r="C38" s="128" t="s">
        <v>27</v>
      </c>
      <c r="D38" s="171">
        <v>1014</v>
      </c>
      <c r="E38" s="181">
        <f t="shared" ref="E38:L38" si="10">E10</f>
        <v>599</v>
      </c>
      <c r="F38" s="172">
        <f t="shared" si="10"/>
        <v>513.5</v>
      </c>
      <c r="G38" s="172">
        <f t="shared" si="10"/>
        <v>428</v>
      </c>
      <c r="H38" s="172">
        <f t="shared" si="10"/>
        <v>428</v>
      </c>
      <c r="I38" s="172">
        <f t="shared" si="10"/>
        <v>428</v>
      </c>
      <c r="J38" s="172">
        <f t="shared" si="10"/>
        <v>428</v>
      </c>
      <c r="K38" s="172">
        <f t="shared" si="10"/>
        <v>428</v>
      </c>
      <c r="L38" s="173">
        <f t="shared" si="10"/>
        <v>428</v>
      </c>
    </row>
    <row r="39" spans="3:12" x14ac:dyDescent="0.3">
      <c r="C39" s="76"/>
      <c r="E39" s="182"/>
      <c r="F39" s="10"/>
      <c r="G39" s="10"/>
      <c r="H39" s="10"/>
      <c r="I39" s="10"/>
      <c r="J39" s="10"/>
      <c r="K39" s="10"/>
      <c r="L39" s="174"/>
    </row>
    <row r="40" spans="3:12" x14ac:dyDescent="0.3">
      <c r="C40" s="76"/>
      <c r="E40" s="182">
        <f t="shared" ref="E40:L42" si="11">E12</f>
        <v>0</v>
      </c>
      <c r="F40" s="10">
        <f t="shared" si="11"/>
        <v>0</v>
      </c>
      <c r="G40" s="10">
        <f t="shared" si="11"/>
        <v>0</v>
      </c>
      <c r="H40" s="10">
        <f t="shared" si="11"/>
        <v>0</v>
      </c>
      <c r="I40" s="10">
        <f t="shared" si="11"/>
        <v>0</v>
      </c>
      <c r="J40" s="10">
        <f t="shared" si="11"/>
        <v>0</v>
      </c>
      <c r="K40" s="10">
        <f t="shared" si="11"/>
        <v>1</v>
      </c>
      <c r="L40" s="174">
        <f t="shared" si="11"/>
        <v>0</v>
      </c>
    </row>
    <row r="41" spans="3:12" x14ac:dyDescent="0.3">
      <c r="C41" s="76"/>
      <c r="E41" s="182">
        <f t="shared" si="11"/>
        <v>0</v>
      </c>
      <c r="F41" s="10">
        <f t="shared" si="11"/>
        <v>72.149334148595557</v>
      </c>
      <c r="G41" s="10">
        <f t="shared" si="11"/>
        <v>147.51837598560007</v>
      </c>
      <c r="H41" s="10">
        <f t="shared" si="11"/>
        <v>263.07643794117809</v>
      </c>
      <c r="I41" s="10">
        <f t="shared" si="11"/>
        <v>359.39713293087516</v>
      </c>
      <c r="J41" s="10">
        <f t="shared" si="11"/>
        <v>441.42861249904053</v>
      </c>
      <c r="K41" s="10">
        <f t="shared" si="11"/>
        <v>544.96536784402156</v>
      </c>
      <c r="L41" s="174">
        <f t="shared" si="11"/>
        <v>642.44692942055372</v>
      </c>
    </row>
    <row r="42" spans="3:12" x14ac:dyDescent="0.3">
      <c r="C42" s="76"/>
      <c r="E42" s="183">
        <f t="shared" si="11"/>
        <v>0</v>
      </c>
      <c r="F42" s="68">
        <f t="shared" si="11"/>
        <v>0</v>
      </c>
      <c r="G42" s="68">
        <f t="shared" si="11"/>
        <v>0</v>
      </c>
      <c r="H42" s="68">
        <f t="shared" si="11"/>
        <v>5.4</v>
      </c>
      <c r="I42" s="68">
        <f t="shared" si="11"/>
        <v>5.4</v>
      </c>
      <c r="J42" s="68">
        <f t="shared" si="11"/>
        <v>5.4</v>
      </c>
      <c r="K42" s="68">
        <f t="shared" si="11"/>
        <v>5.4</v>
      </c>
      <c r="L42" s="176">
        <f t="shared" si="11"/>
        <v>5.4</v>
      </c>
    </row>
    <row r="43" spans="3:12" x14ac:dyDescent="0.3">
      <c r="C43" s="175" t="s">
        <v>130</v>
      </c>
      <c r="D43" s="16"/>
      <c r="E43" s="183">
        <f>SUBTOTAL(9,E38:E42)</f>
        <v>599</v>
      </c>
      <c r="F43" s="68">
        <f t="shared" ref="F43:L43" si="12">SUBTOTAL(9,F38:F42)</f>
        <v>585.64933414859559</v>
      </c>
      <c r="G43" s="68">
        <f t="shared" si="12"/>
        <v>575.51837598560007</v>
      </c>
      <c r="H43" s="68">
        <f t="shared" si="12"/>
        <v>696.47643794117801</v>
      </c>
      <c r="I43" s="68">
        <f t="shared" si="12"/>
        <v>792.79713293087514</v>
      </c>
      <c r="J43" s="68">
        <f t="shared" si="12"/>
        <v>874.82861249904056</v>
      </c>
      <c r="K43" s="68">
        <f t="shared" si="12"/>
        <v>979.36536784402153</v>
      </c>
      <c r="L43" s="176">
        <f t="shared" si="12"/>
        <v>1075.8469294205538</v>
      </c>
    </row>
    <row r="44" spans="3:12" x14ac:dyDescent="0.3">
      <c r="C44" s="128" t="s">
        <v>28</v>
      </c>
      <c r="D44" s="171">
        <v>1012</v>
      </c>
      <c r="E44" s="181">
        <f t="shared" ref="E44:L45" si="13">E16</f>
        <v>388</v>
      </c>
      <c r="F44" s="172">
        <f t="shared" si="13"/>
        <v>391.8987520703638</v>
      </c>
      <c r="G44" s="172">
        <f t="shared" si="13"/>
        <v>391.8987520703638</v>
      </c>
      <c r="H44" s="172">
        <f t="shared" si="13"/>
        <v>404.17790162401963</v>
      </c>
      <c r="I44" s="172">
        <f t="shared" si="13"/>
        <v>403.7642881653702</v>
      </c>
      <c r="J44" s="172">
        <f t="shared" si="13"/>
        <v>403.81598984770142</v>
      </c>
      <c r="K44" s="172">
        <f t="shared" si="13"/>
        <v>404.15205078285402</v>
      </c>
      <c r="L44" s="173">
        <f t="shared" si="13"/>
        <v>403.99694573586055</v>
      </c>
    </row>
    <row r="45" spans="3:12" x14ac:dyDescent="0.3">
      <c r="C45" s="76"/>
      <c r="D45">
        <v>1019</v>
      </c>
      <c r="E45" s="183">
        <f t="shared" si="13"/>
        <v>33.180405030683588</v>
      </c>
      <c r="F45" s="68">
        <f t="shared" si="13"/>
        <v>57.252463582356</v>
      </c>
      <c r="G45" s="68">
        <f t="shared" si="13"/>
        <v>57.252463582356</v>
      </c>
      <c r="H45" s="68">
        <f t="shared" si="13"/>
        <v>57.252463582356</v>
      </c>
      <c r="I45" s="68">
        <f t="shared" si="13"/>
        <v>57.252463582356</v>
      </c>
      <c r="J45" s="68">
        <f t="shared" si="13"/>
        <v>57.252463582356</v>
      </c>
      <c r="K45" s="68">
        <f t="shared" si="13"/>
        <v>57.252463582356</v>
      </c>
      <c r="L45" s="176">
        <f t="shared" si="13"/>
        <v>57.252463582356</v>
      </c>
    </row>
    <row r="46" spans="3:12" x14ac:dyDescent="0.3">
      <c r="C46" s="175" t="s">
        <v>130</v>
      </c>
      <c r="D46" s="16"/>
      <c r="E46" s="183">
        <f>SUBTOTAL(9,E44:E45)</f>
        <v>421.18040503068357</v>
      </c>
      <c r="F46" s="68">
        <f>SUBTOTAL(9,F44:F45)</f>
        <v>449.15121565271977</v>
      </c>
      <c r="G46" s="68">
        <f t="shared" ref="G46:L46" si="14">SUBTOTAL(9,G44:G45)</f>
        <v>449.15121565271977</v>
      </c>
      <c r="H46" s="68">
        <f t="shared" si="14"/>
        <v>461.43036520637565</v>
      </c>
      <c r="I46" s="68">
        <f t="shared" si="14"/>
        <v>461.01675174772618</v>
      </c>
      <c r="J46" s="68">
        <f t="shared" si="14"/>
        <v>461.06845343005739</v>
      </c>
      <c r="K46" s="68">
        <f t="shared" si="14"/>
        <v>461.40451436521005</v>
      </c>
      <c r="L46" s="176">
        <f t="shared" si="14"/>
        <v>461.24940931821652</v>
      </c>
    </row>
    <row r="47" spans="3:12" x14ac:dyDescent="0.3">
      <c r="C47" s="128" t="s">
        <v>29</v>
      </c>
      <c r="D47" s="171">
        <v>1015</v>
      </c>
      <c r="E47" s="181">
        <f t="shared" ref="E47:L49" si="15">E19</f>
        <v>0</v>
      </c>
      <c r="F47" s="172">
        <f t="shared" si="15"/>
        <v>7.5</v>
      </c>
      <c r="G47" s="172">
        <f t="shared" si="15"/>
        <v>7.5</v>
      </c>
      <c r="H47" s="172">
        <f t="shared" si="15"/>
        <v>7.5</v>
      </c>
      <c r="I47" s="172">
        <f t="shared" si="15"/>
        <v>7.5</v>
      </c>
      <c r="J47" s="172">
        <f t="shared" si="15"/>
        <v>0</v>
      </c>
      <c r="K47" s="172">
        <f t="shared" si="15"/>
        <v>0</v>
      </c>
      <c r="L47" s="173">
        <f t="shared" si="15"/>
        <v>0</v>
      </c>
    </row>
    <row r="48" spans="3:12" x14ac:dyDescent="0.3">
      <c r="C48" s="76"/>
      <c r="D48">
        <v>1047</v>
      </c>
      <c r="E48" s="182">
        <f t="shared" si="15"/>
        <v>1</v>
      </c>
      <c r="F48" s="10">
        <f t="shared" si="15"/>
        <v>0</v>
      </c>
      <c r="G48" s="10">
        <f t="shared" si="15"/>
        <v>0</v>
      </c>
      <c r="H48" s="10">
        <f t="shared" si="15"/>
        <v>0</v>
      </c>
      <c r="I48" s="10">
        <f t="shared" si="15"/>
        <v>0</v>
      </c>
      <c r="J48" s="10">
        <f t="shared" si="15"/>
        <v>0</v>
      </c>
      <c r="K48" s="10">
        <f t="shared" si="15"/>
        <v>0</v>
      </c>
      <c r="L48" s="174">
        <f t="shared" si="15"/>
        <v>0</v>
      </c>
    </row>
    <row r="49" spans="3:12" x14ac:dyDescent="0.3">
      <c r="C49" s="213"/>
      <c r="D49" s="16">
        <v>1048</v>
      </c>
      <c r="E49" s="183">
        <f t="shared" si="15"/>
        <v>1</v>
      </c>
      <c r="F49" s="68">
        <f t="shared" si="15"/>
        <v>1</v>
      </c>
      <c r="G49" s="68">
        <f t="shared" si="15"/>
        <v>2</v>
      </c>
      <c r="H49" s="68">
        <f t="shared" si="15"/>
        <v>2</v>
      </c>
      <c r="I49" s="68">
        <f t="shared" si="15"/>
        <v>4</v>
      </c>
      <c r="J49" s="68">
        <f t="shared" si="15"/>
        <v>2</v>
      </c>
      <c r="K49" s="68">
        <f t="shared" si="15"/>
        <v>1</v>
      </c>
      <c r="L49" s="176">
        <f t="shared" si="15"/>
        <v>1</v>
      </c>
    </row>
    <row r="50" spans="3:12" x14ac:dyDescent="0.3">
      <c r="C50" s="129"/>
      <c r="D50" s="130"/>
      <c r="E50" s="184">
        <f>SUBTOTAL(9,E47:E49)</f>
        <v>2</v>
      </c>
      <c r="F50" s="177">
        <f t="shared" ref="F50" si="16">SUBTOTAL(9,F47:F49)</f>
        <v>8.5</v>
      </c>
      <c r="G50" s="177">
        <f t="shared" ref="G50" si="17">SUBTOTAL(9,G47:G49)</f>
        <v>9.5</v>
      </c>
      <c r="H50" s="177">
        <f t="shared" ref="H50" si="18">SUBTOTAL(9,H47:H49)</f>
        <v>9.5</v>
      </c>
      <c r="I50" s="177">
        <f t="shared" ref="I50" si="19">SUBTOTAL(9,I47:I49)</f>
        <v>11.5</v>
      </c>
      <c r="J50" s="177">
        <f t="shared" ref="J50" si="20">SUBTOTAL(9,J47:J49)</f>
        <v>2</v>
      </c>
      <c r="K50" s="177">
        <f t="shared" ref="K50" si="21">SUBTOTAL(9,K47:K49)</f>
        <v>1</v>
      </c>
      <c r="L50" s="178">
        <f t="shared" ref="L50" si="22">SUBTOTAL(9,L47:L49)</f>
        <v>1</v>
      </c>
    </row>
    <row r="51" spans="3:12" x14ac:dyDescent="0.3">
      <c r="C51" s="131" t="s">
        <v>151</v>
      </c>
      <c r="D51" s="130"/>
      <c r="E51" s="97">
        <f>SUBTOTAL(9,E33:E50)</f>
        <v>2859</v>
      </c>
      <c r="F51" s="179">
        <f t="shared" ref="F51" si="23">SUBTOTAL(9,F33:F50)</f>
        <v>3030.0480862189593</v>
      </c>
      <c r="G51" s="179">
        <f t="shared" ref="G51" si="24">SUBTOTAL(9,G33:G50)</f>
        <v>3157.9171280559635</v>
      </c>
      <c r="H51" s="179">
        <f t="shared" ref="H51" si="25">SUBTOTAL(9,H33:H50)</f>
        <v>3323.9437524939576</v>
      </c>
      <c r="I51" s="179">
        <f t="shared" ref="I51" si="26">SUBTOTAL(9,I33:I50)</f>
        <v>3453.5357614656382</v>
      </c>
      <c r="J51" s="179">
        <f t="shared" ref="J51" si="27">SUBTOTAL(9,J33:J50)</f>
        <v>3525.1525179140244</v>
      </c>
      <c r="K51" s="179">
        <f t="shared" ref="K51" si="28">SUBTOTAL(9,K33:K50)</f>
        <v>3630.0607893392767</v>
      </c>
      <c r="L51" s="180">
        <f t="shared" ref="L51" si="29">SUBTOTAL(9,L33:L50)</f>
        <v>3726.8704582698711</v>
      </c>
    </row>
    <row r="52" spans="3:12" x14ac:dyDescent="0.3">
      <c r="E52" s="72">
        <f t="shared" ref="E52:L52" si="30">E51-(E23-E8-E11)</f>
        <v>0</v>
      </c>
      <c r="F52" s="72">
        <f t="shared" si="30"/>
        <v>0</v>
      </c>
      <c r="G52" s="72">
        <f t="shared" si="30"/>
        <v>0</v>
      </c>
      <c r="H52" s="72">
        <f t="shared" si="30"/>
        <v>0</v>
      </c>
      <c r="I52" s="72">
        <f t="shared" si="30"/>
        <v>0</v>
      </c>
      <c r="J52" s="72">
        <f t="shared" si="30"/>
        <v>0</v>
      </c>
      <c r="K52" s="72">
        <f t="shared" si="30"/>
        <v>0</v>
      </c>
      <c r="L52" s="72">
        <f t="shared" si="30"/>
        <v>-5.9117155615240335E-12</v>
      </c>
    </row>
    <row r="53" spans="3:12" x14ac:dyDescent="0.3">
      <c r="E53" s="10"/>
    </row>
  </sheetData>
  <mergeCells count="2">
    <mergeCell ref="H3:L3"/>
    <mergeCell ref="H31:L31"/>
  </mergeCells>
  <hyperlinks>
    <hyperlink ref="C1" location="Contents!A1" display="Table of Contents" xr:uid="{35BB2CBF-0E1D-4DBB-856A-3F770FD73F2C}"/>
  </hyperlinks>
  <pageMargins left="0.7" right="0.7" top="0.75" bottom="0.75" header="0.3" footer="0.3"/>
  <pageSetup paperSize="9" orientation="portrait" verticalDpi="0" r:id="rId1"/>
  <headerFooter>
    <oddFooter>&amp;C_x000D_&amp;1#&amp;"Century Gothic"&amp;7&amp;K7F7F7F BUSINESS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26092BDB0EB54683F161AC1502A92A" ma:contentTypeVersion="15" ma:contentTypeDescription="Create a new document." ma:contentTypeScope="" ma:versionID="573d424dd1e19490fac3388276302f64">
  <xsd:schema xmlns:xsd="http://www.w3.org/2001/XMLSchema" xmlns:xs="http://www.w3.org/2001/XMLSchema" xmlns:p="http://schemas.microsoft.com/office/2006/metadata/properties" xmlns:ns2="d668db9c-bb18-4bed-8851-b5721f14e6b4" xmlns:ns3="facbff88-6fe3-477c-bd78-371714a63d39" targetNamespace="http://schemas.microsoft.com/office/2006/metadata/properties" ma:root="true" ma:fieldsID="4b8a887423ab20ccf81c13febc9a4956" ns2:_="" ns3:_="">
    <xsd:import namespace="d668db9c-bb18-4bed-8851-b5721f14e6b4"/>
    <xsd:import namespace="facbff88-6fe3-477c-bd78-371714a63d3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8db9c-bb18-4bed-8851-b5721f14e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e67b6b-74cb-4963-8df3-8bbebf53230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cbff88-6fe3-477c-bd78-371714a63d3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9a79716-25b4-414f-9205-0a0877a8c924}" ma:internalName="TaxCatchAll" ma:showField="CatchAllData" ma:web="facbff88-6fe3-477c-bd78-371714a63d3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68db9c-bb18-4bed-8851-b5721f14e6b4">
      <Terms xmlns="http://schemas.microsoft.com/office/infopath/2007/PartnerControls"/>
    </lcf76f155ced4ddcb4097134ff3c332f>
    <TaxCatchAll xmlns="facbff88-6fe3-477c-bd78-371714a63d39" xsi:nil="true"/>
  </documentManagement>
</p:properties>
</file>

<file path=customXml/itemProps1.xml><?xml version="1.0" encoding="utf-8"?>
<ds:datastoreItem xmlns:ds="http://schemas.openxmlformats.org/officeDocument/2006/customXml" ds:itemID="{8421256A-AAE1-417B-A6FF-7C3EF627685E}"/>
</file>

<file path=customXml/itemProps2.xml><?xml version="1.0" encoding="utf-8"?>
<ds:datastoreItem xmlns:ds="http://schemas.openxmlformats.org/officeDocument/2006/customXml" ds:itemID="{305ABF6B-7CB2-4C85-B77A-952C60F9852A}"/>
</file>

<file path=customXml/itemProps3.xml><?xml version="1.0" encoding="utf-8"?>
<ds:datastoreItem xmlns:ds="http://schemas.openxmlformats.org/officeDocument/2006/customXml" ds:itemID="{7ADDFD90-2F5A-4E98-8725-103415794333}"/>
</file>

<file path=docMetadata/LabelInfo.xml><?xml version="1.0" encoding="utf-8"?>
<clbl:labelList xmlns:clbl="http://schemas.microsoft.com/office/2020/mipLabelMetadata">
  <clbl:label id="{f59ee16a-f4d8-42fc-8e4b-5abdff9fc8a9}" enabled="1" method="Standard" siteId="{a394e41c-cf8d-458e-ac1b-ddae1aa156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vt:i4>
      </vt:variant>
    </vt:vector>
  </HeadingPairs>
  <TitlesOfParts>
    <vt:vector size="30" baseType="lpstr">
      <vt:lpstr>AER Changes</vt:lpstr>
      <vt:lpstr>Inputs from Capex model</vt:lpstr>
      <vt:lpstr>Contents</vt:lpstr>
      <vt:lpstr>Escalation</vt:lpstr>
      <vt:lpstr>Assumptions</vt:lpstr>
      <vt:lpstr>Allocations</vt:lpstr>
      <vt:lpstr>Connections</vt:lpstr>
      <vt:lpstr>Historical_data &gt;</vt:lpstr>
      <vt:lpstr>Historical_Cost</vt:lpstr>
      <vt:lpstr>Historical_Cap_Cons</vt:lpstr>
      <vt:lpstr>Cost_Recovery</vt:lpstr>
      <vt:lpstr>Forecast &gt;</vt:lpstr>
      <vt:lpstr>Contracts_input</vt:lpstr>
      <vt:lpstr>HV_rebate</vt:lpstr>
      <vt:lpstr>Capex_Fcast_Direct</vt:lpstr>
      <vt:lpstr>Other_codes</vt:lpstr>
      <vt:lpstr>Capex_Fcast_Total</vt:lpstr>
      <vt:lpstr>Outputs &gt;</vt:lpstr>
      <vt:lpstr>Contr_Fcast</vt:lpstr>
      <vt:lpstr>Capex_Model_Inputs</vt:lpstr>
      <vt:lpstr>RIN_Outputs</vt:lpstr>
      <vt:lpstr>2.5 Connections</vt:lpstr>
      <vt:lpstr>Direct_view</vt:lpstr>
      <vt:lpstr>CapCon_view</vt:lpstr>
      <vt:lpstr>Word code splits</vt:lpstr>
      <vt:lpstr>Type 2_contributions</vt:lpstr>
      <vt:lpstr>Historical_CY</vt:lpstr>
      <vt:lpstr>2.5.3_Volumes</vt:lpstr>
      <vt:lpstr>CPI_adj_Jun21</vt:lpstr>
      <vt:lpstr>Thousands</vt:lpstr>
    </vt:vector>
  </TitlesOfParts>
  <Company>SP-Ausnet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Martin</dc:creator>
  <cp:lastModifiedBy>Steven Martin</cp:lastModifiedBy>
  <cp:lastPrinted>2018-06-07T03:23:08Z</cp:lastPrinted>
  <dcterms:created xsi:type="dcterms:W3CDTF">2015-01-14T04:19:31Z</dcterms:created>
  <dcterms:modified xsi:type="dcterms:W3CDTF">2025-02-03T04:14:53Z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0x0101000B26092BDB0EB54683F161AC1502A92A</vt:lpwstr>
  </property>
</Properties>
</file>