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autoCompressPictures="0" defaultThemeVersion="124226"/>
  <xr:revisionPtr revIDLastSave="0" documentId="13_ncr:1_{080D8B2C-5CED-4D02-BB4C-6AC6B8609409}" xr6:coauthVersionLast="47" xr6:coauthVersionMax="47" xr10:uidLastSave="{00000000-0000-0000-0000-000000000000}"/>
  <bookViews>
    <workbookView xWindow="28680" yWindow="-7965" windowWidth="38640" windowHeight="21240" tabRatio="838" xr2:uid="{00000000-000D-0000-FFFF-FFFF00000000}"/>
  </bookViews>
  <sheets>
    <sheet name="Connection Fees" sheetId="2" r:id="rId1"/>
    <sheet name="Quoted Services" sheetId="4" r:id="rId2"/>
    <sheet name="Labour Escalators" sheetId="3" r:id="rId3"/>
    <sheet name="CPI and conversions" sheetId="5" r:id="rId4"/>
    <sheet name="Security lighting" sheetId="18" r:id="rId5"/>
  </sheets>
  <externalReferences>
    <externalReference r:id="rId6"/>
    <externalReference r:id="rId7"/>
    <externalReference r:id="rId8"/>
    <externalReference r:id="rId9"/>
  </externalReferences>
  <definedNames>
    <definedName name="__FDS_HYPERLINK_TOGGLE_STATE__" hidden="1">"ON"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0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GL_GAS_NETWORKS">"YTD-ACTUAL99"</definedName>
    <definedName name="AllTables">{8}</definedName>
    <definedName name="anscount" hidden="1">3</definedName>
    <definedName name="AS2DocOpenMode" hidden="1">"AS2DocumentBrowse"</definedName>
    <definedName name="AS2NamedRange" hidden="1">2</definedName>
    <definedName name="CBWorkbookPriority" hidden="1">-113365687</definedName>
    <definedName name="Current_Assets">"BSPreBud1"</definedName>
    <definedName name="data_source">"spa-tm1-prod"</definedName>
    <definedName name="DME_Dirty" hidden="1">"False"</definedName>
    <definedName name="DME_DocumentFlags" hidden="1">"1"</definedName>
    <definedName name="DME_DocumentID" hidden="1">"::ODMA\DME-MSE\LR-205172"</definedName>
    <definedName name="DME_DocumentOpened" hidden="1">"True"</definedName>
    <definedName name="DME_DocumentTitle" hidden="1">"LR-205172 - Pricing forms 8/4/03"</definedName>
    <definedName name="DME_LocalFile" hidden="1">"False"</definedName>
    <definedName name="DME_NextWindowNumber" hidden="1">"2"</definedName>
    <definedName name="EPMWorkbookOptions_11" hidden="1">"7Zuff/dS79RimyO37z5Zvjn7cuwCCX7P2IIh5F7hNFdn9EkQ6P/H|eIv/vsXdfnB6//urV6esfos3b3XkPo/f/kUyWIeP3eVHz93nzI4/svRoF2MQbPb57vFqVxTRrCY79PPjUNCdo1XJJiNNnT7M244/9D99U3cE/fpWf13kz/3L55SpfHp1nZZM/vht|yO1OyjyrAfTL5evsMjctux9z2|9W9dtJVb0ltmyZjKZ1/4uw/dVMZ|3xWfOTWV1kk"</definedName>
    <definedName name="EPMWorkbookOptions_12" hidden="1">"zL/Iq8vHITe579x4sB|uRJq/D8BAAD//|PiwjoRWQAA"</definedName>
    <definedName name="EPMWorkbookOptions_2" hidden="1">"jqr64u7ezs3v39/7i|evpPF9k28WyabPlNP/IvjW7|a2PqNc0fXxSLZf5FH2|qU7WdZ0v258s8iv|Mvj6adZm|il9/iJb5NKb7anNF6t1XXBXXzV5/bLOz3OCN83HhNBHR7//s5df/P5PXp68|O7uzu//PX1pd2e8O9799P54796jg52dnbtNtro7WU3vfv/3/97rz8|e/v4nX754Tb|/LLPlkohGv55nZZN///FdoOAQOl6tymKaecS7NWIGRg"</definedName>
    <definedName name="EPMWorkbookOptions_3" hidden="1">"jF|1jHe2SQ6PQthHK0S|8OfvXtYjbLl0|LRb5sGNPhpg7LJmhDrV7PqysL46Qqq/qordf547uRLza9yqOIvNkbnb5IzNDm79pn2WVVFy3hxVMhL/e|u8X7z4q6aT0E4t93AFkshwl021Z|u6|WxS9a5zLNv//xycmXX7148/hu7OtNUITmJNT3d3bvHex6AGKzwe9|Wc/y|mjn8V35JQq9WZXZ9cu6WuV1e320e//T||f55Hz7/qez/e39vfOH2"</definedName>
    <definedName name="EPMWorkbookOptions_4" hidden="1">"wf383x7J8v39meTB/sPJvfQc/hWBPDzrGlf5yXJdz77Il9MSE1FmoVsGW1ATeR9j0zfs2T8/vh7L49fnb548|1d|vXJLslur/UA1G8XeZ3V0/m1a5qSTny0LMrPPgLjfNSRIO/dyNzd7t3Hd28a7zdKkN/roT7/X6fL47u3YShPJn4WJfjku5//XkTtry/BOzv7ZI9uL8C7/38UYKViyK/48Pd/8eWL0/|v8|vPBl2Onz///zpZ/t8kxkTbsze/"</definedName>
    <definedName name="EPMWorkbookOptions_5" hidden="1">"z9eW4nv37t/f39|/vRTvvYcUZ/nDycOH|w|3Z5PJve39|7sH25PzB9l29uns3uThvft7e|ez/1dIsRAxZNbTnd0H/19n1G|WIvfu7fx/3gJ/wxS5v7Pz/3WK/L9JmX1x9vrrOySfPtjdOTh4cHtVdu89VNn/ZxwSkDBk0i9|nrsiMYr8yAnpNLtVq0G5/fLNt09fvf7akkuhxKefknW5veju//9RdIWKIat||fNceOM0|ZH4dprdqtWw|P4k0fj"</definedName>
    <definedName name="EPMWorkbookOptions_6" hidden="1">"0|Pf/oHTAeyf07v//UoYdKTtMS1/8fJfljbT5kUx3mt2q1aBME3nfvDh99UOU50///yjPSsaQX1/|PBfkAaL8SII7zW7VakCCf|r3P/7q6dmbN6|Oz57/EIX4wQ9biNH1bWjOOH4tfvUpGbLs8c7P25W2DUT5kRx/s3J8cvzm9PMvX339HP37S/HBe0jx/0eS9I6OIbv|5L2dn89SPECU3d//zZdvjn8kxkGzW7UaFONnz7/87g9RhB||hwj/f8"</definedName>
    <definedName name="EPMWorkbookOptions_7" hidden="1">"SbFhqGnPps9|D/60z6jZLj9z998fT/6wT5f5PUvnr55uSrV0Tfkx|m/d3d|f|j9Hq0JFal/z0/|f86q36DxCB/|v/r1Ph/k|C|Ofvi9IcpsbvvIbH/n3GZQcTQwOwRXcb/v/ANv2Gq7P2IKhGqfPojqkSosvP/D6r8v0fdf3F6/PqrV6evf5gKf|89FP7/R1w0Q0ZxSF6evjr78unZ/|d9tG|QTW/RKMAm3ujx3ePVqiymWUtw7OfBp6Y5QauWS"</definedName>
    <definedName name="EPMWorkbookOptions_8" hidden="1">"0KcPnuatRl/7H/4puoO/vGr/LzOm/mXyy9X|fLoPCub/PHd8ENud1LmWQ2gXy5fZ5e5adn9mNt|t6rfTqrqLfFmy2Q0rftfhO2vZjxrruGXKxnf/wO2x0lZuDcAAA=="</definedName>
    <definedName name="EPMWorkbookOptions_9" hidden="1">"B8VV5tDdbJ6LN0Z2ggMNf+lUcYfGE9xYJpsj280PUSNahhGMG+v9A3H7hbW+ay0puDZ82zAdOID+/dbDXvvPH1u36x++bv8Fi3chIDN7AAA="</definedName>
    <definedName name="EssLatest">"Jan1998"</definedName>
    <definedName name="EV__EVCOM_OPTIONS__" hidden="1">8</definedName>
    <definedName name="EV__EXPOPTIONS__" hidden="1">0</definedName>
    <definedName name="EV__LASTREFTIME__" hidden="1">"(GMT+10:00)6/03/2013 5:08:16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V__WSINFO__" hidden="1">"sp01"</definedName>
    <definedName name="ExistingAssetsRemainingLife">25</definedName>
    <definedName name="frequency">{"Annually";"Semi-Annually";"Quarterly";"Bi-Monthly";"Monthly"}</definedName>
    <definedName name="FULLYR">15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BV_SHARE_ACT_OR_EST" hidden="1">"c3587"</definedName>
    <definedName name="IQ_BV_SHARE_EST" hidden="1">"c3541"</definedName>
    <definedName name="IQ_BV_SHARE_HIGH_EST" hidden="1">"c3542"</definedName>
    <definedName name="IQ_BV_SHARE_LOW_EST" hidden="1">"c3543"</definedName>
    <definedName name="IQ_BV_SHARE_MEDIAN_EST" hidden="1">"c3544"</definedName>
    <definedName name="IQ_BV_SHARE_NUM_EST" hidden="1">"c3539"</definedName>
    <definedName name="IQ_BV_SHARE_STDDEV_EST" hidden="1">"c3540"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ACT_OR_EST" hidden="1">"c3584"</definedName>
    <definedName name="IQ_CAPEX_BNK" hidden="1">"c110"</definedName>
    <definedName name="IQ_CAPEX_BR" hidden="1">"c111"</definedName>
    <definedName name="IQ_CAPEX_EST" hidden="1">"c3523"</definedName>
    <definedName name="IQ_CAPEX_FIN" hidden="1">"c112"</definedName>
    <definedName name="IQ_CAPEX_HIGH_EST" hidden="1">"c3524"</definedName>
    <definedName name="IQ_CAPEX_INS" hidden="1">"c113"</definedName>
    <definedName name="IQ_CAPEX_LOW_EST" hidden="1">"c3525"</definedName>
    <definedName name="IQ_CAPEX_MEDIAN_EST" hidden="1">"c3526"</definedName>
    <definedName name="IQ_CAPEX_NUM_EST" hidden="1">"c3521"</definedName>
    <definedName name="IQ_CAPEX_STDDEV_EST" hidden="1">"c3522"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SHARE" hidden="1">"c3549"</definedName>
    <definedName name="IQ_EST_ACT_CAPEX" hidden="1">"c3546"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ET_DEBT" hidden="1">"c3545"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CAPEX_GROWTH_1YR" hidden="1">"c3588"</definedName>
    <definedName name="IQ_EST_CAPEX_GROWTH_2YR" hidden="1">"c3589"</definedName>
    <definedName name="IQ_EST_CAPEX_GROWTH_Q_1YR" hidden="1">"c3590"</definedName>
    <definedName name="IQ_EST_CAPEX_SEQ_GROWTH_Q" hidden="1">"c3591"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40399.4553472222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HIGH_EST" hidden="1">"c3518"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MEDIAN_EST" hidden="1">"c3520"</definedName>
    <definedName name="IQ_NET_DEBT_NUM_EST" hidden="1">"c3515"</definedName>
    <definedName name="IQ_NET_DEBT_STDDEV_EST" hidden="1">"c3516"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FS" hidden="1">"c1116"</definedName>
    <definedName name="IQ_RETURN_ASSETS_HIGH_EST" hidden="1">"c3530"</definedName>
    <definedName name="IQ_RETURN_ASSETS_LOW_EST" hidden="1">"c3531"</definedName>
    <definedName name="IQ_RETURN_ASSETS_MEDIAN_EST" hidden="1">"c3532"</definedName>
    <definedName name="IQ_RETURN_ASSETS_NUM_EST" hidden="1">"c3527"</definedName>
    <definedName name="IQ_RETURN_ASSETS_STDDEV_EST" hidden="1">"c3528"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FS" hidden="1">"c1121"</definedName>
    <definedName name="IQ_RETURN_EQUITY_HIGH_EST" hidden="1">"c3536"</definedName>
    <definedName name="IQ_RETURN_EQUITY_LOW_EST" hidden="1">"c3537"</definedName>
    <definedName name="IQ_RETURN_EQUITY_MEDIAN_EST" hidden="1">"c3538"</definedName>
    <definedName name="IQ_RETURN_EQUITY_NUM_EST" hidden="1">"c3533"</definedName>
    <definedName name="IQ_RETURN_EQUITY_STDDEV_EST" hidden="1">"c3534"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39424.8492824074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wel">{"Client Name or Project Name"}</definedName>
    <definedName name="LACTUALS_SYTD_FBUSINESS_UNIT_VE03">"hide_r7"</definedName>
    <definedName name="limcount" hidden="1">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doLsk" hidden="1">"KJMs1AEjllIjOV118uBypWrBa5tvuxg1vw2uHToHRhHYiZyQPyiSVF+h/vR75EWe"</definedName>
    <definedName name="MdoLuin" hidden="1">"9"</definedName>
    <definedName name="MdoStgs" hidden="1">"{ACD8184F-9616-46AC-95F9-90F8FB98A194}"</definedName>
    <definedName name="MenuList1">"List Box 3"</definedName>
    <definedName name="MEWarning" hidden="1">1</definedName>
    <definedName name="nn">"V2001-09-30"</definedName>
    <definedName name="nnn">37928.5886342593</definedName>
    <definedName name="nper">term*periods_per_year</definedName>
    <definedName name="NSW_PL_Include">IF(CB_NSW_PL_Include=TRUE,1,0)</definedName>
    <definedName name="NvsASD">"V2000-09-30"</definedName>
    <definedName name="NvsAutoDrillOk">"VN"</definedName>
    <definedName name="NvsDateToNumber">"Y"</definedName>
    <definedName name="NvsElapsedTime">0.000591203701333143</definedName>
    <definedName name="NvsEndTime">36803.4376836806</definedName>
    <definedName name="NvsImportActivity">"Import Journals from nVision"</definedName>
    <definedName name="NvsInstLang">"VENG"</definedName>
    <definedName name="NvsInstSpec">"%,FACCOUNT,TACCOUNT,NALL_ACCOUNTS"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"V1999-01-01"</definedName>
    <definedName name="NvsPanelSetid">"VE01"</definedName>
    <definedName name="NvsReqBU">"VEEE0"</definedName>
    <definedName name="NvsReqBUOnly">"VN"</definedName>
    <definedName name="NvsTransLed">"VN"</definedName>
    <definedName name="NvsTreeASD">"V2000-09-30"</definedName>
    <definedName name="NvsValTbl.ACCOUNT">"GL_ACCOUNT_TBL"</definedName>
    <definedName name="NvsValTbl.ACCT">"GL_ACCOUNT_TBL"</definedName>
    <definedName name="NvsValTbl.AFFILIATE">"AFFILIATE_VW"</definedName>
    <definedName name="NvsValTbl.BUSINESS_UNIT">"BUS_UNIT_TBL_FS"</definedName>
    <definedName name="NvsValTbl.CURRENCY_CD">"CURRENCY_CD_TBL"</definedName>
    <definedName name="NvsValTbl.DEPTID">"DEPARTMENT_TBL"</definedName>
    <definedName name="NvsValTbl.PROJECT_ID">"PROJECT"</definedName>
    <definedName name="NvsValTbl.PROPOSAL_ID">"BD_PROPOSAL_ID"</definedName>
    <definedName name="NvsValTbl.SCENARIO">"BD_SCENARIO_TBL"</definedName>
    <definedName name="NvsValTbl.TU_EC">"TU_EC_TBL"</definedName>
    <definedName name="NvsValTbl.TU_LOCATION">"TU_LOC_TBL"</definedName>
    <definedName name="Pal_Workbook_GUID" hidden="1">"A779G2N4JB5RP3EY979MLNFD"</definedName>
    <definedName name="Pipelines_PL_Include">IF(CB_Pipelines_PL_Include=TRUE,1,0)</definedName>
    <definedName name="ProjectName">{"Client Name or Project Name"}</definedName>
    <definedName name="PUB_FileID" hidden="1">"N10003653.xls"</definedName>
    <definedName name="PUB_UserID" hidden="1">"QUARKS"</definedName>
    <definedName name="Reg_Cat_A__MAT">"Layout 3"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500000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dnldView" hidden="1">"DHFOWLYJRAKQNE1CYDUU88I11"</definedName>
    <definedName name="SAPBEXhrIndnt">"Wide"</definedName>
    <definedName name="SAPBEXrevision" hidden="1">18</definedName>
    <definedName name="SAPBEXsysID" hidden="1">"QB0"</definedName>
    <definedName name="SAPBEXwbID" hidden="1">"3T8NHWRNKS1G29JMHP7145OWR"</definedName>
    <definedName name="SAPFuncF4Help">Main.SAPF4Help()</definedName>
    <definedName name="SAPsysID">"708C5W7SBKP804JT78WJ0JNKI"</definedName>
    <definedName name="SAPwbID">"ARS"</definedName>
    <definedName name="sencount" hidden="1">26</definedName>
    <definedName name="solver_lin" hidden="1">0</definedName>
    <definedName name="solver_ntri" hidden="1">1000</definedName>
    <definedName name="solver_num" hidden="1">0</definedName>
    <definedName name="solver_rsmp" hidden="1">2</definedName>
    <definedName name="solver_seed" hidden="1">0</definedName>
    <definedName name="solver_typ" hidden="1">3</definedName>
    <definedName name="solver_val" hidden="1">399732</definedName>
    <definedName name="sub_name">"OpexBudgetReviewAll"</definedName>
    <definedName name="TableName">"Dummy"</definedName>
    <definedName name="TBXRCK" hidden="1">"53|11757824,1|0,52|6780672,51|4204747,49|6697881,55|7929855,11|12632256,56|16777215"</definedName>
    <definedName name="TerminalValueGrowthRate">1%</definedName>
    <definedName name="TestAdd">"Test RefersTo1"</definedName>
    <definedName name="TextRefCopyRangeCount" hidden="1">1</definedName>
    <definedName name="TM1REBUILDOPTION">1</definedName>
    <definedName name="TOOLBAR_NAME">"Auto1_Tools"</definedName>
    <definedName name="TVGR">1%</definedName>
    <definedName name="UED_PL_Include">IF(CB_UED_PL_Include=TRUE,1,0)</definedName>
    <definedName name="UNI_AA_VERSION" hidden="1">"322.1.0"</definedName>
    <definedName name="UNI_FILT_OFFSPEC" hidden="1">2</definedName>
    <definedName name="UNI_FILT_ONSPEC" hidden="1">1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s1">{"$","$'000","$M"}</definedName>
    <definedName name="valuevx">42.314159</definedName>
    <definedName name="vertex42_copyright" hidden="1">"© 2015 Vertex42 LLC"</definedName>
    <definedName name="vertex42_id" hidden="1">"waterfall-chart.xlsx"</definedName>
    <definedName name="vertex42_title" hidden="1">"Waterfall Chart Template"</definedName>
    <definedName name="VicHub_PL_Include">IF(CB_VicHub_PL_Include=TRUE,1,0)</definedName>
    <definedName name="YearStandard">365.25</definedName>
    <definedName name="YEE">16</definedName>
    <definedName name="YTD">15</definedName>
    <definedName name="YTDC">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2" l="1"/>
  <c r="J7" i="3" l="1"/>
  <c r="I7" i="3"/>
  <c r="H7" i="3"/>
  <c r="G7" i="3"/>
  <c r="F7" i="3"/>
  <c r="E7" i="3"/>
  <c r="D7" i="3"/>
  <c r="C7" i="3"/>
  <c r="J6" i="3"/>
  <c r="I6" i="3"/>
  <c r="H6" i="3"/>
  <c r="G6" i="3"/>
  <c r="F6" i="3"/>
  <c r="E6" i="3"/>
  <c r="D6" i="3"/>
  <c r="C6" i="3"/>
  <c r="I6" i="5"/>
  <c r="N6" i="5"/>
  <c r="M6" i="5"/>
  <c r="L6" i="5"/>
  <c r="K6" i="5"/>
  <c r="J6" i="5"/>
  <c r="E23" i="5" l="1"/>
  <c r="D23" i="5" s="1"/>
  <c r="P10" i="4" l="1"/>
  <c r="S5" i="2" l="1"/>
  <c r="Y10" i="4"/>
  <c r="X10" i="4"/>
  <c r="L5" i="2" l="1"/>
  <c r="L6" i="2"/>
  <c r="L7" i="2"/>
  <c r="L9" i="2" l="1"/>
  <c r="M7" i="2" s="1"/>
  <c r="L8" i="2"/>
  <c r="M5" i="2" l="1"/>
  <c r="M6" i="2"/>
  <c r="M8" i="2" s="1"/>
  <c r="Q13" i="2" l="1"/>
  <c r="M9" i="2" l="1"/>
  <c r="C37" i="2" l="1"/>
  <c r="C38" i="2"/>
  <c r="E29" i="2" l="1"/>
  <c r="Y11" i="2"/>
  <c r="Z11" i="2"/>
  <c r="AA11" i="2"/>
  <c r="AB11" i="2"/>
  <c r="Q12" i="2" l="1"/>
  <c r="R12" i="2" s="1"/>
  <c r="S12" i="2" s="1"/>
  <c r="Q14" i="2" l="1"/>
  <c r="R14" i="2" s="1"/>
  <c r="Q17" i="2"/>
  <c r="R17" i="2" s="1"/>
  <c r="Q16" i="2"/>
  <c r="R16" i="2" s="1"/>
  <c r="F39" i="2" s="1"/>
  <c r="Q15" i="2"/>
  <c r="R15" i="2" s="1"/>
  <c r="R13" i="2"/>
  <c r="Q25" i="2"/>
  <c r="R25" i="2" s="1"/>
  <c r="S25" i="2" l="1"/>
  <c r="S16" i="2"/>
  <c r="S14" i="2"/>
  <c r="S17" i="2"/>
  <c r="S13" i="2"/>
  <c r="S15" i="2"/>
  <c r="F16" i="2"/>
  <c r="T15" i="2" l="1"/>
  <c r="U15" i="2" s="1"/>
  <c r="V15" i="2" s="1"/>
  <c r="T16" i="2"/>
  <c r="U16" i="2" s="1"/>
  <c r="V16" i="2" s="1"/>
  <c r="T12" i="2"/>
  <c r="U12" i="2" s="1"/>
  <c r="V12" i="2" s="1"/>
  <c r="T13" i="2"/>
  <c r="U13" i="2" s="1"/>
  <c r="V13" i="2" s="1"/>
  <c r="T17" i="2"/>
  <c r="U17" i="2" s="1"/>
  <c r="V17" i="2" s="1"/>
  <c r="T14" i="2"/>
  <c r="U14" i="2" s="1"/>
  <c r="V14" i="2" s="1"/>
  <c r="T25" i="2"/>
  <c r="U25" i="2" s="1"/>
  <c r="V25" i="2" s="1"/>
  <c r="F29" i="2"/>
  <c r="H7" i="5" l="1"/>
  <c r="G7" i="5"/>
  <c r="F7" i="5"/>
  <c r="E7" i="5"/>
  <c r="I5" i="5"/>
  <c r="D3" i="5"/>
  <c r="E3" i="5" s="1"/>
  <c r="F3" i="5" s="1"/>
  <c r="G3" i="5" s="1"/>
  <c r="H3" i="5" s="1"/>
  <c r="I3" i="5" s="1"/>
  <c r="J3" i="5" s="1"/>
  <c r="K3" i="5" s="1"/>
  <c r="L3" i="5" s="1"/>
  <c r="M3" i="5" s="1"/>
  <c r="N3" i="5" s="1"/>
  <c r="N4" i="5" s="1"/>
  <c r="D7" i="5"/>
  <c r="J5" i="5" l="1"/>
  <c r="G29" i="2" s="1"/>
  <c r="Y14" i="2"/>
  <c r="Y17" i="2"/>
  <c r="Y16" i="2"/>
  <c r="Y12" i="2"/>
  <c r="Y25" i="2"/>
  <c r="Y15" i="2"/>
  <c r="Y13" i="2"/>
  <c r="Z15" i="2"/>
  <c r="Z14" i="2"/>
  <c r="Z17" i="2"/>
  <c r="Z16" i="2"/>
  <c r="Z25" i="2"/>
  <c r="Z13" i="2"/>
  <c r="Z12" i="2"/>
  <c r="I7" i="5"/>
  <c r="F4" i="5"/>
  <c r="G4" i="5"/>
  <c r="E4" i="5"/>
  <c r="H4" i="5"/>
  <c r="I4" i="5"/>
  <c r="J4" i="5"/>
  <c r="K4" i="5"/>
  <c r="D4" i="5"/>
  <c r="L4" i="5"/>
  <c r="M4" i="5"/>
  <c r="D20" i="2" l="1"/>
  <c r="E20" i="2" s="1"/>
  <c r="D22" i="2"/>
  <c r="E22" i="2" s="1"/>
  <c r="J7" i="5"/>
  <c r="AA14" i="2"/>
  <c r="AA25" i="2"/>
  <c r="AA12" i="2"/>
  <c r="AA15" i="2"/>
  <c r="L10" i="4"/>
  <c r="Z10" i="4" s="1"/>
  <c r="D63" i="2"/>
  <c r="E63" i="2" s="1"/>
  <c r="E9" i="4"/>
  <c r="F9" i="4" s="1"/>
  <c r="L9" i="4" s="1"/>
  <c r="V10" i="4"/>
  <c r="AA10" i="4" s="1"/>
  <c r="G63" i="2"/>
  <c r="B3" i="18" s="1"/>
  <c r="C3" i="18" s="1"/>
  <c r="D3" i="18" s="1"/>
  <c r="E3" i="18" s="1"/>
  <c r="F3" i="18" s="1"/>
  <c r="K5" i="5"/>
  <c r="AB12" i="2" s="1"/>
  <c r="G16" i="2"/>
  <c r="AA13" i="2"/>
  <c r="AA16" i="2"/>
  <c r="AA17" i="2"/>
  <c r="G40" i="2"/>
  <c r="G53" i="2"/>
  <c r="G39" i="2"/>
  <c r="O13" i="4"/>
  <c r="O8" i="4"/>
  <c r="E14" i="4"/>
  <c r="D9" i="2"/>
  <c r="E9" i="2" s="1"/>
  <c r="D8" i="2"/>
  <c r="E8" i="2" s="1"/>
  <c r="O9" i="4"/>
  <c r="D25" i="2"/>
  <c r="E25" i="2" s="1"/>
  <c r="O5" i="4"/>
  <c r="E11" i="4"/>
  <c r="E6" i="4"/>
  <c r="D51" i="2"/>
  <c r="D50" i="2"/>
  <c r="D26" i="2"/>
  <c r="E26" i="2" s="1"/>
  <c r="D47" i="2"/>
  <c r="E7" i="4"/>
  <c r="D52" i="2"/>
  <c r="E16" i="4"/>
  <c r="E19" i="4"/>
  <c r="E13" i="4"/>
  <c r="O15" i="4"/>
  <c r="D11" i="2"/>
  <c r="E11" i="2" s="1"/>
  <c r="D38" i="2"/>
  <c r="F38" i="2" s="1"/>
  <c r="E17" i="4"/>
  <c r="O6" i="4"/>
  <c r="O18" i="4"/>
  <c r="O12" i="4"/>
  <c r="D14" i="2"/>
  <c r="E14" i="2" s="1"/>
  <c r="E5" i="4"/>
  <c r="F5" i="4" s="1"/>
  <c r="P5" i="4" s="1"/>
  <c r="D6" i="2"/>
  <c r="E6" i="2" s="1"/>
  <c r="D18" i="2"/>
  <c r="E18" i="2" s="1"/>
  <c r="D41" i="2"/>
  <c r="F41" i="2" s="1"/>
  <c r="D53" i="2"/>
  <c r="O4" i="4"/>
  <c r="D23" i="2"/>
  <c r="E23" i="2" s="1"/>
  <c r="D48" i="2"/>
  <c r="D35" i="2"/>
  <c r="F35" i="2" s="1"/>
  <c r="D56" i="2"/>
  <c r="O7" i="4"/>
  <c r="E8" i="4"/>
  <c r="D7" i="2"/>
  <c r="E7" i="2" s="1"/>
  <c r="D36" i="2"/>
  <c r="F36" i="2" s="1"/>
  <c r="D15" i="2"/>
  <c r="E15" i="2" s="1"/>
  <c r="D19" i="2"/>
  <c r="E19" i="2" s="1"/>
  <c r="D58" i="2"/>
  <c r="D39" i="2"/>
  <c r="E39" i="2" s="1"/>
  <c r="D46" i="2"/>
  <c r="E15" i="4"/>
  <c r="E18" i="4"/>
  <c r="D24" i="2"/>
  <c r="E24" i="2" s="1"/>
  <c r="D49" i="2"/>
  <c r="E12" i="4"/>
  <c r="O14" i="4"/>
  <c r="O17" i="4"/>
  <c r="D21" i="2"/>
  <c r="E21" i="2" s="1"/>
  <c r="D16" i="2"/>
  <c r="E16" i="2" s="1"/>
  <c r="D10" i="2"/>
  <c r="E10" i="2" s="1"/>
  <c r="D40" i="2"/>
  <c r="E40" i="2" s="1"/>
  <c r="D55" i="2"/>
  <c r="E4" i="4"/>
  <c r="O11" i="4"/>
  <c r="D13" i="2"/>
  <c r="E13" i="2" s="1"/>
  <c r="D5" i="2"/>
  <c r="E5" i="2" s="1"/>
  <c r="D37" i="2"/>
  <c r="F37" i="2" s="1"/>
  <c r="O19" i="4"/>
  <c r="D27" i="2"/>
  <c r="E27" i="2" s="1"/>
  <c r="D12" i="2"/>
  <c r="E12" i="2" s="1"/>
  <c r="O16" i="4"/>
  <c r="AB15" i="2" l="1"/>
  <c r="AB16" i="2"/>
  <c r="AB17" i="2"/>
  <c r="AB25" i="2"/>
  <c r="K7" i="5"/>
  <c r="AB13" i="2"/>
  <c r="AB14" i="2"/>
  <c r="U11" i="4"/>
  <c r="Y11" i="4" s="1"/>
  <c r="L5" i="5"/>
  <c r="M5" i="5" s="1"/>
  <c r="E56" i="2"/>
  <c r="F56" i="2"/>
  <c r="G56" i="2" s="1"/>
  <c r="E37" i="2"/>
  <c r="G37" i="2" s="1"/>
  <c r="E38" i="2"/>
  <c r="E35" i="2"/>
  <c r="G38" i="2"/>
  <c r="G35" i="2"/>
  <c r="F50" i="2"/>
  <c r="E50" i="2"/>
  <c r="F51" i="2"/>
  <c r="E51" i="2"/>
  <c r="E36" i="2"/>
  <c r="G36" i="2" s="1"/>
  <c r="F49" i="2"/>
  <c r="E49" i="2"/>
  <c r="F48" i="2"/>
  <c r="E48" i="2"/>
  <c r="F46" i="2"/>
  <c r="E46" i="2"/>
  <c r="F55" i="2"/>
  <c r="E55" i="2"/>
  <c r="F58" i="2"/>
  <c r="E58" i="2"/>
  <c r="F52" i="2"/>
  <c r="E52" i="2"/>
  <c r="F47" i="2"/>
  <c r="E47" i="2"/>
  <c r="E41" i="2"/>
  <c r="G41" i="2" s="1"/>
  <c r="U4" i="4"/>
  <c r="Y4" i="4" s="1"/>
  <c r="P8" i="4"/>
  <c r="U8" i="4"/>
  <c r="Y8" i="4" s="1"/>
  <c r="U15" i="4"/>
  <c r="Y15" i="4" s="1"/>
  <c r="K13" i="4"/>
  <c r="X13" i="4" s="1"/>
  <c r="F13" i="4"/>
  <c r="P13" i="4" s="1"/>
  <c r="U19" i="4"/>
  <c r="Y19" i="4" s="1"/>
  <c r="U6" i="4"/>
  <c r="Y6" i="4" s="1"/>
  <c r="F8" i="4"/>
  <c r="K8" i="4"/>
  <c r="X8" i="4" s="1"/>
  <c r="K14" i="4"/>
  <c r="X14" i="4" s="1"/>
  <c r="F14" i="4"/>
  <c r="P14" i="4" s="1"/>
  <c r="K6" i="4"/>
  <c r="X6" i="4" s="1"/>
  <c r="F6" i="4"/>
  <c r="P6" i="4" s="1"/>
  <c r="Q6" i="4" s="1"/>
  <c r="F15" i="4"/>
  <c r="P15" i="4" s="1"/>
  <c r="K15" i="4"/>
  <c r="X15" i="4" s="1"/>
  <c r="F7" i="4"/>
  <c r="P7" i="4" s="1"/>
  <c r="K7" i="4"/>
  <c r="X7" i="4" s="1"/>
  <c r="K9" i="4"/>
  <c r="X9" i="4" s="1"/>
  <c r="U16" i="4"/>
  <c r="Y16" i="4" s="1"/>
  <c r="K17" i="4"/>
  <c r="X17" i="4" s="1"/>
  <c r="F17" i="4"/>
  <c r="P17" i="4" s="1"/>
  <c r="P9" i="4"/>
  <c r="U9" i="4"/>
  <c r="Y9" i="4" s="1"/>
  <c r="U7" i="4"/>
  <c r="Y7" i="4" s="1"/>
  <c r="U12" i="4"/>
  <c r="Y12" i="4" s="1"/>
  <c r="U13" i="4"/>
  <c r="Y13" i="4" s="1"/>
  <c r="K18" i="4"/>
  <c r="X18" i="4" s="1"/>
  <c r="F18" i="4"/>
  <c r="P18" i="4" s="1"/>
  <c r="K11" i="4"/>
  <c r="X11" i="4" s="1"/>
  <c r="F11" i="4"/>
  <c r="P11" i="4" s="1"/>
  <c r="F16" i="4"/>
  <c r="P16" i="4" s="1"/>
  <c r="K16" i="4"/>
  <c r="X16" i="4" s="1"/>
  <c r="U18" i="4"/>
  <c r="Y18" i="4" s="1"/>
  <c r="U5" i="4"/>
  <c r="Y5" i="4" s="1"/>
  <c r="K5" i="4"/>
  <c r="X5" i="4" s="1"/>
  <c r="U14" i="4"/>
  <c r="Y14" i="4" s="1"/>
  <c r="U17" i="4"/>
  <c r="Y17" i="4" s="1"/>
  <c r="F4" i="4"/>
  <c r="P4" i="4" s="1"/>
  <c r="V4" i="4" s="1"/>
  <c r="K4" i="4"/>
  <c r="X4" i="4" s="1"/>
  <c r="K12" i="4"/>
  <c r="X12" i="4" s="1"/>
  <c r="F12" i="4"/>
  <c r="P12" i="4" s="1"/>
  <c r="K19" i="4"/>
  <c r="X19" i="4" s="1"/>
  <c r="F19" i="4"/>
  <c r="P19" i="4" s="1"/>
  <c r="G10" i="4" l="1"/>
  <c r="M10" i="4" s="1"/>
  <c r="Q10" i="4"/>
  <c r="W10" i="4" s="1"/>
  <c r="L7" i="5"/>
  <c r="G58" i="2"/>
  <c r="G47" i="2"/>
  <c r="G50" i="2"/>
  <c r="G46" i="2"/>
  <c r="G49" i="2"/>
  <c r="G55" i="2"/>
  <c r="G51" i="2"/>
  <c r="G48" i="2"/>
  <c r="G52" i="2"/>
  <c r="G16" i="4"/>
  <c r="L16" i="4"/>
  <c r="Z16" i="4" s="1"/>
  <c r="G13" i="4"/>
  <c r="L13" i="4"/>
  <c r="Z13" i="4" s="1"/>
  <c r="Q13" i="4"/>
  <c r="V13" i="4"/>
  <c r="G7" i="4"/>
  <c r="L7" i="4"/>
  <c r="Z7" i="4" s="1"/>
  <c r="G8" i="4"/>
  <c r="L8" i="4"/>
  <c r="Z8" i="4" s="1"/>
  <c r="G11" i="4"/>
  <c r="L11" i="4"/>
  <c r="Z11" i="4" s="1"/>
  <c r="G18" i="4"/>
  <c r="L18" i="4"/>
  <c r="Z18" i="4" s="1"/>
  <c r="V14" i="4"/>
  <c r="Q14" i="4"/>
  <c r="G5" i="4"/>
  <c r="L5" i="4"/>
  <c r="Z5" i="4" s="1"/>
  <c r="L17" i="4"/>
  <c r="Z17" i="4" s="1"/>
  <c r="G17" i="4"/>
  <c r="Q19" i="4"/>
  <c r="V19" i="4"/>
  <c r="AA19" i="4" s="1"/>
  <c r="Q12" i="4"/>
  <c r="V12" i="4"/>
  <c r="G15" i="4"/>
  <c r="L15" i="4"/>
  <c r="Z15" i="4" s="1"/>
  <c r="Q15" i="4"/>
  <c r="V15" i="4"/>
  <c r="V16" i="4"/>
  <c r="Q16" i="4"/>
  <c r="G19" i="4"/>
  <c r="L19" i="4"/>
  <c r="Z19" i="4" s="1"/>
  <c r="Q5" i="4"/>
  <c r="V5" i="4"/>
  <c r="G6" i="4"/>
  <c r="L6" i="4"/>
  <c r="Z6" i="4" s="1"/>
  <c r="G4" i="4"/>
  <c r="L4" i="4"/>
  <c r="Z4" i="4" s="1"/>
  <c r="V6" i="4"/>
  <c r="G9" i="4"/>
  <c r="Z9" i="4"/>
  <c r="Q7" i="4"/>
  <c r="V7" i="4"/>
  <c r="Q8" i="4"/>
  <c r="V8" i="4"/>
  <c r="L12" i="4"/>
  <c r="Z12" i="4" s="1"/>
  <c r="G12" i="4"/>
  <c r="Q18" i="4"/>
  <c r="V18" i="4"/>
  <c r="G14" i="4"/>
  <c r="L14" i="4"/>
  <c r="Z14" i="4" s="1"/>
  <c r="V17" i="4"/>
  <c r="Q17" i="4"/>
  <c r="Q11" i="4"/>
  <c r="V11" i="4"/>
  <c r="Q9" i="4"/>
  <c r="V9" i="4"/>
  <c r="Q4" i="4"/>
  <c r="N5" i="5"/>
  <c r="N7" i="5" s="1"/>
  <c r="M7" i="5"/>
  <c r="R10" i="4" l="1"/>
  <c r="S10" i="4" s="1"/>
  <c r="T10" i="4" s="1"/>
  <c r="H10" i="4"/>
  <c r="I10" i="4" s="1"/>
  <c r="J10" i="4" s="1"/>
  <c r="H14" i="4"/>
  <c r="I14" i="4" s="1"/>
  <c r="J14" i="4" s="1"/>
  <c r="M14" i="4"/>
  <c r="R19" i="4"/>
  <c r="S19" i="4" s="1"/>
  <c r="T19" i="4" s="1"/>
  <c r="W19" i="4"/>
  <c r="H7" i="4"/>
  <c r="I7" i="4" s="1"/>
  <c r="J7" i="4" s="1"/>
  <c r="M7" i="4"/>
  <c r="R15" i="4"/>
  <c r="S15" i="4" s="1"/>
  <c r="T15" i="4" s="1"/>
  <c r="W15" i="4"/>
  <c r="H12" i="4"/>
  <c r="I12" i="4" s="1"/>
  <c r="J12" i="4" s="1"/>
  <c r="M12" i="4"/>
  <c r="H17" i="4"/>
  <c r="I17" i="4" s="1"/>
  <c r="J17" i="4" s="1"/>
  <c r="M17" i="4"/>
  <c r="H9" i="4"/>
  <c r="I9" i="4" s="1"/>
  <c r="J9" i="4" s="1"/>
  <c r="M9" i="4"/>
  <c r="H11" i="4"/>
  <c r="I11" i="4" s="1"/>
  <c r="J11" i="4" s="1"/>
  <c r="M11" i="4"/>
  <c r="R12" i="4"/>
  <c r="S12" i="4" s="1"/>
  <c r="T12" i="4" s="1"/>
  <c r="W12" i="4"/>
  <c r="R18" i="4"/>
  <c r="S18" i="4" s="1"/>
  <c r="T18" i="4" s="1"/>
  <c r="W18" i="4"/>
  <c r="R5" i="4"/>
  <c r="S5" i="4" s="1"/>
  <c r="T5" i="4" s="1"/>
  <c r="W5" i="4"/>
  <c r="R13" i="4"/>
  <c r="S13" i="4" s="1"/>
  <c r="T13" i="4" s="1"/>
  <c r="W13" i="4"/>
  <c r="R11" i="4"/>
  <c r="S11" i="4" s="1"/>
  <c r="T11" i="4" s="1"/>
  <c r="W11" i="4"/>
  <c r="R17" i="4"/>
  <c r="S17" i="4" s="1"/>
  <c r="T17" i="4" s="1"/>
  <c r="W17" i="4"/>
  <c r="H15" i="4"/>
  <c r="I15" i="4" s="1"/>
  <c r="J15" i="4" s="1"/>
  <c r="M15" i="4"/>
  <c r="H8" i="4"/>
  <c r="I8" i="4" s="1"/>
  <c r="J8" i="4" s="1"/>
  <c r="M8" i="4"/>
  <c r="H6" i="4"/>
  <c r="I6" i="4" s="1"/>
  <c r="J6" i="4" s="1"/>
  <c r="M6" i="4"/>
  <c r="R8" i="4"/>
  <c r="S8" i="4" s="1"/>
  <c r="T8" i="4" s="1"/>
  <c r="W8" i="4"/>
  <c r="H19" i="4"/>
  <c r="I19" i="4" s="1"/>
  <c r="J19" i="4" s="1"/>
  <c r="M19" i="4"/>
  <c r="H5" i="4"/>
  <c r="I5" i="4" s="1"/>
  <c r="J5" i="4" s="1"/>
  <c r="M5" i="4"/>
  <c r="H13" i="4"/>
  <c r="I13" i="4" s="1"/>
  <c r="J13" i="4" s="1"/>
  <c r="M13" i="4"/>
  <c r="H18" i="4"/>
  <c r="I18" i="4" s="1"/>
  <c r="J18" i="4" s="1"/>
  <c r="M18" i="4"/>
  <c r="H4" i="4"/>
  <c r="I4" i="4" s="1"/>
  <c r="J4" i="4" s="1"/>
  <c r="M4" i="4"/>
  <c r="R16" i="4"/>
  <c r="S16" i="4" s="1"/>
  <c r="T16" i="4" s="1"/>
  <c r="W16" i="4"/>
  <c r="R14" i="4"/>
  <c r="S14" i="4" s="1"/>
  <c r="T14" i="4" s="1"/>
  <c r="W14" i="4"/>
  <c r="R6" i="4"/>
  <c r="S6" i="4" s="1"/>
  <c r="T6" i="4" s="1"/>
  <c r="W6" i="4"/>
  <c r="R4" i="4"/>
  <c r="S4" i="4" s="1"/>
  <c r="T4" i="4" s="1"/>
  <c r="W4" i="4"/>
  <c r="R9" i="4"/>
  <c r="S9" i="4" s="1"/>
  <c r="T9" i="4" s="1"/>
  <c r="W9" i="4"/>
  <c r="R7" i="4"/>
  <c r="S7" i="4" s="1"/>
  <c r="T7" i="4" s="1"/>
  <c r="W7" i="4"/>
  <c r="H16" i="4"/>
  <c r="I16" i="4" s="1"/>
  <c r="J16" i="4" s="1"/>
  <c r="M16" i="4"/>
  <c r="AA5" i="4"/>
  <c r="AA6" i="4"/>
  <c r="AA13" i="4"/>
  <c r="AA14" i="4"/>
  <c r="AA15" i="4"/>
  <c r="AA16" i="4"/>
  <c r="AA17" i="4"/>
  <c r="AA18" i="4"/>
  <c r="AA9" i="4"/>
  <c r="F15" i="2"/>
  <c r="G15" i="2" s="1"/>
  <c r="AA8" i="4" l="1"/>
  <c r="AA11" i="4"/>
  <c r="AA4" i="4"/>
  <c r="AA7" i="4"/>
  <c r="AA12" i="4" l="1"/>
  <c r="Q19" i="2" l="1"/>
  <c r="Y19" i="2"/>
  <c r="Q20" i="2"/>
  <c r="Y20" i="2"/>
  <c r="Q23" i="2"/>
  <c r="Y23" i="2"/>
  <c r="Q24" i="2"/>
  <c r="Y24" i="2"/>
  <c r="Q22" i="2"/>
  <c r="Y22" i="2"/>
  <c r="Q21" i="2" l="1"/>
  <c r="Y21" i="2"/>
  <c r="R23" i="2"/>
  <c r="Z23" i="2"/>
  <c r="R22" i="2"/>
  <c r="F11" i="2" s="1"/>
  <c r="Z22" i="2"/>
  <c r="R24" i="2"/>
  <c r="Z24" i="2"/>
  <c r="R20" i="2"/>
  <c r="F9" i="2" s="1"/>
  <c r="F22" i="2" s="1"/>
  <c r="Z20" i="2"/>
  <c r="R19" i="2"/>
  <c r="F5" i="2" s="1"/>
  <c r="Z19" i="2"/>
  <c r="F23" i="2" l="1"/>
  <c r="G23" i="2" s="1"/>
  <c r="G9" i="2"/>
  <c r="G22" i="2" s="1"/>
  <c r="S20" i="2"/>
  <c r="AA20" i="2"/>
  <c r="S24" i="2"/>
  <c r="AA24" i="2"/>
  <c r="S19" i="2"/>
  <c r="AA19" i="2"/>
  <c r="S22" i="2"/>
  <c r="AA22" i="2"/>
  <c r="S23" i="2"/>
  <c r="AA23" i="2"/>
  <c r="R21" i="2"/>
  <c r="F7" i="2" s="1"/>
  <c r="Z21" i="2"/>
  <c r="G11" i="2"/>
  <c r="F10" i="2"/>
  <c r="F24" i="2" s="1"/>
  <c r="G24" i="2" s="1"/>
  <c r="F8" i="2"/>
  <c r="F14" i="2"/>
  <c r="G14" i="2" s="1"/>
  <c r="G5" i="2"/>
  <c r="F12" i="2"/>
  <c r="F13" i="2"/>
  <c r="G13" i="2" s="1"/>
  <c r="F20" i="2" l="1"/>
  <c r="G20" i="2" s="1"/>
  <c r="G8" i="2"/>
  <c r="F21" i="2"/>
  <c r="T23" i="2"/>
  <c r="U23" i="2" s="1"/>
  <c r="V23" i="2" s="1"/>
  <c r="AB23" i="2"/>
  <c r="T19" i="2"/>
  <c r="U19" i="2" s="1"/>
  <c r="V19" i="2" s="1"/>
  <c r="AB19" i="2"/>
  <c r="S21" i="2"/>
  <c r="AA21" i="2"/>
  <c r="T22" i="2"/>
  <c r="U22" i="2" s="1"/>
  <c r="V22" i="2" s="1"/>
  <c r="AB22" i="2"/>
  <c r="F6" i="2"/>
  <c r="G6" i="2" s="1"/>
  <c r="T24" i="2"/>
  <c r="U24" i="2" s="1"/>
  <c r="V24" i="2" s="1"/>
  <c r="AB24" i="2"/>
  <c r="T20" i="2"/>
  <c r="U20" i="2" s="1"/>
  <c r="V20" i="2" s="1"/>
  <c r="AB20" i="2"/>
  <c r="G10" i="2"/>
  <c r="G7" i="2"/>
  <c r="F25" i="2"/>
  <c r="G25" i="2" s="1"/>
  <c r="G12" i="2"/>
  <c r="F18" i="2"/>
  <c r="F27" i="2"/>
  <c r="F26" i="2"/>
  <c r="F19" i="2" l="1"/>
  <c r="G19" i="2" s="1"/>
  <c r="T21" i="2"/>
  <c r="U21" i="2" s="1"/>
  <c r="V21" i="2" s="1"/>
  <c r="AB21" i="2"/>
  <c r="G18" i="2"/>
  <c r="G27" i="2"/>
  <c r="G26" i="2"/>
  <c r="G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Q8" authorId="0" shapeId="0" xr:uid="{7EB9A323-E174-47DE-9259-F5050FFE2329}">
      <text>
        <r>
          <rPr>
            <b/>
            <sz val="9"/>
            <color indexed="81"/>
            <rFont val="Tahoma"/>
            <family val="2"/>
          </rPr>
          <t>ASD:</t>
        </r>
        <r>
          <rPr>
            <sz val="9"/>
            <color indexed="81"/>
            <rFont val="Tahoma"/>
            <family val="2"/>
          </rPr>
          <t xml:space="preserve">
CPI only</t>
        </r>
      </text>
    </comment>
    <comment ref="R8" authorId="0" shapeId="0" xr:uid="{57797207-9D21-4814-A9CC-35D4FF7D924E}">
      <text>
        <r>
          <rPr>
            <b/>
            <sz val="9"/>
            <color indexed="81"/>
            <rFont val="Tahoma"/>
            <family val="2"/>
          </rPr>
          <t>ASD:</t>
        </r>
        <r>
          <rPr>
            <sz val="9"/>
            <color indexed="81"/>
            <rFont val="Tahoma"/>
            <family val="2"/>
          </rPr>
          <t xml:space="preserve">
CPI only</t>
        </r>
      </text>
    </comment>
    <comment ref="S8" authorId="0" shapeId="0" xr:uid="{498DF0C1-CFDA-4D74-8189-6FFA8F3CE5A1}">
      <text>
        <r>
          <rPr>
            <b/>
            <sz val="9"/>
            <color indexed="81"/>
            <rFont val="Tahoma"/>
            <family val="2"/>
          </rPr>
          <t>ASD:</t>
        </r>
        <r>
          <rPr>
            <sz val="9"/>
            <color indexed="81"/>
            <rFont val="Tahoma"/>
            <family val="2"/>
          </rPr>
          <t xml:space="preserve">
CPI only</t>
        </r>
      </text>
    </comment>
    <comment ref="J30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AER:
</t>
        </r>
        <r>
          <rPr>
            <sz val="9"/>
            <color indexed="81"/>
            <rFont val="Tahoma"/>
            <family val="2"/>
          </rPr>
          <t xml:space="preserve">Updated analysis from AusNet Services.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10" authorId="0" shapeId="0" xr:uid="{9B8789C1-852D-4B09-A902-C32769040B52}">
      <text>
        <r>
          <rPr>
            <b/>
            <sz val="9"/>
            <color indexed="81"/>
            <rFont val="Tahoma"/>
            <family val="2"/>
          </rPr>
          <t>ASD:</t>
        </r>
        <r>
          <rPr>
            <sz val="9"/>
            <color indexed="81"/>
            <rFont val="Tahoma"/>
            <family val="2"/>
          </rPr>
          <t xml:space="preserve">
Based on average activity rates from SAP for admin work types with indirect costs and network overheads applied.</t>
        </r>
      </text>
    </comment>
  </commentList>
</comments>
</file>

<file path=xl/sharedStrings.xml><?xml version="1.0" encoding="utf-8"?>
<sst xmlns="http://schemas.openxmlformats.org/spreadsheetml/2006/main" count="246" uniqueCount="141">
  <si>
    <t>Applies to year</t>
  </si>
  <si>
    <t>CPI movement - 8 Capital Cities</t>
  </si>
  <si>
    <t>Labour Escalation</t>
  </si>
  <si>
    <t>Labour category</t>
  </si>
  <si>
    <t>Service description</t>
  </si>
  <si>
    <t>Construction Overhead Install</t>
  </si>
  <si>
    <t>Construction Underground Install</t>
  </si>
  <si>
    <t>Construction Substation Install</t>
  </si>
  <si>
    <t>Electrical Tester Including Vehicle &amp; Equipment</t>
  </si>
  <si>
    <t>Planner Including Vehicle</t>
  </si>
  <si>
    <t>Supervisor Including Vehicle</t>
  </si>
  <si>
    <t>Design</t>
  </si>
  <si>
    <t>Drafting</t>
  </si>
  <si>
    <t>Survey</t>
  </si>
  <si>
    <t>Tech Officer</t>
  </si>
  <si>
    <t>Line Inspector</t>
  </si>
  <si>
    <t>Contract Supervision</t>
  </si>
  <si>
    <t>Protection Engineer</t>
  </si>
  <si>
    <t>Reconnect Supply after a Fault</t>
  </si>
  <si>
    <t>Wasted Visit</t>
  </si>
  <si>
    <t>Maintenance Planner Including Vehicle</t>
  </si>
  <si>
    <t>Region</t>
  </si>
  <si>
    <t>No. Customers</t>
  </si>
  <si>
    <t>% Cust</t>
  </si>
  <si>
    <t>Central</t>
  </si>
  <si>
    <t>North</t>
  </si>
  <si>
    <t>East</t>
  </si>
  <si>
    <t>North And East</t>
  </si>
  <si>
    <t>Total Network</t>
  </si>
  <si>
    <t>Appointment - Disconnect / Reconnect</t>
  </si>
  <si>
    <t>After Hours Fuse Insertion</t>
  </si>
  <si>
    <t>Overhead New Connection, Single Phase</t>
  </si>
  <si>
    <t>Overhead New Connection, Multi Phase</t>
  </si>
  <si>
    <t>Underground New Connection, Single Phase</t>
  </si>
  <si>
    <t>Underground New Connection, Multi Phase</t>
  </si>
  <si>
    <t>Install 95mm LVABC Overhead Service.</t>
  </si>
  <si>
    <t>New Connection Single/Multi Phase – Meter Only</t>
  </si>
  <si>
    <t>Nominal</t>
  </si>
  <si>
    <t>Install Termination Device - contestable meter unavailable at time of connection - additional charge</t>
  </si>
  <si>
    <t>Appointment</t>
  </si>
  <si>
    <t>NA</t>
  </si>
  <si>
    <t>Connection service</t>
  </si>
  <si>
    <t>Service truck - Disconnect / Reconnect at pole or pit – After Hours</t>
  </si>
  <si>
    <t>Wasted Truck Visit – customer not ready for their requested works</t>
  </si>
  <si>
    <t>Stub Period Fees</t>
  </si>
  <si>
    <t>Senior Engineer</t>
  </si>
  <si>
    <t>Priority order handling charge</t>
  </si>
  <si>
    <t>Security Lighting</t>
  </si>
  <si>
    <t>MV-80 Central price</t>
  </si>
  <si>
    <t>Security lighting fee per light per year</t>
  </si>
  <si>
    <t>2025-26</t>
  </si>
  <si>
    <t>2026-27</t>
  </si>
  <si>
    <t>2027-28</t>
  </si>
  <si>
    <t>2028-29</t>
  </si>
  <si>
    <t>2029-30</t>
  </si>
  <si>
    <t>2030-31</t>
  </si>
  <si>
    <t>Year</t>
  </si>
  <si>
    <t xml:space="preserve">All groups CPI </t>
  </si>
  <si>
    <t>Date</t>
  </si>
  <si>
    <t>Fcast Inflation %</t>
  </si>
  <si>
    <t>Between Hours | Nominal</t>
  </si>
  <si>
    <t>After Hours | Nominal</t>
  </si>
  <si>
    <t>Labour - wages</t>
  </si>
  <si>
    <t>Labour - design</t>
  </si>
  <si>
    <t>After Hours Appointment</t>
  </si>
  <si>
    <t>20230-31</t>
  </si>
  <si>
    <t>2024-25</t>
  </si>
  <si>
    <t>Regional average with overhead and other costs</t>
  </si>
  <si>
    <t>NA - quoted service</t>
  </si>
  <si>
    <t>Priority escalations for 3.7% of jobs</t>
  </si>
  <si>
    <t>Pre Approval of PV and small generator installation 4.6kW to 15kW</t>
  </si>
  <si>
    <t>Manual assessment of PV &amp; small generator installation enquiry, up to 30kW.</t>
  </si>
  <si>
    <t>Between Hours | Real 2025-26</t>
  </si>
  <si>
    <t>After Hours | Real 2025-26</t>
  </si>
  <si>
    <t>2025-26 $/hour rate - BH</t>
  </si>
  <si>
    <t>2025-26 $/hour rate - AH</t>
  </si>
  <si>
    <t>2026-27 $/hour rate - BH</t>
  </si>
  <si>
    <t>2026-27 $/hour rate - AH</t>
  </si>
  <si>
    <t>Single-phase overhead - business hours</t>
  </si>
  <si>
    <t>Single-phase underground - business hours</t>
  </si>
  <si>
    <t>Single-phase underground with a directly connected meter on group metering panel - business hours</t>
  </si>
  <si>
    <t>Multi-phase overhead with a directly connected meter - business hours</t>
  </si>
  <si>
    <t>Multi-phase overhead with a CT connected meter - business hours</t>
  </si>
  <si>
    <t>Multi-phase underground with a directly connected meter - business hours</t>
  </si>
  <si>
    <t>Multi-phase underground with a directly connected meter on group metering panel - business hours</t>
  </si>
  <si>
    <t>Multi-phase underground with a CT connected meter - business hours</t>
  </si>
  <si>
    <t>95mm2 overhead service from LVABC - business hours</t>
  </si>
  <si>
    <t>Establish temporary supply connection - business hours</t>
  </si>
  <si>
    <t>Appointment - inspection of group or CT metering prior to connection - business hours</t>
  </si>
  <si>
    <t>Service truck - Disconnect/Reconnect at pole or pit - business hours</t>
  </si>
  <si>
    <t>Single-phase overhead - after hours</t>
  </si>
  <si>
    <t>Single-phase underground - after hours</t>
  </si>
  <si>
    <t>Multi-phase overhead with a directly connected meter - after hours</t>
  </si>
  <si>
    <t>Multi-phase overhead with a CT connected meter - after hours</t>
  </si>
  <si>
    <t>Multi-phase underground with a directly connected meter - after hours</t>
  </si>
  <si>
    <t>Multi-phase underground with a CT connected meter - after hours</t>
  </si>
  <si>
    <t>95mm2 overhead service from LVABC - after hours</t>
  </si>
  <si>
    <t>Establish temporary supply connection - after hours</t>
  </si>
  <si>
    <t>Meter equipment test (Single Phase)</t>
  </si>
  <si>
    <t>Meter equipment test (Single Phase) Each Additional Meter at same site</t>
  </si>
  <si>
    <t>Meter equipment test (Multi Phase)</t>
  </si>
  <si>
    <t>Meter equipment test (Multi Phase) Each Additional Meter at same site</t>
  </si>
  <si>
    <t>Real 2025-26</t>
  </si>
  <si>
    <t>Remote special meter read</t>
  </si>
  <si>
    <t>Remote re-energisation</t>
  </si>
  <si>
    <t>Remote de-energisation</t>
  </si>
  <si>
    <t>Remote meter re-configuration</t>
  </si>
  <si>
    <t>Field officer visit - business hours</t>
  </si>
  <si>
    <t>Manual meter reading</t>
  </si>
  <si>
    <t>Priority re-energisation</t>
  </si>
  <si>
    <t>Non-standard AMI data subscription (per month)</t>
  </si>
  <si>
    <t>Type 7 metering services - Per NMI</t>
  </si>
  <si>
    <t>Type 7 metering services - Per light</t>
  </si>
  <si>
    <t>Field officer visit - after hours</t>
  </si>
  <si>
    <t>Forecast real price escalation</t>
  </si>
  <si>
    <t>Metering ancillary services</t>
  </si>
  <si>
    <t>Network ancillary services</t>
  </si>
  <si>
    <t xml:space="preserve">This rate reflects the additional cost that our tender contracted vender charges us to prioritise work. </t>
  </si>
  <si>
    <t>Margin and tax allowance on margin</t>
  </si>
  <si>
    <t>Administrative Officer</t>
  </si>
  <si>
    <t>Zinfra Unit Rates</t>
  </si>
  <si>
    <t>2023-24</t>
  </si>
  <si>
    <t>2027–28</t>
  </si>
  <si>
    <t>2028–29</t>
  </si>
  <si>
    <t>2029–30</t>
  </si>
  <si>
    <t>2030–31</t>
  </si>
  <si>
    <t>2022-23</t>
  </si>
  <si>
    <t>Contractor Management Overheads</t>
  </si>
  <si>
    <t>Network overheard for new services workcode 1020</t>
  </si>
  <si>
    <t>AST corporate overhead</t>
  </si>
  <si>
    <t>Network overhead as %</t>
  </si>
  <si>
    <t>2020-21</t>
  </si>
  <si>
    <t>2021-22</t>
  </si>
  <si>
    <t>CPI year on year change (%) - lagged one year (actual/estimate)</t>
  </si>
  <si>
    <t>June 2026 estimate</t>
  </si>
  <si>
    <t xml:space="preserve">Cumulative Inflation Index </t>
  </si>
  <si>
    <t>Index: Nominal June to Real 2026 June</t>
  </si>
  <si>
    <t>Index: Nominal June to Real 2024 June</t>
  </si>
  <si>
    <t>Multi-phase underground with a directly connected meter on group metering panel - after hours</t>
  </si>
  <si>
    <t>Single-phase underground with a directly connected meter on group metering panel - after hours</t>
  </si>
  <si>
    <t>Escalation rate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</si>
</sst>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"/>
    <numFmt numFmtId="168" formatCode="0.0000"/>
    <numFmt numFmtId="169" formatCode="_(#,##0.00_);\(#,##0.00\);_(&quot;&quot;\-&quot;&quot;_);_)@_)"/>
    <numFmt numFmtId="170" formatCode="_(#,##0.00%_);\(#,##0.00%\);_(&quot;&quot;\-&quot;&quot;_);_)@_)"/>
    <numFmt numFmtId="171" formatCode="0.0%"/>
    <numFmt numFmtId="172" formatCode="_(#,##0_);\(#,##0\);_(&quot;&quot;\-&quot;&quot;_);_)@_)"/>
    <numFmt numFmtId="173" formatCode="_(#,##0.00%_);[Red]_(\-#,##0.00%_);_(&quot;-&quot;_)"/>
    <numFmt numFmtId="174" formatCode="#,##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rgb="FF000000"/>
      <name val="Verdana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  <font>
      <b/>
      <sz val="11"/>
      <color rgb="FFFFFFFF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name val="Calibri"/>
      <family val="2"/>
      <scheme val="minor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9"/>
      <color theme="1"/>
      <name val="Century Gothic"/>
      <family val="2"/>
    </font>
    <font>
      <b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rgb="FF188C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188CCC"/>
      </left>
      <right style="medium">
        <color rgb="FF188CCC"/>
      </right>
      <top style="medium">
        <color rgb="FF188CCC"/>
      </top>
      <bottom style="medium">
        <color rgb="FF188CCC"/>
      </bottom>
      <diagonal/>
    </border>
    <border>
      <left/>
      <right style="medium">
        <color rgb="FF188CCC"/>
      </right>
      <top style="medium">
        <color rgb="FF188CCC"/>
      </top>
      <bottom style="medium">
        <color rgb="FF188CCC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10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2" borderId="0" applyNumberFormat="0" applyBorder="0" applyAlignment="0" applyProtection="0"/>
    <xf numFmtId="165" fontId="1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4" fillId="5" borderId="5">
      <alignment horizontal="right" vertical="center" wrapText="1" indent="1"/>
    </xf>
    <xf numFmtId="0" fontId="7" fillId="0" borderId="0"/>
    <xf numFmtId="43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74">
    <xf numFmtId="0" fontId="0" fillId="0" borderId="0" xfId="0"/>
    <xf numFmtId="10" fontId="4" fillId="0" borderId="0" xfId="1" applyNumberFormat="1" applyFont="1"/>
    <xf numFmtId="0" fontId="4" fillId="0" borderId="0" xfId="0" applyFont="1"/>
    <xf numFmtId="0" fontId="5" fillId="0" borderId="0" xfId="0" applyFont="1" applyAlignment="1">
      <alignment vertical="center"/>
    </xf>
    <xf numFmtId="165" fontId="0" fillId="0" borderId="0" xfId="0" applyNumberFormat="1"/>
    <xf numFmtId="0" fontId="11" fillId="3" borderId="6" xfId="0" applyFont="1" applyFill="1" applyBorder="1" applyAlignment="1">
      <alignment horizontal="center" vertical="center" wrapText="1"/>
    </xf>
    <xf numFmtId="0" fontId="2" fillId="0" borderId="0" xfId="0" applyFont="1"/>
    <xf numFmtId="164" fontId="0" fillId="0" borderId="0" xfId="0" applyNumberFormat="1"/>
    <xf numFmtId="164" fontId="15" fillId="0" borderId="10" xfId="0" applyNumberFormat="1" applyFont="1" applyBorder="1" applyAlignment="1">
      <alignment horizontal="right" vertical="center" wrapText="1"/>
    </xf>
    <xf numFmtId="164" fontId="15" fillId="0" borderId="1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4" fillId="6" borderId="0" xfId="0" applyFont="1" applyFill="1"/>
    <xf numFmtId="17" fontId="2" fillId="0" borderId="0" xfId="0" applyNumberFormat="1" applyFont="1" applyAlignment="1">
      <alignment horizontal="center"/>
    </xf>
    <xf numFmtId="170" fontId="0" fillId="7" borderId="0" xfId="0" applyNumberFormat="1" applyFill="1"/>
    <xf numFmtId="167" fontId="1" fillId="7" borderId="0" xfId="103" applyNumberFormat="1" applyFill="1"/>
    <xf numFmtId="167" fontId="1" fillId="0" borderId="0" xfId="103" applyNumberFormat="1"/>
    <xf numFmtId="10" fontId="0" fillId="0" borderId="0" xfId="1" applyNumberFormat="1" applyFont="1" applyFill="1" applyBorder="1"/>
    <xf numFmtId="10" fontId="0" fillId="7" borderId="0" xfId="1" applyNumberFormat="1" applyFont="1" applyFill="1" applyBorder="1"/>
    <xf numFmtId="17" fontId="2" fillId="7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justify" vertical="center"/>
    </xf>
    <xf numFmtId="0" fontId="11" fillId="3" borderId="7" xfId="0" applyFont="1" applyFill="1" applyBorder="1" applyAlignment="1">
      <alignment horizontal="centerContinuous" vertical="center"/>
    </xf>
    <xf numFmtId="0" fontId="11" fillId="3" borderId="12" xfId="0" applyFont="1" applyFill="1" applyBorder="1" applyAlignment="1">
      <alignment horizontal="centerContinuous" vertical="center"/>
    </xf>
    <xf numFmtId="0" fontId="11" fillId="3" borderId="8" xfId="0" applyFont="1" applyFill="1" applyBorder="1" applyAlignment="1">
      <alignment horizontal="centerContinuous" vertical="center"/>
    </xf>
    <xf numFmtId="0" fontId="18" fillId="0" borderId="0" xfId="0" applyFont="1" applyAlignment="1">
      <alignment vertical="center" wrapText="1"/>
    </xf>
    <xf numFmtId="169" fontId="13" fillId="0" borderId="0" xfId="0" applyNumberFormat="1" applyFont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7" fontId="18" fillId="0" borderId="12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169" fontId="13" fillId="7" borderId="9" xfId="0" applyNumberFormat="1" applyFont="1" applyFill="1" applyBorder="1" applyAlignment="1">
      <alignment horizontal="center" vertical="center" wrapText="1"/>
    </xf>
    <xf numFmtId="169" fontId="13" fillId="0" borderId="2" xfId="0" applyNumberFormat="1" applyFont="1" applyBorder="1" applyAlignment="1">
      <alignment horizontal="center" vertical="center" wrapText="1"/>
    </xf>
    <xf numFmtId="169" fontId="13" fillId="0" borderId="3" xfId="0" applyNumberFormat="1" applyFont="1" applyBorder="1" applyAlignment="1">
      <alignment horizontal="center" vertical="center" wrapText="1"/>
    </xf>
    <xf numFmtId="169" fontId="13" fillId="7" borderId="13" xfId="0" applyNumberFormat="1" applyFont="1" applyFill="1" applyBorder="1" applyAlignment="1">
      <alignment horizontal="center" vertical="center" wrapText="1"/>
    </xf>
    <xf numFmtId="169" fontId="13" fillId="0" borderId="4" xfId="0" applyNumberFormat="1" applyFont="1" applyBorder="1" applyAlignment="1">
      <alignment horizontal="center" vertical="center" wrapText="1"/>
    </xf>
    <xf numFmtId="169" fontId="13" fillId="0" borderId="9" xfId="0" applyNumberFormat="1" applyFont="1" applyBorder="1" applyAlignment="1">
      <alignment horizontal="center" vertical="center" wrapText="1"/>
    </xf>
    <xf numFmtId="169" fontId="13" fillId="0" borderId="13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169" fontId="13" fillId="7" borderId="2" xfId="0" applyNumberFormat="1" applyFont="1" applyFill="1" applyBorder="1" applyAlignment="1">
      <alignment horizontal="center" vertical="center" wrapText="1"/>
    </xf>
    <xf numFmtId="169" fontId="13" fillId="7" borderId="0" xfId="0" applyNumberFormat="1" applyFont="1" applyFill="1" applyAlignment="1">
      <alignment horizontal="center" vertical="center" wrapText="1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69" fontId="12" fillId="7" borderId="1" xfId="0" applyNumberFormat="1" applyFont="1" applyFill="1" applyBorder="1" applyAlignment="1">
      <alignment horizontal="center" vertical="center"/>
    </xf>
    <xf numFmtId="169" fontId="12" fillId="0" borderId="1" xfId="0" applyNumberFormat="1" applyFont="1" applyBorder="1" applyAlignment="1">
      <alignment horizontal="center" vertical="center"/>
    </xf>
    <xf numFmtId="169" fontId="10" fillId="7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vertical="center"/>
    </xf>
    <xf numFmtId="169" fontId="12" fillId="8" borderId="1" xfId="0" applyNumberFormat="1" applyFont="1" applyFill="1" applyBorder="1" applyAlignment="1">
      <alignment horizontal="center" vertical="center"/>
    </xf>
    <xf numFmtId="169" fontId="12" fillId="9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9" fontId="12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" fontId="11" fillId="3" borderId="1" xfId="0" applyNumberFormat="1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Continuous" vertical="center"/>
    </xf>
    <xf numFmtId="0" fontId="11" fillId="3" borderId="1" xfId="0" applyFont="1" applyFill="1" applyBorder="1" applyAlignment="1">
      <alignment horizontal="centerContinuous" vertical="center"/>
    </xf>
    <xf numFmtId="169" fontId="10" fillId="4" borderId="1" xfId="0" applyNumberFormat="1" applyFont="1" applyFill="1" applyBorder="1" applyAlignment="1">
      <alignment horizontal="center" vertical="center" wrapText="1"/>
    </xf>
    <xf numFmtId="169" fontId="12" fillId="0" borderId="1" xfId="0" applyNumberFormat="1" applyFont="1" applyBorder="1" applyAlignment="1">
      <alignment horizontal="center" vertical="center" wrapText="1"/>
    </xf>
    <xf numFmtId="172" fontId="12" fillId="0" borderId="1" xfId="0" applyNumberFormat="1" applyFont="1" applyBorder="1" applyAlignment="1">
      <alignment horizontal="center" vertical="center" wrapText="1"/>
    </xf>
    <xf numFmtId="3" fontId="20" fillId="0" borderId="0" xfId="0" applyNumberFormat="1" applyFont="1"/>
    <xf numFmtId="169" fontId="10" fillId="0" borderId="1" xfId="0" applyNumberFormat="1" applyFont="1" applyBorder="1" applyAlignment="1">
      <alignment horizontal="center" vertical="center"/>
    </xf>
    <xf numFmtId="172" fontId="10" fillId="0" borderId="1" xfId="0" applyNumberFormat="1" applyFont="1" applyBorder="1" applyAlignment="1">
      <alignment horizontal="center" vertical="center" wrapText="1"/>
    </xf>
    <xf numFmtId="10" fontId="4" fillId="0" borderId="0" xfId="0" applyNumberFormat="1" applyFont="1"/>
    <xf numFmtId="0" fontId="21" fillId="10" borderId="16" xfId="0" applyFont="1" applyFill="1" applyBorder="1" applyAlignment="1">
      <alignment horizontal="center" vertical="center"/>
    </xf>
    <xf numFmtId="173" fontId="7" fillId="11" borderId="14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74" fontId="7" fillId="11" borderId="17" xfId="106" quotePrefix="1" applyNumberFormat="1" applyFont="1" applyFill="1" applyBorder="1" applyAlignment="1">
      <alignment horizontal="center" vertical="center"/>
    </xf>
    <xf numFmtId="168" fontId="0" fillId="12" borderId="0" xfId="0" applyNumberFormat="1" applyFill="1"/>
    <xf numFmtId="171" fontId="10" fillId="0" borderId="1" xfId="0" applyNumberFormat="1" applyFont="1" applyBorder="1" applyAlignment="1">
      <alignment horizontal="center" vertical="center" wrapText="1"/>
    </xf>
    <xf numFmtId="171" fontId="10" fillId="0" borderId="1" xfId="1" applyNumberFormat="1" applyFont="1" applyFill="1" applyBorder="1" applyAlignment="1">
      <alignment horizontal="center" vertical="center" wrapText="1"/>
    </xf>
    <xf numFmtId="169" fontId="10" fillId="13" borderId="1" xfId="0" applyNumberFormat="1" applyFont="1" applyFill="1" applyBorder="1" applyAlignment="1">
      <alignment horizontal="center" vertical="center" wrapText="1"/>
    </xf>
    <xf numFmtId="171" fontId="10" fillId="13" borderId="1" xfId="1" applyNumberFormat="1" applyFont="1" applyFill="1" applyBorder="1" applyAlignment="1">
      <alignment horizontal="center" vertical="center" wrapText="1"/>
    </xf>
  </cellXfs>
  <cellStyles count="110">
    <cellStyle name="Accent6 2" xfId="3" xr:uid="{00000000-0005-0000-0000-000000000000}"/>
    <cellStyle name="Comma" xfId="106" builtinId="3"/>
    <cellStyle name="Comma 2" xfId="2" xr:uid="{00000000-0005-0000-0000-000002000000}"/>
    <cellStyle name="Comma 3" xfId="101" xr:uid="{00000000-0005-0000-0000-000003000000}"/>
    <cellStyle name="Currency 2" xfId="4" xr:uid="{00000000-0005-0000-0000-000005000000}"/>
    <cellStyle name="Currency 2 2" xfId="108" xr:uid="{A0B47759-DCC9-4E92-8E59-DE65BC441EB6}"/>
    <cellStyle name="Currency 2 3" xfId="109" xr:uid="{BC056C60-B586-47DE-B070-A959003C3E9A}"/>
    <cellStyle name="dms_BY1" xfId="104" xr:uid="{00000000-0005-0000-0000-000006000000}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Normal" xfId="0" builtinId="0"/>
    <cellStyle name="Normal 10 2" xfId="105" xr:uid="{00000000-0005-0000-0000-000067000000}"/>
    <cellStyle name="Normal 2" xfId="5" xr:uid="{00000000-0005-0000-0000-000068000000}"/>
    <cellStyle name="Normal 2 2" xfId="107" xr:uid="{ADF93655-7CFC-4DA0-8695-D16FC8A5BAB3}"/>
    <cellStyle name="Normal 3" xfId="100" xr:uid="{00000000-0005-0000-0000-000069000000}"/>
    <cellStyle name="Normal 9" xfId="103" xr:uid="{00000000-0005-0000-0000-00006A000000}"/>
    <cellStyle name="Percent" xfId="1" builtinId="5"/>
    <cellStyle name="Percent 2" xfId="102" xr:uid="{00000000-0005-0000-0000-00006D000000}"/>
  </cellStyles>
  <dxfs count="0"/>
  <tableStyles count="0" defaultTableStyle="TableStyleMedium2" defaultPivotStyle="PivotStyleLight16"/>
  <colors>
    <mruColors>
      <color rgb="FFEBF1DE"/>
      <color rgb="FFFF99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26-31%20EDPR/5.0%202026%20EDPR%20-%20Modelling/Live%20models/Public%20Lighting/AusNet%20Services%202027-31%20-%20ACS%20-%20Public%20Lighting%20Model_2021%2020241121%20(Zinfra%20rates%20update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26-31%20EDPR/11.0%202026%20EDPR%20-%20Proposal%20submission%20models/Public/SCS/ASD%20-%20AusNet%20EDPR%202026-31%20&#8211;%20SCS%20Capex%20Model%20&#8211;%20310125%20-%20PUBLIC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26-31%20EDPR/11.0%202026%20EDPR%20-%20Proposal%20submission%20models/Public/SCS/ASD%20-%20AusNet%20EDPR%202026-31%20&#8211;%20RFM%20&#8211;%20310125%20-%20PUBLIC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26-31%20EDPR/11.0%202026%20EDPR%20-%20Proposal%20submission%20models/Public/SCS/ASD%20-%20AusNet%20EDPR%202026-31%20&#8211;%20PTRM%20Model%20&#8211;%20310125%20-%20PUBLI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N Table 4.1.3"/>
      <sheetName val="Graphs and figure in proposal"/>
      <sheetName val="AER Changes"/>
      <sheetName val="Instructions"/>
      <sheetName val="DNSP Inputs General"/>
      <sheetName val="DNSP Inputs Capex"/>
      <sheetName val="DNSP Inputs O&amp;M"/>
      <sheetName val="Cashflow Summary"/>
      <sheetName val="PL Tariffs"/>
      <sheetName val="PL Tariff Components"/>
      <sheetName val="Charges Summary"/>
      <sheetName val="O &amp; M 2027-2031"/>
      <sheetName val="Capex 2027-2031"/>
      <sheetName val="CPI"/>
      <sheetName val="WACC_Calc"/>
      <sheetName val="WACC"/>
      <sheetName val="Depn &amp; WACC Post 2004 Central"/>
      <sheetName val="Depn &amp; WACC Post 2004 N &amp; E"/>
      <sheetName val="Total RAB"/>
      <sheetName val="RAB Rem Lives"/>
      <sheetName val="RAB Std Lives"/>
      <sheetName val="RAB 2001 to 2004 Central"/>
      <sheetName val="RAB 2001 to 2004 N &amp; E"/>
      <sheetName val="Inputs PL Final Decision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D7">
            <v>132.23980201856648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D Changes"/>
      <sheetName val="Index"/>
      <sheetName val="Input| Setup"/>
      <sheetName val="Input| Escalations"/>
      <sheetName val="Input| Projects"/>
      <sheetName val="Input| Disposals"/>
      <sheetName val="Input| Type 2 capcons"/>
      <sheetName val="Capex Immediately Expensed"/>
      <sheetName val="Repex forecast working"/>
      <sheetName val="Input| Expensing"/>
      <sheetName val="Input| Overheads"/>
      <sheetName val="Productivity adjustment"/>
      <sheetName val="Calc| Overheads Allocation"/>
      <sheetName val="Calc| Project Costs"/>
      <sheetName val="Chart| Overheads"/>
      <sheetName val="Output| PTRM (D)"/>
      <sheetName val="Output| PTRM (T)"/>
      <sheetName val="Output| RIN"/>
      <sheetName val="Output| AER"/>
      <sheetName val="Model Validation"/>
    </sheetNames>
    <sheetDataSet>
      <sheetData sheetId="0"/>
      <sheetData sheetId="1"/>
      <sheetData sheetId="2"/>
      <sheetData sheetId="3">
        <row r="25">
          <cell r="B25" t="str">
            <v>Internal labour</v>
          </cell>
          <cell r="H25">
            <v>8.2681564533859629E-3</v>
          </cell>
          <cell r="I25">
            <v>8.100515567042995E-3</v>
          </cell>
          <cell r="J25">
            <v>9.3135243940020672E-3</v>
          </cell>
          <cell r="K25">
            <v>8.3583556288052887E-3</v>
          </cell>
          <cell r="L25">
            <v>1.0254990531688098E-2</v>
          </cell>
          <cell r="M25">
            <v>1.2240188084018007E-2</v>
          </cell>
          <cell r="N25">
            <v>1.0182353043552642E-2</v>
          </cell>
        </row>
        <row r="26">
          <cell r="B26" t="str">
            <v>Contract labour</v>
          </cell>
          <cell r="H26">
            <v>8.2681564533859629E-3</v>
          </cell>
          <cell r="I26">
            <v>8.100515567042995E-3</v>
          </cell>
          <cell r="J26">
            <v>9.3135243940020672E-3</v>
          </cell>
          <cell r="K26">
            <v>8.3583556288052887E-3</v>
          </cell>
          <cell r="L26">
            <v>1.0254990531688098E-2</v>
          </cell>
          <cell r="M26">
            <v>1.2240188084018007E-2</v>
          </cell>
          <cell r="N26">
            <v>1.0182353043552642E-2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Intro"/>
      <sheetName val="DMS input"/>
      <sheetName val="RFM input"/>
      <sheetName val="Changelog"/>
      <sheetName val="Adjustment for previous period"/>
      <sheetName val="RAB roll forward"/>
      <sheetName val="Total RAB roll forward"/>
      <sheetName val="TAB roll forward"/>
      <sheetName val="PTRM input summary"/>
      <sheetName val="Inputs working"/>
    </sheetNames>
    <sheetDataSet>
      <sheetData sheetId="0"/>
      <sheetData sheetId="1"/>
      <sheetData sheetId="2"/>
      <sheetData sheetId="3"/>
      <sheetData sheetId="4"/>
      <sheetData sheetId="5"/>
      <sheetData sheetId="6">
        <row r="282">
          <cell r="L282">
            <v>0.03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Intro"/>
      <sheetName val="DMS input"/>
      <sheetName val="PTRM input"/>
      <sheetName val="WACC"/>
      <sheetName val="Assets"/>
      <sheetName val="Analysis"/>
      <sheetName val="Forecast revenues"/>
      <sheetName val="X factors"/>
      <sheetName val="Revenue summary"/>
      <sheetName val="DMIA_Allowance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>
            <v>2.4999999999999911E-2</v>
          </cell>
          <cell r="H6">
            <v>2.4999999999999911E-2</v>
          </cell>
          <cell r="I6">
            <v>2.4999999999999911E-2</v>
          </cell>
          <cell r="J6">
            <v>2.4999999999999911E-2</v>
          </cell>
          <cell r="K6">
            <v>2.4999999999999911E-2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B2:AE63"/>
  <sheetViews>
    <sheetView showGridLines="0" tabSelected="1" topLeftCell="A20" zoomScale="85" zoomScaleNormal="85" zoomScalePageLayoutView="93" workbookViewId="0">
      <selection activeCell="F63" sqref="F63"/>
    </sheetView>
  </sheetViews>
  <sheetFormatPr defaultColWidth="8.81640625" defaultRowHeight="13" x14ac:dyDescent="0.3"/>
  <cols>
    <col min="1" max="1" width="2.54296875" style="2" customWidth="1"/>
    <col min="2" max="2" width="77" style="2" bestFit="1" customWidth="1"/>
    <col min="3" max="7" width="13.81640625" style="2" customWidth="1"/>
    <col min="8" max="8" width="14.81640625" style="2" bestFit="1" customWidth="1"/>
    <col min="9" max="9" width="30" style="2" bestFit="1" customWidth="1"/>
    <col min="10" max="13" width="16" style="2" customWidth="1"/>
    <col min="14" max="14" width="8.81640625" style="2" customWidth="1"/>
    <col min="15" max="15" width="21.81640625" style="2" customWidth="1"/>
    <col min="16" max="16" width="16" style="2" customWidth="1"/>
    <col min="17" max="17" width="18.36328125" style="2" customWidth="1"/>
    <col min="18" max="22" width="16" style="2" customWidth="1"/>
    <col min="23" max="23" width="14.1796875" style="2" customWidth="1"/>
    <col min="24" max="24" width="11.453125" style="2" customWidth="1"/>
    <col min="25" max="25" width="10.1796875" style="2" customWidth="1"/>
    <col min="26" max="26" width="10" style="2" customWidth="1"/>
    <col min="27" max="27" width="10.81640625" style="2" customWidth="1"/>
    <col min="28" max="28" width="8.81640625" style="2" customWidth="1"/>
    <col min="29" max="29" width="8.81640625" style="2"/>
    <col min="30" max="33" width="11.81640625" style="2" customWidth="1"/>
    <col min="34" max="37" width="8.81640625" style="2"/>
    <col min="38" max="38" width="13.1796875" style="2" bestFit="1" customWidth="1"/>
    <col min="39" max="39" width="33.453125" style="2" bestFit="1" customWidth="1"/>
    <col min="40" max="40" width="11.453125" style="2" bestFit="1" customWidth="1"/>
    <col min="41" max="16384" width="8.81640625" style="2"/>
  </cols>
  <sheetData>
    <row r="2" spans="2:31" x14ac:dyDescent="0.3">
      <c r="O2" s="2" t="s">
        <v>128</v>
      </c>
    </row>
    <row r="3" spans="2:31" ht="14" x14ac:dyDescent="0.3">
      <c r="D3" s="47" t="s">
        <v>37</v>
      </c>
      <c r="E3" s="47" t="s">
        <v>102</v>
      </c>
      <c r="F3" s="47" t="s">
        <v>37</v>
      </c>
      <c r="G3" s="47" t="s">
        <v>102</v>
      </c>
    </row>
    <row r="4" spans="2:31" ht="42" x14ac:dyDescent="0.3">
      <c r="B4" s="40" t="s">
        <v>41</v>
      </c>
      <c r="C4" s="41" t="s">
        <v>66</v>
      </c>
      <c r="D4" s="41" t="s">
        <v>50</v>
      </c>
      <c r="E4" s="41" t="s">
        <v>50</v>
      </c>
      <c r="F4" s="41" t="s">
        <v>51</v>
      </c>
      <c r="G4" s="41" t="s">
        <v>51</v>
      </c>
      <c r="K4" s="47" t="s">
        <v>21</v>
      </c>
      <c r="L4" s="47" t="s">
        <v>22</v>
      </c>
      <c r="M4" s="47" t="s">
        <v>23</v>
      </c>
      <c r="P4" s="47" t="s">
        <v>127</v>
      </c>
      <c r="Q4" s="47" t="s">
        <v>130</v>
      </c>
      <c r="R4" s="47" t="s">
        <v>129</v>
      </c>
      <c r="S4" s="47" t="s">
        <v>118</v>
      </c>
    </row>
    <row r="5" spans="2:31" x14ac:dyDescent="0.3">
      <c r="B5" s="42" t="s">
        <v>78</v>
      </c>
      <c r="C5" s="43">
        <v>590.39</v>
      </c>
      <c r="D5" s="43">
        <f>C5*(1+'CPI and conversions'!I$7)*(1+'Labour Escalators'!E$6)</f>
        <v>613.02763728719538</v>
      </c>
      <c r="E5" s="44">
        <f t="shared" ref="E5:E16" si="0">D5</f>
        <v>613.02763728719538</v>
      </c>
      <c r="F5" s="44">
        <f>R19</f>
        <v>744.17608247982514</v>
      </c>
      <c r="G5" s="44">
        <f>F5*('CPI and conversions'!$I$5/'CPI and conversions'!J$5)</f>
        <v>726.02544632178069</v>
      </c>
      <c r="K5" s="51" t="s">
        <v>24</v>
      </c>
      <c r="L5" s="59">
        <f>172997+202733+166102</f>
        <v>541832</v>
      </c>
      <c r="M5" s="52">
        <f>L5/L9</f>
        <v>0.63894152815693117</v>
      </c>
      <c r="P5" s="73"/>
      <c r="Q5" s="73"/>
      <c r="R5" s="73"/>
      <c r="S5" s="71">
        <f>4%/(1-30%)</f>
        <v>5.7142857142857148E-2</v>
      </c>
      <c r="T5" s="63"/>
    </row>
    <row r="6" spans="2:31" x14ac:dyDescent="0.3">
      <c r="B6" s="42" t="s">
        <v>79</v>
      </c>
      <c r="C6" s="43">
        <v>259.45999999999998</v>
      </c>
      <c r="D6" s="43">
        <f>C6*(1+'CPI and conversions'!I$7)*(1+'Labour Escalators'!E$6)</f>
        <v>269.4086125620957</v>
      </c>
      <c r="E6" s="44">
        <f t="shared" si="0"/>
        <v>269.4086125620957</v>
      </c>
      <c r="F6" s="44">
        <f>R21</f>
        <v>380.49913217131092</v>
      </c>
      <c r="G6" s="44">
        <f>F6*('CPI and conversions'!$I$5/'CPI and conversions'!J$5)</f>
        <v>371.21866553298628</v>
      </c>
      <c r="K6" s="51" t="s">
        <v>25</v>
      </c>
      <c r="L6" s="62">
        <f>23936+47911+39371</f>
        <v>111218</v>
      </c>
      <c r="M6" s="52">
        <f>L6/L9</f>
        <v>0.13115098199913916</v>
      </c>
    </row>
    <row r="7" spans="2:31" ht="14" x14ac:dyDescent="0.3">
      <c r="B7" s="42" t="s">
        <v>80</v>
      </c>
      <c r="C7" s="43">
        <v>559.45000000000005</v>
      </c>
      <c r="D7" s="43">
        <f>C7*(1+'CPI and conversions'!I$7)*(1+'Labour Escalators'!E$6)</f>
        <v>580.90128843700177</v>
      </c>
      <c r="E7" s="44">
        <f t="shared" si="0"/>
        <v>580.90128843700177</v>
      </c>
      <c r="F7" s="44">
        <f>R12/2.5+R21</f>
        <v>642.70850603921258</v>
      </c>
      <c r="G7" s="44">
        <f>F7*('CPI and conversions'!$I$5/'CPI and conversions'!J$5)</f>
        <v>627.03268881874408</v>
      </c>
      <c r="K7" s="51" t="s">
        <v>26</v>
      </c>
      <c r="L7" s="59">
        <f>56819+56601+81545</f>
        <v>194965</v>
      </c>
      <c r="M7" s="52">
        <f>L7/L9</f>
        <v>0.22990748984392964</v>
      </c>
      <c r="P7" s="47"/>
      <c r="Q7" s="47" t="s">
        <v>50</v>
      </c>
      <c r="R7" s="47" t="s">
        <v>51</v>
      </c>
      <c r="S7" s="47" t="s">
        <v>52</v>
      </c>
      <c r="T7" s="47" t="s">
        <v>53</v>
      </c>
      <c r="U7" s="47" t="s">
        <v>54</v>
      </c>
      <c r="V7" s="47" t="s">
        <v>65</v>
      </c>
    </row>
    <row r="8" spans="2:31" ht="14.5" x14ac:dyDescent="0.35">
      <c r="B8" s="42" t="s">
        <v>81</v>
      </c>
      <c r="C8" s="43">
        <v>670.95</v>
      </c>
      <c r="D8" s="43">
        <f>C8*(1+'CPI and conversions'!I$7)*(1+'Labour Escalators'!E$6)</f>
        <v>696.67659214729883</v>
      </c>
      <c r="E8" s="44">
        <f>D8</f>
        <v>696.67659214729883</v>
      </c>
      <c r="F8" s="44">
        <f>R20</f>
        <v>801.57792666734872</v>
      </c>
      <c r="G8" s="44">
        <f>F8*('CPI and conversions'!$I$5/'CPI and conversions'!J$5)</f>
        <v>782.02724552912082</v>
      </c>
      <c r="J8" s="3"/>
      <c r="K8" s="51" t="s">
        <v>27</v>
      </c>
      <c r="L8" s="59">
        <f>SUM(L6:L7)</f>
        <v>306183</v>
      </c>
      <c r="M8" s="52">
        <f>SUM(M6:M7)</f>
        <v>0.36105847184306883</v>
      </c>
      <c r="P8" s="53" t="s">
        <v>140</v>
      </c>
      <c r="Q8" s="70">
        <v>2.5000000000000001E-2</v>
      </c>
      <c r="R8" s="70">
        <v>2.5000000000000001E-2</v>
      </c>
      <c r="S8" s="70">
        <v>0.03</v>
      </c>
      <c r="T8" s="70">
        <v>0.03</v>
      </c>
      <c r="U8" s="70">
        <v>0.03</v>
      </c>
      <c r="V8" s="70">
        <v>0.03</v>
      </c>
      <c r="W8"/>
    </row>
    <row r="9" spans="2:31" ht="13.5" x14ac:dyDescent="0.3">
      <c r="B9" s="42" t="s">
        <v>82</v>
      </c>
      <c r="C9" s="45">
        <v>1280.98</v>
      </c>
      <c r="D9" s="45">
        <f>C9*(1+'CPI and conversions'!I$7)*(1+'Labour Escalators'!E$6)</f>
        <v>1330.0972963840029</v>
      </c>
      <c r="E9" s="44">
        <f t="shared" si="0"/>
        <v>1330.0972963840029</v>
      </c>
      <c r="F9" s="44">
        <f>R20+R12</f>
        <v>1457.1013613371028</v>
      </c>
      <c r="G9" s="44">
        <f>F9*('CPI and conversions'!$I$5/'CPI and conversions'!J$5)</f>
        <v>1421.562303743515</v>
      </c>
      <c r="J9" s="3"/>
      <c r="K9" s="51" t="s">
        <v>28</v>
      </c>
      <c r="L9" s="59">
        <f>SUM(L5:L7)</f>
        <v>848015</v>
      </c>
      <c r="M9" s="52">
        <f>SUM(M5:M7)</f>
        <v>0.99999999999999989</v>
      </c>
    </row>
    <row r="10" spans="2:31" ht="54" customHeight="1" x14ac:dyDescent="0.35">
      <c r="B10" s="42" t="s">
        <v>83</v>
      </c>
      <c r="C10" s="43">
        <v>411.22</v>
      </c>
      <c r="D10" s="43">
        <f>C10*(1+'CPI and conversions'!I$7)*(1+'Labour Escalators'!E$6)</f>
        <v>426.98762683182389</v>
      </c>
      <c r="E10" s="44">
        <f t="shared" si="0"/>
        <v>426.98762683182389</v>
      </c>
      <c r="F10" s="44">
        <f>R22</f>
        <v>574.89750787469291</v>
      </c>
      <c r="G10" s="44">
        <f>F10*('CPI and conversions'!$I$5/'CPI and conversions'!J$5)</f>
        <v>560.87561743872482</v>
      </c>
      <c r="J10" s="3"/>
      <c r="K10"/>
      <c r="L10"/>
      <c r="M10"/>
      <c r="N10"/>
      <c r="P10" s="55" t="s">
        <v>67</v>
      </c>
      <c r="Q10" s="55"/>
      <c r="R10" s="55"/>
      <c r="S10" s="55"/>
      <c r="T10" s="55"/>
      <c r="U10" s="55"/>
      <c r="V10" s="56"/>
      <c r="Y10" s="55" t="s">
        <v>102</v>
      </c>
      <c r="Z10" s="55"/>
      <c r="AA10" s="55"/>
      <c r="AB10" s="55"/>
      <c r="AD10"/>
      <c r="AE10"/>
    </row>
    <row r="11" spans="2:31" ht="47.5" customHeight="1" x14ac:dyDescent="0.3">
      <c r="B11" s="42" t="s">
        <v>84</v>
      </c>
      <c r="C11" s="43">
        <v>716.24</v>
      </c>
      <c r="D11" s="43">
        <f>C11*(1+'CPI and conversions'!I$7)*(1+'Labour Escalators'!E$6)</f>
        <v>743.70317066783116</v>
      </c>
      <c r="E11" s="44">
        <f>D11</f>
        <v>743.70317066783116</v>
      </c>
      <c r="F11" s="44">
        <f>R22+R12/2.5</f>
        <v>837.10688174259451</v>
      </c>
      <c r="G11" s="44">
        <f>F11*('CPI and conversions'!$I$5/'CPI and conversions'!J$5)</f>
        <v>816.6896407244825</v>
      </c>
      <c r="I11" s="47" t="s">
        <v>120</v>
      </c>
      <c r="J11" s="47" t="s">
        <v>24</v>
      </c>
      <c r="K11" s="47" t="s">
        <v>25</v>
      </c>
      <c r="L11" s="47" t="s">
        <v>26</v>
      </c>
      <c r="O11" s="51"/>
      <c r="P11" s="47" t="s">
        <v>66</v>
      </c>
      <c r="Q11" s="47" t="s">
        <v>50</v>
      </c>
      <c r="R11" s="47" t="s">
        <v>51</v>
      </c>
      <c r="S11" s="47" t="s">
        <v>52</v>
      </c>
      <c r="T11" s="47" t="s">
        <v>53</v>
      </c>
      <c r="U11" s="47" t="s">
        <v>54</v>
      </c>
      <c r="V11" s="47" t="s">
        <v>65</v>
      </c>
      <c r="Y11" s="47" t="str">
        <f>P11</f>
        <v>2024-25</v>
      </c>
      <c r="Z11" s="47" t="str">
        <f>Q11</f>
        <v>2025-26</v>
      </c>
      <c r="AA11" s="54" t="str">
        <f>Q11</f>
        <v>2025-26</v>
      </c>
      <c r="AB11" s="47" t="str">
        <f>R11</f>
        <v>2026-27</v>
      </c>
    </row>
    <row r="12" spans="2:31" x14ac:dyDescent="0.3">
      <c r="B12" s="42" t="s">
        <v>85</v>
      </c>
      <c r="C12" s="43">
        <v>1021.26</v>
      </c>
      <c r="D12" s="43">
        <f>C12*(1+'CPI and conversions'!I$7)*(1+'Labour Escalators'!E$6)</f>
        <v>1060.4187145038384</v>
      </c>
      <c r="E12" s="44">
        <f t="shared" si="0"/>
        <v>1060.4187145038384</v>
      </c>
      <c r="F12" s="44">
        <f>R22+R12</f>
        <v>1230.4209425444469</v>
      </c>
      <c r="G12" s="44">
        <f>F12*('CPI and conversions'!$I$5/'CPI and conversions'!J$5)</f>
        <v>1200.4106756531191</v>
      </c>
      <c r="I12" s="51" t="s">
        <v>39</v>
      </c>
      <c r="J12" s="72"/>
      <c r="K12" s="72"/>
      <c r="L12" s="72"/>
      <c r="O12" s="51" t="s">
        <v>39</v>
      </c>
      <c r="P12" s="57">
        <v>623.93664216038462</v>
      </c>
      <c r="Q12" s="57">
        <f>P12*(1+Q$8)</f>
        <v>639.53505821439421</v>
      </c>
      <c r="R12" s="57">
        <f>Q12*(1+R$8)</f>
        <v>655.52343466975401</v>
      </c>
      <c r="S12" s="57">
        <f>R12*(1+S$8)</f>
        <v>675.1891377098467</v>
      </c>
      <c r="T12" s="57">
        <f t="shared" ref="T12:V12" si="1">S12*(1+T$8)</f>
        <v>695.44481184114215</v>
      </c>
      <c r="U12" s="57">
        <f t="shared" si="1"/>
        <v>716.30815619637644</v>
      </c>
      <c r="V12" s="57">
        <f t="shared" si="1"/>
        <v>737.79740088226777</v>
      </c>
      <c r="Y12" s="58">
        <f>P12*('CPI and conversions'!$I$5/'CPI and conversions'!H$5)</f>
        <v>642.65474142519622</v>
      </c>
      <c r="Z12" s="58">
        <f>Q12*('CPI and conversions'!$I$5/'CPI and conversions'!I$5)</f>
        <v>639.53505821439421</v>
      </c>
      <c r="AA12" s="58">
        <f>R12*('CPI and conversions'!$I$5/'CPI and conversions'!J$5)</f>
        <v>639.53505821439421</v>
      </c>
      <c r="AB12" s="58">
        <f>S12*('CPI and conversions'!$I$5/'CPI and conversions'!K$5)</f>
        <v>642.65474142519633</v>
      </c>
    </row>
    <row r="13" spans="2:31" ht="23" x14ac:dyDescent="0.3">
      <c r="B13" s="42" t="s">
        <v>86</v>
      </c>
      <c r="C13" s="45">
        <v>1009.94</v>
      </c>
      <c r="D13" s="45">
        <f>C13*(1+'CPI and conversions'!I$7)*(1+'Labour Escalators'!E$6)</f>
        <v>1048.6646657325327</v>
      </c>
      <c r="E13" s="44">
        <f t="shared" si="0"/>
        <v>1048.6646657325327</v>
      </c>
      <c r="F13" s="44">
        <f>R23</f>
        <v>829.56672118329197</v>
      </c>
      <c r="G13" s="44">
        <f>F13*('CPI and conversions'!$I$5/'CPI and conversions'!J$5)</f>
        <v>809.33338652028488</v>
      </c>
      <c r="I13" s="51" t="s">
        <v>29</v>
      </c>
      <c r="J13" s="72"/>
      <c r="K13" s="72"/>
      <c r="L13" s="72"/>
      <c r="O13" s="51" t="s">
        <v>29</v>
      </c>
      <c r="P13" s="57">
        <v>625.98466211019161</v>
      </c>
      <c r="Q13" s="57">
        <f>P13*(1+Q$8)</f>
        <v>641.63427866294637</v>
      </c>
      <c r="R13" s="57">
        <f t="shared" ref="R13:V13" si="2">Q13*(1+R$8)</f>
        <v>657.67513562952001</v>
      </c>
      <c r="S13" s="57">
        <f t="shared" si="2"/>
        <v>677.40538969840566</v>
      </c>
      <c r="T13" s="57">
        <f t="shared" si="2"/>
        <v>697.72755138935781</v>
      </c>
      <c r="U13" s="57">
        <f t="shared" si="2"/>
        <v>718.65937793103853</v>
      </c>
      <c r="V13" s="57">
        <f t="shared" si="2"/>
        <v>740.21915926896975</v>
      </c>
      <c r="Y13" s="58">
        <f>P13*('CPI and conversions'!$I$5/'CPI and conversions'!H$5)</f>
        <v>644.76420197349739</v>
      </c>
      <c r="Z13" s="58">
        <f>Q13*('CPI and conversions'!$I$5/'CPI and conversions'!I$5)</f>
        <v>641.63427866294637</v>
      </c>
      <c r="AA13" s="58">
        <f>R13*('CPI and conversions'!$I$5/'CPI and conversions'!J$5)</f>
        <v>641.63427866294637</v>
      </c>
      <c r="AB13" s="58">
        <f>S13*('CPI and conversions'!$I$5/'CPI and conversions'!K$5)</f>
        <v>644.76420197349751</v>
      </c>
    </row>
    <row r="14" spans="2:31" x14ac:dyDescent="0.3">
      <c r="B14" s="42" t="s">
        <v>87</v>
      </c>
      <c r="C14" s="43">
        <v>585.37</v>
      </c>
      <c r="D14" s="43">
        <f>C14*(1+'CPI and conversions'!I$7)*(1+'Labour Escalators'!E$6)</f>
        <v>607.81515276140442</v>
      </c>
      <c r="E14" s="44">
        <f t="shared" si="0"/>
        <v>607.81515276140442</v>
      </c>
      <c r="F14" s="44">
        <f>R19</f>
        <v>744.17608247982514</v>
      </c>
      <c r="G14" s="44">
        <f>F14*('CPI and conversions'!$I$5/'CPI and conversions'!J$5)</f>
        <v>726.02544632178069</v>
      </c>
      <c r="I14" s="51" t="s">
        <v>30</v>
      </c>
      <c r="J14" s="72"/>
      <c r="K14" s="72"/>
      <c r="L14" s="72"/>
      <c r="O14" s="51" t="s">
        <v>30</v>
      </c>
      <c r="P14" s="57">
        <v>677.04265135326659</v>
      </c>
      <c r="Q14" s="57">
        <f t="shared" ref="Q14:V14" si="3">P14*(1+Q$8)</f>
        <v>693.96871763709817</v>
      </c>
      <c r="R14" s="57">
        <f>Q14*(1+R$8)</f>
        <v>711.31793557802553</v>
      </c>
      <c r="S14" s="57">
        <f t="shared" si="3"/>
        <v>732.65747364536628</v>
      </c>
      <c r="T14" s="57">
        <f t="shared" si="3"/>
        <v>754.63719785472733</v>
      </c>
      <c r="U14" s="57">
        <f t="shared" si="3"/>
        <v>777.27631379036916</v>
      </c>
      <c r="V14" s="57">
        <f t="shared" si="3"/>
        <v>800.59460320408027</v>
      </c>
      <c r="Y14" s="58">
        <f>P14*('CPI and conversions'!$I$5/'CPI and conversions'!H$5)</f>
        <v>697.35393089386457</v>
      </c>
      <c r="Z14" s="58">
        <f>Q14*('CPI and conversions'!$I$5/'CPI and conversions'!I$5)</f>
        <v>693.96871763709817</v>
      </c>
      <c r="AA14" s="58">
        <f>R14*('CPI and conversions'!$I$5/'CPI and conversions'!J$5)</f>
        <v>693.96871763709817</v>
      </c>
      <c r="AB14" s="58">
        <f>S14*('CPI and conversions'!$I$5/'CPI and conversions'!K$5)</f>
        <v>697.35393089386457</v>
      </c>
    </row>
    <row r="15" spans="2:31" ht="23" x14ac:dyDescent="0.3">
      <c r="B15" s="42" t="s">
        <v>88</v>
      </c>
      <c r="C15" s="43">
        <v>610.04</v>
      </c>
      <c r="D15" s="43">
        <f>C15*(1+'CPI and conversions'!I$7)*(1+'Labour Escalators'!E$6)</f>
        <v>633.43108767201443</v>
      </c>
      <c r="E15" s="44">
        <f t="shared" si="0"/>
        <v>633.43108767201443</v>
      </c>
      <c r="F15" s="44">
        <f>R12</f>
        <v>655.52343466975401</v>
      </c>
      <c r="G15" s="44">
        <f>F15*('CPI and conversions'!$I$5/'CPI and conversions'!J$5)</f>
        <v>639.53505821439421</v>
      </c>
      <c r="I15" s="51" t="s">
        <v>18</v>
      </c>
      <c r="J15" s="72"/>
      <c r="K15" s="72"/>
      <c r="L15" s="72"/>
      <c r="O15" s="51" t="s">
        <v>18</v>
      </c>
      <c r="P15" s="57">
        <v>750.34124863549164</v>
      </c>
      <c r="Q15" s="57">
        <f t="shared" ref="Q15:V15" si="4">P15*(1+Q$8)</f>
        <v>769.09977985137891</v>
      </c>
      <c r="R15" s="57">
        <f t="shared" si="4"/>
        <v>788.32727434766332</v>
      </c>
      <c r="S15" s="57">
        <f t="shared" si="4"/>
        <v>811.97709257809322</v>
      </c>
      <c r="T15" s="57">
        <f t="shared" si="4"/>
        <v>836.336405355436</v>
      </c>
      <c r="U15" s="57">
        <f t="shared" si="4"/>
        <v>861.42649751609906</v>
      </c>
      <c r="V15" s="57">
        <f t="shared" si="4"/>
        <v>887.26929244158202</v>
      </c>
      <c r="Y15" s="58">
        <f>P15*('CPI and conversions'!$I$5/'CPI and conversions'!H$5)</f>
        <v>772.85148609455644</v>
      </c>
      <c r="Z15" s="58">
        <f>Q15*('CPI and conversions'!$I$5/'CPI and conversions'!I$5)</f>
        <v>769.09977985137891</v>
      </c>
      <c r="AA15" s="58">
        <f>R15*('CPI and conversions'!$I$5/'CPI and conversions'!J$5)</f>
        <v>769.09977985137891</v>
      </c>
      <c r="AB15" s="58">
        <f>S15*('CPI and conversions'!$I$5/'CPI and conversions'!K$5)</f>
        <v>772.85148609455655</v>
      </c>
    </row>
    <row r="16" spans="2:31" x14ac:dyDescent="0.3">
      <c r="B16" s="42" t="s">
        <v>89</v>
      </c>
      <c r="C16" s="43">
        <v>672.21</v>
      </c>
      <c r="D16" s="43">
        <f>C16*(1+'CPI and conversions'!I$7)*(1+'Labour Escalators'!E$6)</f>
        <v>697.98490499640172</v>
      </c>
      <c r="E16" s="44">
        <f t="shared" si="0"/>
        <v>697.98490499640172</v>
      </c>
      <c r="F16" s="44">
        <f>R13</f>
        <v>657.67513562952001</v>
      </c>
      <c r="G16" s="44">
        <f>F16*('CPI and conversions'!$I$5/'CPI and conversions'!J$5)</f>
        <v>641.63427866294637</v>
      </c>
      <c r="I16" s="51" t="s">
        <v>19</v>
      </c>
      <c r="J16" s="72"/>
      <c r="K16" s="72"/>
      <c r="L16" s="72"/>
      <c r="O16" s="51" t="s">
        <v>19</v>
      </c>
      <c r="P16" s="57">
        <v>473.68335678325138</v>
      </c>
      <c r="Q16" s="57">
        <f t="shared" ref="Q16:V16" si="5">P16*(1+Q$8)</f>
        <v>485.52544070283261</v>
      </c>
      <c r="R16" s="57">
        <f t="shared" si="5"/>
        <v>497.6635767204034</v>
      </c>
      <c r="S16" s="57">
        <f t="shared" si="5"/>
        <v>512.59348402201556</v>
      </c>
      <c r="T16" s="57">
        <f t="shared" si="5"/>
        <v>527.97128854267601</v>
      </c>
      <c r="U16" s="57">
        <f t="shared" si="5"/>
        <v>543.81042719895629</v>
      </c>
      <c r="V16" s="57">
        <f t="shared" si="5"/>
        <v>560.12474001492501</v>
      </c>
      <c r="Y16" s="58">
        <f>P16*('CPI and conversions'!$I$5/'CPI and conversions'!H$5)</f>
        <v>487.89385748674891</v>
      </c>
      <c r="Z16" s="58">
        <f>Q16*('CPI and conversions'!$I$5/'CPI and conversions'!I$5)</f>
        <v>485.52544070283261</v>
      </c>
      <c r="AA16" s="58">
        <f>R16*('CPI and conversions'!$I$5/'CPI and conversions'!J$5)</f>
        <v>485.52544070283261</v>
      </c>
      <c r="AB16" s="58">
        <f>S16*('CPI and conversions'!$I$5/'CPI and conversions'!K$5)</f>
        <v>487.89385748674903</v>
      </c>
    </row>
    <row r="17" spans="2:28" x14ac:dyDescent="0.3">
      <c r="B17" s="48"/>
      <c r="C17" s="49"/>
      <c r="D17" s="49"/>
      <c r="E17" s="49"/>
      <c r="F17" s="49"/>
      <c r="G17" s="49"/>
      <c r="I17" s="53" t="s">
        <v>64</v>
      </c>
      <c r="J17" s="72"/>
      <c r="K17" s="72"/>
      <c r="L17" s="72"/>
      <c r="O17" s="53" t="s">
        <v>64</v>
      </c>
      <c r="P17" s="57">
        <v>2146.1084790327404</v>
      </c>
      <c r="Q17" s="57">
        <f t="shared" ref="Q17:V17" si="6">P17*(1+Q$8)</f>
        <v>2199.7611910085589</v>
      </c>
      <c r="R17" s="57">
        <f t="shared" si="6"/>
        <v>2254.7552207837725</v>
      </c>
      <c r="S17" s="57">
        <f t="shared" si="6"/>
        <v>2322.3978774072857</v>
      </c>
      <c r="T17" s="57">
        <f t="shared" si="6"/>
        <v>2392.0698137295044</v>
      </c>
      <c r="U17" s="57">
        <f t="shared" si="6"/>
        <v>2463.8319081413897</v>
      </c>
      <c r="V17" s="57">
        <f t="shared" si="6"/>
        <v>2537.7468653856313</v>
      </c>
      <c r="Y17" s="58">
        <f>P17*('CPI and conversions'!$I$5/'CPI and conversions'!H$5)</f>
        <v>2210.4917334037227</v>
      </c>
      <c r="Z17" s="58">
        <f>Q17*('CPI and conversions'!$I$5/'CPI and conversions'!I$5)</f>
        <v>2199.7611910085589</v>
      </c>
      <c r="AA17" s="58">
        <f>R17*('CPI and conversions'!$I$5/'CPI and conversions'!J$5)</f>
        <v>2199.7611910085589</v>
      </c>
      <c r="AB17" s="58">
        <f>S17*('CPI and conversions'!$I$5/'CPI and conversions'!K$5)</f>
        <v>2210.4917334037227</v>
      </c>
    </row>
    <row r="18" spans="2:28" x14ac:dyDescent="0.3">
      <c r="B18" s="42" t="s">
        <v>90</v>
      </c>
      <c r="C18" s="43">
        <v>1033.2</v>
      </c>
      <c r="D18" s="43">
        <f>C18*(1+'CPI and conversions'!I$7)*(1+'Labour Escalators'!E$6)</f>
        <v>1072.8165362643851</v>
      </c>
      <c r="E18" s="44">
        <f t="shared" ref="E18:E27" si="7">D18</f>
        <v>1072.8165362643851</v>
      </c>
      <c r="F18" s="44">
        <f>F5*1.75</f>
        <v>1302.3081443396941</v>
      </c>
      <c r="G18" s="44">
        <f>F18*('CPI and conversions'!$I$5/'CPI and conversions'!J$5)</f>
        <v>1270.5445310631162</v>
      </c>
      <c r="I18" s="48"/>
      <c r="J18" s="48"/>
      <c r="K18" s="48"/>
      <c r="L18" s="48"/>
      <c r="O18" s="51"/>
      <c r="P18" s="57"/>
      <c r="Q18" s="57"/>
      <c r="R18" s="57"/>
      <c r="S18" s="57"/>
      <c r="T18" s="57"/>
      <c r="U18" s="57"/>
      <c r="V18" s="57"/>
      <c r="Y18" s="58"/>
      <c r="Z18" s="58"/>
      <c r="AA18" s="58"/>
      <c r="AB18" s="58"/>
    </row>
    <row r="19" spans="2:28" ht="23" x14ac:dyDescent="0.3">
      <c r="B19" s="42" t="s">
        <v>91</v>
      </c>
      <c r="C19" s="43">
        <v>454.07</v>
      </c>
      <c r="D19" s="43">
        <f>C19*(1+'CPI and conversions'!I$7)*(1+'Labour Escalators'!E$6)</f>
        <v>471.48064713663302</v>
      </c>
      <c r="E19" s="44">
        <f t="shared" si="7"/>
        <v>471.48064713663302</v>
      </c>
      <c r="F19" s="44">
        <f>F6*1.75</f>
        <v>665.87348129979409</v>
      </c>
      <c r="G19" s="44">
        <f>F19*('CPI and conversions'!$I$5/'CPI and conversions'!J$5)</f>
        <v>649.63266468272604</v>
      </c>
      <c r="I19" s="51" t="s">
        <v>31</v>
      </c>
      <c r="J19" s="72"/>
      <c r="K19" s="72"/>
      <c r="L19" s="72"/>
      <c r="O19" s="51" t="s">
        <v>31</v>
      </c>
      <c r="P19" s="57">
        <v>708.31750860661532</v>
      </c>
      <c r="Q19" s="57">
        <f t="shared" ref="Q19:V19" si="8">P19*(1+Q$8)</f>
        <v>726.02544632178069</v>
      </c>
      <c r="R19" s="57">
        <f t="shared" si="8"/>
        <v>744.17608247982514</v>
      </c>
      <c r="S19" s="57">
        <f t="shared" si="8"/>
        <v>766.50136495421987</v>
      </c>
      <c r="T19" s="57">
        <f t="shared" si="8"/>
        <v>789.4964059028465</v>
      </c>
      <c r="U19" s="57">
        <f t="shared" si="8"/>
        <v>813.18129807993193</v>
      </c>
      <c r="V19" s="57">
        <f t="shared" si="8"/>
        <v>837.57673702232989</v>
      </c>
      <c r="Y19" s="58">
        <f>P19*('CPI and conversions'!$I$5/'CPI and conversions'!H$5)</f>
        <v>729.56703386481377</v>
      </c>
      <c r="Z19" s="58">
        <f>Q19*('CPI and conversions'!$I$5/'CPI and conversions'!I$5)</f>
        <v>726.02544632178069</v>
      </c>
      <c r="AA19" s="58">
        <f>R19*('CPI and conversions'!$I$5/'CPI and conversions'!J$5)</f>
        <v>726.02544632178069</v>
      </c>
      <c r="AB19" s="58">
        <f>S19*('CPI and conversions'!$I$5/'CPI and conversions'!K$5)</f>
        <v>729.56703386481388</v>
      </c>
    </row>
    <row r="20" spans="2:28" ht="23" x14ac:dyDescent="0.3">
      <c r="B20" s="46" t="s">
        <v>139</v>
      </c>
      <c r="C20" s="43">
        <v>1174.1500000000001</v>
      </c>
      <c r="D20" s="43">
        <f>C20*(1+'CPI and conversions'!I$7)*(1+'Labour Escalators'!E$6)</f>
        <v>1219.171056963635</v>
      </c>
      <c r="E20" s="44">
        <f>D20</f>
        <v>1219.171056963635</v>
      </c>
      <c r="F20" s="44">
        <f>F7*1.75</f>
        <v>1124.739885568622</v>
      </c>
      <c r="G20" s="44">
        <f>F20*('CPI and conversions'!$I$5/'CPI and conversions'!J$5)</f>
        <v>1097.307205432802</v>
      </c>
      <c r="I20" s="51" t="s">
        <v>32</v>
      </c>
      <c r="J20" s="72"/>
      <c r="K20" s="72"/>
      <c r="L20" s="72"/>
      <c r="O20" s="51" t="s">
        <v>32</v>
      </c>
      <c r="P20" s="57">
        <v>762.95341027231302</v>
      </c>
      <c r="Q20" s="57">
        <f t="shared" ref="Q20:V20" si="9">P20*(1+Q$8)</f>
        <v>782.02724552912082</v>
      </c>
      <c r="R20" s="57">
        <f t="shared" si="9"/>
        <v>801.57792666734872</v>
      </c>
      <c r="S20" s="57">
        <f t="shared" si="9"/>
        <v>825.62526446736922</v>
      </c>
      <c r="T20" s="57">
        <f t="shared" si="9"/>
        <v>850.39402240139032</v>
      </c>
      <c r="U20" s="57">
        <f t="shared" si="9"/>
        <v>875.90584307343204</v>
      </c>
      <c r="V20" s="57">
        <f t="shared" si="9"/>
        <v>902.18301836563501</v>
      </c>
      <c r="Y20" s="58">
        <f>P20*('CPI and conversions'!$I$5/'CPI and conversions'!H$5)</f>
        <v>785.84201258048245</v>
      </c>
      <c r="Z20" s="58">
        <f>Q20*('CPI and conversions'!$I$5/'CPI and conversions'!I$5)</f>
        <v>782.02724552912082</v>
      </c>
      <c r="AA20" s="58">
        <f>R20*('CPI and conversions'!$I$5/'CPI and conversions'!J$5)</f>
        <v>782.02724552912082</v>
      </c>
      <c r="AB20" s="58">
        <f>S20*('CPI and conversions'!$I$5/'CPI and conversions'!K$5)</f>
        <v>785.84201258048256</v>
      </c>
    </row>
    <row r="21" spans="2:28" ht="23" x14ac:dyDescent="0.3">
      <c r="B21" s="42" t="s">
        <v>92</v>
      </c>
      <c r="C21" s="43">
        <v>1174.1500000000001</v>
      </c>
      <c r="D21" s="43">
        <f>C21*(1+'CPI and conversions'!I$7)*(1+'Labour Escalators'!E$6)</f>
        <v>1219.171056963635</v>
      </c>
      <c r="E21" s="44">
        <f t="shared" si="7"/>
        <v>1219.171056963635</v>
      </c>
      <c r="F21" s="44">
        <f>F8*1.75</f>
        <v>1402.7613716678602</v>
      </c>
      <c r="G21" s="44">
        <f>F21*('CPI and conversions'!$I$5/'CPI and conversions'!J$5)</f>
        <v>1368.5476796759613</v>
      </c>
      <c r="I21" s="53" t="s">
        <v>33</v>
      </c>
      <c r="J21" s="72"/>
      <c r="K21" s="72"/>
      <c r="L21" s="72"/>
      <c r="O21" s="53" t="s">
        <v>33</v>
      </c>
      <c r="P21" s="57">
        <v>362.16455173949885</v>
      </c>
      <c r="Q21" s="57">
        <f t="shared" ref="Q21:V21" si="10">P21*(1+Q$8)</f>
        <v>371.21866553298628</v>
      </c>
      <c r="R21" s="57">
        <f t="shared" si="10"/>
        <v>380.49913217131092</v>
      </c>
      <c r="S21" s="57">
        <f t="shared" si="10"/>
        <v>391.91410613645024</v>
      </c>
      <c r="T21" s="57">
        <f t="shared" si="10"/>
        <v>403.67152932054375</v>
      </c>
      <c r="U21" s="57">
        <f t="shared" si="10"/>
        <v>415.78167520016007</v>
      </c>
      <c r="V21" s="57">
        <f t="shared" si="10"/>
        <v>428.25512545616488</v>
      </c>
      <c r="Y21" s="58">
        <f>P21*('CPI and conversions'!$I$5/'CPI and conversions'!H$5)</f>
        <v>373.02948829168383</v>
      </c>
      <c r="Z21" s="58">
        <f>Q21*('CPI and conversions'!$I$5/'CPI and conversions'!I$5)</f>
        <v>371.21866553298628</v>
      </c>
      <c r="AA21" s="58">
        <f>R21*('CPI and conversions'!$I$5/'CPI and conversions'!J$5)</f>
        <v>371.21866553298628</v>
      </c>
      <c r="AB21" s="58">
        <f>S21*('CPI and conversions'!$I$5/'CPI and conversions'!K$5)</f>
        <v>373.02948829168383</v>
      </c>
    </row>
    <row r="22" spans="2:28" ht="23" x14ac:dyDescent="0.3">
      <c r="B22" s="46" t="s">
        <v>138</v>
      </c>
      <c r="C22" s="43">
        <v>2158.77</v>
      </c>
      <c r="D22" s="43">
        <f>C22*(1+'CPI and conversions'!I$7)*(1+'Labour Escalators'!E$6)</f>
        <v>2241.5448644903854</v>
      </c>
      <c r="E22" s="44">
        <f>D22</f>
        <v>2241.5448644903854</v>
      </c>
      <c r="F22" s="44">
        <f>F9*1.75</f>
        <v>2549.9273823399299</v>
      </c>
      <c r="G22" s="44">
        <f>G9*1.75</f>
        <v>2487.7340315511515</v>
      </c>
      <c r="I22" s="51" t="s">
        <v>34</v>
      </c>
      <c r="J22" s="72"/>
      <c r="K22" s="72"/>
      <c r="L22" s="72"/>
      <c r="O22" s="51" t="s">
        <v>34</v>
      </c>
      <c r="P22" s="57">
        <v>547.19572433046324</v>
      </c>
      <c r="Q22" s="57">
        <f t="shared" ref="Q22:V22" si="11">P22*(1+Q$8)</f>
        <v>560.87561743872482</v>
      </c>
      <c r="R22" s="57">
        <f t="shared" si="11"/>
        <v>574.89750787469291</v>
      </c>
      <c r="S22" s="57">
        <f t="shared" si="11"/>
        <v>592.14443311093373</v>
      </c>
      <c r="T22" s="57">
        <f t="shared" si="11"/>
        <v>609.90876610426176</v>
      </c>
      <c r="U22" s="57">
        <f t="shared" si="11"/>
        <v>628.20602908738965</v>
      </c>
      <c r="V22" s="57">
        <f t="shared" si="11"/>
        <v>647.0522099600114</v>
      </c>
      <c r="Y22" s="58">
        <f>P22*('CPI and conversions'!$I$5/'CPI and conversions'!H$5)</f>
        <v>563.61159606037711</v>
      </c>
      <c r="Z22" s="58">
        <f>Q22*('CPI and conversions'!$I$5/'CPI and conversions'!I$5)</f>
        <v>560.87561743872482</v>
      </c>
      <c r="AA22" s="58">
        <f>R22*('CPI and conversions'!$I$5/'CPI and conversions'!J$5)</f>
        <v>560.87561743872482</v>
      </c>
      <c r="AB22" s="58">
        <f>S22*('CPI and conversions'!$I$5/'CPI and conversions'!K$5)</f>
        <v>563.61159606037734</v>
      </c>
    </row>
    <row r="23" spans="2:28" ht="23" x14ac:dyDescent="0.3">
      <c r="B23" s="42" t="s">
        <v>93</v>
      </c>
      <c r="C23" s="43">
        <v>2158.77</v>
      </c>
      <c r="D23" s="43">
        <f>C23*(1+'CPI and conversions'!I$7)*(1+'Labour Escalators'!E$6)</f>
        <v>2241.5448644903854</v>
      </c>
      <c r="E23" s="44">
        <f t="shared" si="7"/>
        <v>2241.5448644903854</v>
      </c>
      <c r="F23" s="44">
        <f>F9*1.75</f>
        <v>2549.9273823399299</v>
      </c>
      <c r="G23" s="44">
        <f>F23*('CPI and conversions'!$I$5/'CPI and conversions'!J$5)</f>
        <v>2487.7340315511515</v>
      </c>
      <c r="I23" s="51" t="s">
        <v>35</v>
      </c>
      <c r="J23" s="72"/>
      <c r="K23" s="72"/>
      <c r="L23" s="72"/>
      <c r="O23" s="51" t="s">
        <v>35</v>
      </c>
      <c r="P23" s="57">
        <v>789.59354782466824</v>
      </c>
      <c r="Q23" s="57">
        <f t="shared" ref="Q23:V23" si="12">P23*(1+Q$8)</f>
        <v>809.33338652028488</v>
      </c>
      <c r="R23" s="57">
        <f t="shared" si="12"/>
        <v>829.56672118329197</v>
      </c>
      <c r="S23" s="57">
        <f t="shared" si="12"/>
        <v>854.45372281879077</v>
      </c>
      <c r="T23" s="57">
        <f t="shared" si="12"/>
        <v>880.08733450335455</v>
      </c>
      <c r="U23" s="57">
        <f t="shared" si="12"/>
        <v>906.48995453845521</v>
      </c>
      <c r="V23" s="57">
        <f t="shared" si="12"/>
        <v>933.68465317460891</v>
      </c>
      <c r="Y23" s="58">
        <f>P23*('CPI and conversions'!$I$5/'CPI and conversions'!H$5)</f>
        <v>813.28135425940832</v>
      </c>
      <c r="Z23" s="58">
        <f>Q23*('CPI and conversions'!$I$5/'CPI and conversions'!I$5)</f>
        <v>809.33338652028488</v>
      </c>
      <c r="AA23" s="58">
        <f>R23*('CPI and conversions'!$I$5/'CPI and conversions'!J$5)</f>
        <v>809.33338652028488</v>
      </c>
      <c r="AB23" s="58">
        <f>S23*('CPI and conversions'!$I$5/'CPI and conversions'!K$5)</f>
        <v>813.28135425940843</v>
      </c>
    </row>
    <row r="24" spans="2:28" ht="34.5" x14ac:dyDescent="0.3">
      <c r="B24" s="42" t="s">
        <v>94</v>
      </c>
      <c r="C24" s="43">
        <v>1548.74</v>
      </c>
      <c r="D24" s="43">
        <f>C24*(1+'CPI and conversions'!I$7)*(1+'Labour Escalators'!E$6)</f>
        <v>1608.1241602536813</v>
      </c>
      <c r="E24" s="44">
        <f t="shared" si="7"/>
        <v>1608.1241602536813</v>
      </c>
      <c r="F24" s="44">
        <f>F10*(1.75)</f>
        <v>1006.0706387807126</v>
      </c>
      <c r="G24" s="44">
        <f>F24*('CPI and conversions'!$I$5/'CPI and conversions'!J$5)</f>
        <v>981.5323305177684</v>
      </c>
      <c r="I24" s="51" t="s">
        <v>36</v>
      </c>
      <c r="J24" s="72"/>
      <c r="K24" s="72"/>
      <c r="L24" s="72"/>
      <c r="O24" s="51" t="s">
        <v>36</v>
      </c>
      <c r="P24" s="57">
        <v>463.9194797828535</v>
      </c>
      <c r="Q24" s="57">
        <f t="shared" ref="Q24:V24" si="13">P24*(1+Q$8)</f>
        <v>475.51746677742477</v>
      </c>
      <c r="R24" s="57">
        <f t="shared" si="13"/>
        <v>487.40540344686036</v>
      </c>
      <c r="S24" s="57">
        <f t="shared" si="13"/>
        <v>502.02756555026616</v>
      </c>
      <c r="T24" s="57">
        <f t="shared" si="13"/>
        <v>517.08839251677421</v>
      </c>
      <c r="U24" s="57">
        <f t="shared" si="13"/>
        <v>532.60104429227749</v>
      </c>
      <c r="V24" s="57">
        <f t="shared" si="13"/>
        <v>548.57907562104583</v>
      </c>
      <c r="Y24" s="58">
        <f>P24*('CPI and conversions'!$I$5/'CPI and conversions'!H$5)</f>
        <v>477.83706417633914</v>
      </c>
      <c r="Z24" s="58">
        <f>Q24*('CPI and conversions'!$I$5/'CPI and conversions'!I$5)</f>
        <v>475.51746677742477</v>
      </c>
      <c r="AA24" s="58">
        <f>R24*('CPI and conversions'!$I$5/'CPI and conversions'!J$5)</f>
        <v>475.51746677742477</v>
      </c>
      <c r="AB24" s="58">
        <f>S24*('CPI and conversions'!$I$5/'CPI and conversions'!K$5)</f>
        <v>477.83706417633914</v>
      </c>
    </row>
    <row r="25" spans="2:28" ht="59.65" customHeight="1" x14ac:dyDescent="0.3">
      <c r="B25" s="42" t="s">
        <v>95</v>
      </c>
      <c r="C25" s="43">
        <v>1787.2</v>
      </c>
      <c r="D25" s="43">
        <f>C25*(1+'CPI and conversions'!I$7)*(1+'Labour Escalators'!E$6)</f>
        <v>1855.7275586640619</v>
      </c>
      <c r="E25" s="44">
        <f t="shared" si="7"/>
        <v>1855.7275586640619</v>
      </c>
      <c r="F25" s="44">
        <f>F12*1.75</f>
        <v>2153.2366494527823</v>
      </c>
      <c r="G25" s="44">
        <f>F25*('CPI and conversions'!$I$5/'CPI and conversions'!J$5)</f>
        <v>2100.7186823929587</v>
      </c>
      <c r="I25" s="51" t="s">
        <v>38</v>
      </c>
      <c r="J25" s="72"/>
      <c r="K25" s="72"/>
      <c r="L25" s="72"/>
      <c r="O25" s="51" t="s">
        <v>38</v>
      </c>
      <c r="P25" s="57">
        <v>141.06666607414604</v>
      </c>
      <c r="Q25" s="57">
        <f t="shared" ref="Q25:V25" si="14">P25*(1+Q$8)</f>
        <v>144.59333272599969</v>
      </c>
      <c r="R25" s="57">
        <f t="shared" si="14"/>
        <v>148.20816604414966</v>
      </c>
      <c r="S25" s="57">
        <f t="shared" si="14"/>
        <v>152.65441102547416</v>
      </c>
      <c r="T25" s="57">
        <f t="shared" si="14"/>
        <v>157.2340433562384</v>
      </c>
      <c r="U25" s="57">
        <f t="shared" si="14"/>
        <v>161.95106465692555</v>
      </c>
      <c r="V25" s="57">
        <f t="shared" si="14"/>
        <v>166.80959659663333</v>
      </c>
      <c r="Y25" s="58">
        <f>P25*('CPI and conversions'!$I$5/'CPI and conversions'!H$5)</f>
        <v>145.29866605637042</v>
      </c>
      <c r="Z25" s="58">
        <f>Q25*('CPI and conversions'!$I$5/'CPI and conversions'!I$5)</f>
        <v>144.59333272599969</v>
      </c>
      <c r="AA25" s="58">
        <f>R25*('CPI and conversions'!$I$5/'CPI and conversions'!J$5)</f>
        <v>144.59333272599969</v>
      </c>
      <c r="AB25" s="58">
        <f>S25*('CPI and conversions'!$I$5/'CPI and conversions'!K$5)</f>
        <v>145.29866605637045</v>
      </c>
    </row>
    <row r="26" spans="2:28" x14ac:dyDescent="0.3">
      <c r="B26" s="42" t="s">
        <v>96</v>
      </c>
      <c r="C26" s="43">
        <v>1767.4</v>
      </c>
      <c r="D26" s="43">
        <f>C26*(1+'CPI and conversions'!I$7)*(1+'Labour Escalators'!E$6)</f>
        <v>1835.1683567495879</v>
      </c>
      <c r="E26" s="44">
        <f t="shared" si="7"/>
        <v>1835.1683567495879</v>
      </c>
      <c r="F26" s="44">
        <f>F13*1.75</f>
        <v>1451.7417620707611</v>
      </c>
      <c r="G26" s="44">
        <f>F26*('CPI and conversions'!$I$5/'CPI and conversions'!J$5)</f>
        <v>1416.3334264104988</v>
      </c>
    </row>
    <row r="27" spans="2:28" ht="53.5" customHeight="1" x14ac:dyDescent="0.35">
      <c r="B27" s="42" t="s">
        <v>97</v>
      </c>
      <c r="C27" s="43">
        <v>1024.3900000000001</v>
      </c>
      <c r="D27" s="43">
        <f>C27*(1+'CPI and conversions'!I$7)*(1+'Labour Escalators'!E$6)</f>
        <v>1063.6687297559752</v>
      </c>
      <c r="E27" s="44">
        <f t="shared" si="7"/>
        <v>1063.6687297559752</v>
      </c>
      <c r="F27" s="44">
        <f>F14*1.75</f>
        <v>1302.3081443396941</v>
      </c>
      <c r="G27" s="44">
        <f>F27*('CPI and conversions'!$I$5/'CPI and conversions'!J$5)</f>
        <v>1270.5445310631162</v>
      </c>
      <c r="P27"/>
      <c r="Q27"/>
      <c r="R27"/>
      <c r="S27"/>
      <c r="T27"/>
      <c r="U27"/>
      <c r="V27"/>
    </row>
    <row r="28" spans="2:28" x14ac:dyDescent="0.3">
      <c r="B28" s="48"/>
      <c r="C28" s="49"/>
      <c r="D28" s="49"/>
      <c r="E28" s="49"/>
      <c r="F28" s="49"/>
      <c r="G28" s="49"/>
      <c r="I28" s="53" t="s">
        <v>46</v>
      </c>
      <c r="J28" s="72"/>
      <c r="K28" s="72"/>
      <c r="L28" s="72"/>
      <c r="P28" s="1"/>
      <c r="Q28" s="1"/>
      <c r="R28" s="1"/>
      <c r="S28" s="1"/>
      <c r="T28" s="1"/>
      <c r="U28" s="1"/>
      <c r="V28" s="1"/>
    </row>
    <row r="29" spans="2:28" ht="14.5" x14ac:dyDescent="0.35">
      <c r="B29" s="46" t="s">
        <v>42</v>
      </c>
      <c r="C29" s="45" t="s">
        <v>68</v>
      </c>
      <c r="D29" s="45" t="s">
        <v>68</v>
      </c>
      <c r="E29" s="44" t="str">
        <f>D29</f>
        <v>NA - quoted service</v>
      </c>
      <c r="F29" s="44">
        <f>F16*1.75</f>
        <v>1150.9314873516601</v>
      </c>
      <c r="G29" s="44">
        <f>F29*('CPI and conversions'!$I$5/'CPI and conversions'!J$5)</f>
        <v>1122.8599876601563</v>
      </c>
      <c r="I29" s="4" t="s">
        <v>117</v>
      </c>
      <c r="P29" s="1"/>
      <c r="Q29" s="1"/>
      <c r="R29" s="1"/>
      <c r="S29" s="1"/>
      <c r="T29" s="1"/>
      <c r="U29" s="1"/>
      <c r="V29" s="1"/>
    </row>
    <row r="30" spans="2:28" ht="14.5" x14ac:dyDescent="0.35">
      <c r="I30" s="4" t="s">
        <v>69</v>
      </c>
      <c r="J30" s="11">
        <v>3.6999999999999998E-2</v>
      </c>
    </row>
    <row r="33" spans="2:7" ht="14" x14ac:dyDescent="0.3">
      <c r="D33" s="47" t="s">
        <v>37</v>
      </c>
      <c r="E33" s="47" t="s">
        <v>102</v>
      </c>
      <c r="F33" s="47" t="s">
        <v>37</v>
      </c>
      <c r="G33" s="47" t="s">
        <v>102</v>
      </c>
    </row>
    <row r="34" spans="2:7" ht="14" x14ac:dyDescent="0.3">
      <c r="B34" s="40" t="s">
        <v>116</v>
      </c>
      <c r="C34" s="41" t="s">
        <v>66</v>
      </c>
      <c r="D34" s="41" t="s">
        <v>50</v>
      </c>
      <c r="E34" s="41" t="s">
        <v>50</v>
      </c>
      <c r="F34" s="41" t="s">
        <v>51</v>
      </c>
      <c r="G34" s="41" t="s">
        <v>51</v>
      </c>
    </row>
    <row r="35" spans="2:7" x14ac:dyDescent="0.3">
      <c r="B35" s="42" t="s">
        <v>98</v>
      </c>
      <c r="C35" s="43">
        <v>369.23</v>
      </c>
      <c r="D35" s="43">
        <f>C35*(1+'CPI and conversions'!I$7)*(1+'Labour Escalators'!E$6)</f>
        <v>383.38758196370395</v>
      </c>
      <c r="E35" s="44">
        <f>D35</f>
        <v>383.38758196370395</v>
      </c>
      <c r="F35" s="44">
        <f>D35*(1+'CPI and conversions'!J$7)*(1+'Labour Escalators'!F$6)</f>
        <v>396.63222834969736</v>
      </c>
      <c r="G35" s="44">
        <f>IFERROR(F35*('CPI and conversions'!$I$5/'CPI and conversions'!J$5),F35)</f>
        <v>386.95827156068037</v>
      </c>
    </row>
    <row r="36" spans="2:7" x14ac:dyDescent="0.3">
      <c r="B36" s="42" t="s">
        <v>99</v>
      </c>
      <c r="C36" s="43">
        <v>85.14</v>
      </c>
      <c r="D36" s="43">
        <f>C36*(1+'CPI and conversions'!I$7)*(1+'Labour Escalators'!E$6)</f>
        <v>88.404568232239399</v>
      </c>
      <c r="E36" s="44">
        <f t="shared" ref="E36:E40" si="15">D36</f>
        <v>88.404568232239399</v>
      </c>
      <c r="F36" s="44">
        <f>D36*(1+'CPI and conversions'!J$7)*(1+'Labour Escalators'!F$6)</f>
        <v>91.458624493386864</v>
      </c>
      <c r="G36" s="44">
        <f>IFERROR(F36*('CPI and conversions'!$I$5/'CPI and conversions'!J$5),F36)</f>
        <v>89.227926335011588</v>
      </c>
    </row>
    <row r="37" spans="2:7" x14ac:dyDescent="0.3">
      <c r="B37" s="42" t="s">
        <v>100</v>
      </c>
      <c r="C37" s="50">
        <f>C35</f>
        <v>369.23</v>
      </c>
      <c r="D37" s="43">
        <f>C37*(1+'CPI and conversions'!I$7)*(1+'Labour Escalators'!E$6)</f>
        <v>383.38758196370395</v>
      </c>
      <c r="E37" s="44">
        <f t="shared" si="15"/>
        <v>383.38758196370395</v>
      </c>
      <c r="F37" s="44">
        <f>D37*(1+'CPI and conversions'!J$7)*(1+'Labour Escalators'!F$6)</f>
        <v>396.63222834969736</v>
      </c>
      <c r="G37" s="44">
        <f>IFERROR(F37*('CPI and conversions'!$I$5/'CPI and conversions'!J$5),F37)</f>
        <v>386.95827156068037</v>
      </c>
    </row>
    <row r="38" spans="2:7" x14ac:dyDescent="0.3">
      <c r="B38" s="42" t="s">
        <v>101</v>
      </c>
      <c r="C38" s="50">
        <f>C36</f>
        <v>85.14</v>
      </c>
      <c r="D38" s="43">
        <f>C38*(1+'CPI and conversions'!I$7)*(1+'Labour Escalators'!E$6)</f>
        <v>88.404568232239399</v>
      </c>
      <c r="E38" s="44">
        <f t="shared" si="15"/>
        <v>88.404568232239399</v>
      </c>
      <c r="F38" s="44">
        <f>D38*(1+'CPI and conversions'!J$7)*(1+'Labour Escalators'!F$6)</f>
        <v>91.458624493386864</v>
      </c>
      <c r="G38" s="44">
        <f>IFERROR(F38*('CPI and conversions'!$I$5/'CPI and conversions'!J$5),F38)</f>
        <v>89.227926335011588</v>
      </c>
    </row>
    <row r="39" spans="2:7" x14ac:dyDescent="0.3">
      <c r="B39" s="42" t="s">
        <v>43</v>
      </c>
      <c r="C39" s="43">
        <v>250.01</v>
      </c>
      <c r="D39" s="43">
        <f>C39*(1+'CPI and conversions'!I$7)*(1+'Labour Escalators'!E$6)</f>
        <v>259.59626619382391</v>
      </c>
      <c r="E39" s="44">
        <f>D39</f>
        <v>259.59626619382391</v>
      </c>
      <c r="F39" s="44">
        <f>R16</f>
        <v>497.6635767204034</v>
      </c>
      <c r="G39" s="44">
        <f>IFERROR(F39*('CPI and conversions'!$I$5/'CPI and conversions'!J$5),F39)</f>
        <v>485.52544070283261</v>
      </c>
    </row>
    <row r="40" spans="2:7" x14ac:dyDescent="0.3">
      <c r="B40" s="42" t="s">
        <v>70</v>
      </c>
      <c r="C40" s="43">
        <v>385.96</v>
      </c>
      <c r="D40" s="43">
        <f>C40*(1+'CPI and conversions'!I$7)*(1+'Labour Escalators'!E$6)</f>
        <v>400.75906923790359</v>
      </c>
      <c r="E40" s="44">
        <f t="shared" si="15"/>
        <v>400.75906923790359</v>
      </c>
      <c r="F40" s="44" t="s">
        <v>40</v>
      </c>
      <c r="G40" s="44" t="str">
        <f>IFERROR(F40*('CPI and conversions'!$I$5/'CPI and conversions'!J$5),F40)</f>
        <v>NA</v>
      </c>
    </row>
    <row r="41" spans="2:7" x14ac:dyDescent="0.3">
      <c r="B41" s="42" t="s">
        <v>71</v>
      </c>
      <c r="C41" s="43">
        <v>385.96</v>
      </c>
      <c r="D41" s="43">
        <f>C41*(1+'CPI and conversions'!I$7)*(1+'Labour Escalators'!E$6)</f>
        <v>400.75906923790359</v>
      </c>
      <c r="E41" s="44">
        <f>D41</f>
        <v>400.75906923790359</v>
      </c>
      <c r="F41" s="44">
        <f>D41*(1+'CPI and conversions'!J$7)*(1+'Labour Escalators'!F$6)</f>
        <v>414.60383732050258</v>
      </c>
      <c r="G41" s="44">
        <f>IFERROR(F41*('CPI and conversions'!$I$5/'CPI and conversions'!J$5),F41)</f>
        <v>404.49154860536839</v>
      </c>
    </row>
    <row r="44" spans="2:7" ht="14" x14ac:dyDescent="0.3">
      <c r="D44" s="47" t="s">
        <v>37</v>
      </c>
      <c r="E44" s="47" t="s">
        <v>102</v>
      </c>
      <c r="F44" s="47" t="s">
        <v>37</v>
      </c>
      <c r="G44" s="47" t="s">
        <v>102</v>
      </c>
    </row>
    <row r="45" spans="2:7" ht="14" x14ac:dyDescent="0.3">
      <c r="B45" s="40" t="s">
        <v>115</v>
      </c>
      <c r="C45" s="41" t="s">
        <v>66</v>
      </c>
      <c r="D45" s="41" t="s">
        <v>50</v>
      </c>
      <c r="E45" s="41" t="s">
        <v>50</v>
      </c>
      <c r="F45" s="41" t="s">
        <v>51</v>
      </c>
      <c r="G45" s="41" t="s">
        <v>51</v>
      </c>
    </row>
    <row r="46" spans="2:7" x14ac:dyDescent="0.3">
      <c r="B46" s="42" t="s">
        <v>103</v>
      </c>
      <c r="C46" s="43">
        <v>0</v>
      </c>
      <c r="D46" s="43">
        <f>C46*(1+'CPI and conversions'!I$7)*(1+'Labour Escalators'!E$6)</f>
        <v>0</v>
      </c>
      <c r="E46" s="44">
        <f>D46</f>
        <v>0</v>
      </c>
      <c r="F46" s="44">
        <f>D46*(1+'CPI and conversions'!J$7)*(1+'Labour Escalators'!F$6)</f>
        <v>0</v>
      </c>
      <c r="G46" s="44">
        <f>IFERROR(F46*('CPI and conversions'!$I$5/'CPI and conversions'!J$5),F46)</f>
        <v>0</v>
      </c>
    </row>
    <row r="47" spans="2:7" x14ac:dyDescent="0.3">
      <c r="B47" s="42" t="s">
        <v>104</v>
      </c>
      <c r="C47" s="43">
        <v>0</v>
      </c>
      <c r="D47" s="43">
        <f>C47*(1+'CPI and conversions'!I$7)*(1+'Labour Escalators'!E$6)</f>
        <v>0</v>
      </c>
      <c r="E47" s="44">
        <f t="shared" ref="E47:E58" si="16">D47</f>
        <v>0</v>
      </c>
      <c r="F47" s="44">
        <f>D47*(1+'CPI and conversions'!J$7)*(1+'Labour Escalators'!F$6)</f>
        <v>0</v>
      </c>
      <c r="G47" s="44">
        <f>IFERROR(F47*('CPI and conversions'!$I$5/'CPI and conversions'!J$5),F47)</f>
        <v>0</v>
      </c>
    </row>
    <row r="48" spans="2:7" x14ac:dyDescent="0.3">
      <c r="B48" s="42" t="s">
        <v>105</v>
      </c>
      <c r="C48" s="43">
        <v>0</v>
      </c>
      <c r="D48" s="43">
        <f>C48*(1+'CPI and conversions'!I$7)*(1+'Labour Escalators'!E$6)</f>
        <v>0</v>
      </c>
      <c r="E48" s="44">
        <f t="shared" ref="E48:E52" si="17">D48</f>
        <v>0</v>
      </c>
      <c r="F48" s="44">
        <f>D48*(1+'CPI and conversions'!J$7)*(1+'Labour Escalators'!F$6)</f>
        <v>0</v>
      </c>
      <c r="G48" s="44">
        <f>IFERROR(F48*('CPI and conversions'!$I$5/'CPI and conversions'!J$5),F48)</f>
        <v>0</v>
      </c>
    </row>
    <row r="49" spans="2:7" x14ac:dyDescent="0.3">
      <c r="B49" s="42" t="s">
        <v>106</v>
      </c>
      <c r="C49" s="43">
        <v>17.899999999999999</v>
      </c>
      <c r="D49" s="43">
        <f>C49*(1+'CPI and conversions'!I$7)*(1+'Labour Escalators'!E$6)</f>
        <v>18.58634920550957</v>
      </c>
      <c r="E49" s="44">
        <f t="shared" si="17"/>
        <v>18.58634920550957</v>
      </c>
      <c r="F49" s="44">
        <f>D49*(1+'CPI and conversions'!J$7)*(1+'Labour Escalators'!F$6)</f>
        <v>19.22843996278629</v>
      </c>
      <c r="G49" s="44">
        <f>IFERROR(F49*('CPI and conversions'!$I$5/'CPI and conversions'!J$5),F49)</f>
        <v>18.759453622230527</v>
      </c>
    </row>
    <row r="50" spans="2:7" x14ac:dyDescent="0.3">
      <c r="B50" s="42" t="s">
        <v>107</v>
      </c>
      <c r="C50" s="43">
        <v>41.23</v>
      </c>
      <c r="D50" s="43">
        <f>C50*(1+'CPI and conversions'!I$7)*(1+'Labour Escalators'!E$6)</f>
        <v>42.810903784534055</v>
      </c>
      <c r="E50" s="44">
        <f t="shared" si="17"/>
        <v>42.810903784534055</v>
      </c>
      <c r="F50" s="44">
        <f>D50*(1+'CPI and conversions'!J$7)*(1+'Labour Escalators'!F$6)</f>
        <v>44.289864785792105</v>
      </c>
      <c r="G50" s="44">
        <f>IFERROR(F50*('CPI and conversions'!$I$5/'CPI and conversions'!J$5),F50)</f>
        <v>43.209624181260594</v>
      </c>
    </row>
    <row r="51" spans="2:7" x14ac:dyDescent="0.3">
      <c r="B51" s="42" t="s">
        <v>108</v>
      </c>
      <c r="C51" s="43">
        <v>41.23</v>
      </c>
      <c r="D51" s="43">
        <f>C51*(1+'CPI and conversions'!I$7)*(1+'Labour Escalators'!E$6)</f>
        <v>42.810903784534055</v>
      </c>
      <c r="E51" s="44">
        <f t="shared" si="17"/>
        <v>42.810903784534055</v>
      </c>
      <c r="F51" s="44">
        <f>D51*(1+'CPI and conversions'!J$7)*(1+'Labour Escalators'!F$6)</f>
        <v>44.289864785792105</v>
      </c>
      <c r="G51" s="44">
        <f>IFERROR(F51*('CPI and conversions'!$I$5/'CPI and conversions'!J$5),F51)</f>
        <v>43.209624181260594</v>
      </c>
    </row>
    <row r="52" spans="2:7" x14ac:dyDescent="0.3">
      <c r="B52" s="42" t="s">
        <v>109</v>
      </c>
      <c r="C52" s="43">
        <v>39.909999999999997</v>
      </c>
      <c r="D52" s="43">
        <f>C52*(1+'CPI and conversions'!I$7)*(1+'Labour Escalators'!E$6)</f>
        <v>41.440290323569101</v>
      </c>
      <c r="E52" s="44">
        <f t="shared" si="17"/>
        <v>41.440290323569101</v>
      </c>
      <c r="F52" s="44">
        <f>D52*(1+'CPI and conversions'!J$7)*(1+'Labour Escalators'!F$6)</f>
        <v>42.871901615351987</v>
      </c>
      <c r="G52" s="44">
        <f>IFERROR(F52*('CPI and conversions'!$I$5/'CPI and conversions'!J$5),F52)</f>
        <v>41.826245478392188</v>
      </c>
    </row>
    <row r="53" spans="2:7" x14ac:dyDescent="0.3">
      <c r="B53" s="46" t="s">
        <v>110</v>
      </c>
      <c r="C53" s="43">
        <v>1.02</v>
      </c>
      <c r="D53" s="43">
        <f>C53*(1+'CPI and conversions'!I$7)*(1+'Labour Escalators'!E$6)</f>
        <v>1.0591104016547355</v>
      </c>
      <c r="E53" s="61" t="s">
        <v>40</v>
      </c>
      <c r="F53" s="61" t="s">
        <v>40</v>
      </c>
      <c r="G53" s="44" t="str">
        <f>IFERROR(F53*('CPI and conversions'!$I$5/'CPI and conversions'!J$5),F53)</f>
        <v>NA</v>
      </c>
    </row>
    <row r="54" spans="2:7" x14ac:dyDescent="0.3">
      <c r="B54" s="48"/>
      <c r="C54" s="49"/>
      <c r="D54" s="49"/>
      <c r="E54" s="49"/>
      <c r="F54" s="49"/>
      <c r="G54" s="49"/>
    </row>
    <row r="55" spans="2:7" x14ac:dyDescent="0.3">
      <c r="B55" s="42" t="s">
        <v>111</v>
      </c>
      <c r="C55" s="43">
        <v>35.54</v>
      </c>
      <c r="D55" s="43">
        <f>C55*(1+'CPI and conversions'!I$7)*(1+'Labour Escalators'!E$6)</f>
        <v>36.902729092950295</v>
      </c>
      <c r="E55" s="44">
        <f t="shared" si="16"/>
        <v>36.902729092950295</v>
      </c>
      <c r="F55" s="44">
        <f>D55*(1+'CPI and conversions'!J$7)*(1+'Labour Escalators'!F$6)</f>
        <v>38.177584149576802</v>
      </c>
      <c r="G55" s="44">
        <f>IFERROR(F55*('CPI and conversions'!$I$5/'CPI and conversions'!J$5),F55)</f>
        <v>37.246423560562739</v>
      </c>
    </row>
    <row r="56" spans="2:7" x14ac:dyDescent="0.3">
      <c r="B56" s="42" t="s">
        <v>112</v>
      </c>
      <c r="C56" s="43">
        <v>2.09</v>
      </c>
      <c r="D56" s="43">
        <f>C56*(1+'CPI and conversions'!I$7)*(1+'Labour Escalators'!E$6)</f>
        <v>2.1701379798611735</v>
      </c>
      <c r="E56" s="44">
        <f t="shared" si="16"/>
        <v>2.1701379798611735</v>
      </c>
      <c r="F56" s="44">
        <f>D56*(1+'CPI and conversions'!J$7)*(1+'Labour Escalators'!F$6)</f>
        <v>2.2451083531968345</v>
      </c>
      <c r="G56" s="44">
        <f>IFERROR(F56*('CPI and conversions'!$I$5/'CPI and conversions'!J$5),F56)</f>
        <v>2.1903496128749609</v>
      </c>
    </row>
    <row r="57" spans="2:7" x14ac:dyDescent="0.3">
      <c r="B57" s="48"/>
      <c r="C57" s="49"/>
      <c r="D57" s="49"/>
      <c r="E57" s="49"/>
      <c r="F57" s="49"/>
      <c r="G57" s="49"/>
    </row>
    <row r="58" spans="2:7" x14ac:dyDescent="0.3">
      <c r="B58" s="46" t="s">
        <v>113</v>
      </c>
      <c r="C58" s="43">
        <v>72.16</v>
      </c>
      <c r="D58" s="43">
        <f>C58*(1+'CPI and conversions'!I$7)*(1+'Labour Escalators'!E$6)</f>
        <v>74.926869199417354</v>
      </c>
      <c r="E58" s="44">
        <f t="shared" si="16"/>
        <v>74.926869199417354</v>
      </c>
      <c r="F58" s="44">
        <f>D58*(1+'CPI and conversions'!J$7)*(1+'Labour Escalators'!F$6)</f>
        <v>77.515319984059133</v>
      </c>
      <c r="G58" s="44">
        <f>IFERROR(F58*('CPI and conversions'!$I$5/'CPI and conversions'!J$5),F58)</f>
        <v>75.624702423472328</v>
      </c>
    </row>
    <row r="61" spans="2:7" ht="14.5" x14ac:dyDescent="0.35">
      <c r="B61"/>
    </row>
    <row r="62" spans="2:7" ht="14" x14ac:dyDescent="0.3">
      <c r="B62" s="40" t="s">
        <v>47</v>
      </c>
      <c r="C62" s="41" t="s">
        <v>66</v>
      </c>
      <c r="D62" s="41" t="s">
        <v>50</v>
      </c>
      <c r="E62" s="41" t="s">
        <v>50</v>
      </c>
      <c r="F62" s="41" t="s">
        <v>51</v>
      </c>
      <c r="G62" s="41" t="s">
        <v>51</v>
      </c>
    </row>
    <row r="63" spans="2:7" x14ac:dyDescent="0.3">
      <c r="B63" s="42" t="s">
        <v>49</v>
      </c>
      <c r="C63" s="43">
        <v>72.12</v>
      </c>
      <c r="D63" s="43">
        <f>C63*(1+'CPI and conversions'!I$7)*(1+'Labour Escalators'!E$6)</f>
        <v>74.885335458176002</v>
      </c>
      <c r="E63" s="44">
        <f>D63</f>
        <v>74.885335458176002</v>
      </c>
      <c r="F63" s="44">
        <f>'[1]PL Tariff Components'!$D$7</f>
        <v>132.23980201856648</v>
      </c>
      <c r="G63" s="44">
        <f>IFERROR(F63*('CPI and conversions'!$I$5/'CPI and conversions'!J$5),F63)</f>
        <v>129.01444099372341</v>
      </c>
    </row>
  </sheetData>
  <phoneticPr fontId="19" type="noConversion"/>
  <pageMargins left="0.7" right="0.7" top="0.75" bottom="0.75" header="0.3" footer="0.3"/>
  <pageSetup paperSize="9" orientation="portrait" horizontalDpi="4294967292" verticalDpi="4294967292" r:id="rId1"/>
  <headerFooter>
    <oddFooter>&amp;C_x000D_&amp;1#&amp;"Century Gothic"&amp;7&amp;K7F7F7F BUSINESS USE ONLY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B1:AA22"/>
  <sheetViews>
    <sheetView showGridLines="0" zoomScale="104" zoomScaleNormal="104" zoomScalePageLayoutView="104" workbookViewId="0">
      <pane xSplit="3" ySplit="3" topLeftCell="D4" activePane="bottomRight" state="frozen"/>
      <selection pane="topRight"/>
      <selection pane="bottomLeft"/>
      <selection pane="bottomRight" activeCell="D4" sqref="D4"/>
    </sheetView>
  </sheetViews>
  <sheetFormatPr defaultColWidth="8.81640625" defaultRowHeight="14.5" x14ac:dyDescent="0.35"/>
  <cols>
    <col min="1" max="1" width="2.54296875" customWidth="1"/>
    <col min="2" max="2" width="20.54296875" customWidth="1"/>
    <col min="3" max="3" width="40.54296875" customWidth="1"/>
    <col min="4" max="27" width="13.81640625" customWidth="1"/>
  </cols>
  <sheetData>
    <row r="1" spans="2:27" ht="15" thickBot="1" x14ac:dyDescent="0.4"/>
    <row r="2" spans="2:27" ht="15" thickBot="1" x14ac:dyDescent="0.4">
      <c r="D2" s="20" t="s">
        <v>60</v>
      </c>
      <c r="E2" s="21"/>
      <c r="F2" s="21"/>
      <c r="G2" s="21"/>
      <c r="H2" s="21"/>
      <c r="I2" s="22"/>
      <c r="J2" s="22"/>
      <c r="K2" s="20" t="s">
        <v>72</v>
      </c>
      <c r="L2" s="21"/>
      <c r="M2" s="22"/>
      <c r="N2" s="20" t="s">
        <v>61</v>
      </c>
      <c r="O2" s="21"/>
      <c r="P2" s="21"/>
      <c r="Q2" s="21"/>
      <c r="R2" s="21"/>
      <c r="S2" s="22"/>
      <c r="T2" s="22"/>
      <c r="U2" s="20" t="s">
        <v>73</v>
      </c>
      <c r="V2" s="21"/>
      <c r="W2" s="22"/>
      <c r="X2" s="20" t="s">
        <v>44</v>
      </c>
      <c r="Y2" s="21"/>
      <c r="Z2" s="21"/>
      <c r="AA2" s="22"/>
    </row>
    <row r="3" spans="2:27" ht="42.5" thickBot="1" x14ac:dyDescent="0.4">
      <c r="B3" s="23" t="s">
        <v>3</v>
      </c>
      <c r="C3" s="23" t="s">
        <v>4</v>
      </c>
      <c r="D3" s="25" t="s">
        <v>66</v>
      </c>
      <c r="E3" s="27" t="s">
        <v>50</v>
      </c>
      <c r="F3" s="26" t="s">
        <v>51</v>
      </c>
      <c r="G3" s="27" t="s">
        <v>52</v>
      </c>
      <c r="H3" s="27" t="s">
        <v>53</v>
      </c>
      <c r="I3" s="27" t="s">
        <v>54</v>
      </c>
      <c r="J3" s="28" t="s">
        <v>55</v>
      </c>
      <c r="K3" s="25" t="s">
        <v>50</v>
      </c>
      <c r="L3" s="26" t="s">
        <v>51</v>
      </c>
      <c r="M3" s="28" t="s">
        <v>52</v>
      </c>
      <c r="N3" s="25" t="s">
        <v>66</v>
      </c>
      <c r="O3" s="27" t="s">
        <v>50</v>
      </c>
      <c r="P3" s="26" t="s">
        <v>51</v>
      </c>
      <c r="Q3" s="27" t="s">
        <v>52</v>
      </c>
      <c r="R3" s="27" t="s">
        <v>53</v>
      </c>
      <c r="S3" s="27" t="s">
        <v>54</v>
      </c>
      <c r="T3" s="28" t="s">
        <v>55</v>
      </c>
      <c r="U3" s="25" t="s">
        <v>50</v>
      </c>
      <c r="V3" s="26" t="s">
        <v>51</v>
      </c>
      <c r="W3" s="28" t="s">
        <v>52</v>
      </c>
      <c r="X3" s="25" t="s">
        <v>74</v>
      </c>
      <c r="Y3" s="27" t="s">
        <v>75</v>
      </c>
      <c r="Z3" s="27" t="s">
        <v>76</v>
      </c>
      <c r="AA3" s="28" t="s">
        <v>77</v>
      </c>
    </row>
    <row r="4" spans="2:27" x14ac:dyDescent="0.35">
      <c r="B4" s="19" t="s">
        <v>62</v>
      </c>
      <c r="C4" s="19" t="s">
        <v>5</v>
      </c>
      <c r="D4" s="29">
        <v>143.6</v>
      </c>
      <c r="E4" s="38">
        <f>D4*(1+'CPI and conversions'!I$7)*(1+'Labour Escalators'!E$6)</f>
        <v>149.1061310564902</v>
      </c>
      <c r="F4" s="30">
        <f>E4*(1+'CPI and conversions'!J$7)*(1+'Labour Escalators'!F$6)</f>
        <v>154.2572055115146</v>
      </c>
      <c r="G4" s="30">
        <f>F4*(1+'CPI and conversions'!K$7)*(1+'Labour Escalators'!G$6)</f>
        <v>159.43520564582266</v>
      </c>
      <c r="H4" s="30">
        <f>G4*(1+'CPI and conversions'!L$7)*(1+'Labour Escalators'!H$6)</f>
        <v>165.09696747439173</v>
      </c>
      <c r="I4" s="30">
        <f>H4*(1+'CPI and conversions'!M$7)*(1+'Labour Escalators'!I$6)</f>
        <v>171.29573004358875</v>
      </c>
      <c r="J4" s="31">
        <f>I4*(1+'CPI and conversions'!N$7)*(1+'Labour Escalators'!J$6)</f>
        <v>177.3659217327893</v>
      </c>
      <c r="K4" s="34">
        <f>E4*('CPI and conversions'!$I$5/'CPI and conversions'!I$5)</f>
        <v>149.1061310564902</v>
      </c>
      <c r="L4" s="30">
        <f>F4*('CPI and conversions'!$I$5/'CPI and conversions'!J$5)</f>
        <v>150.49483464538011</v>
      </c>
      <c r="M4" s="31">
        <f>G4*('CPI and conversions'!$I$5/'CPI and conversions'!K$5)</f>
        <v>151.75272399364445</v>
      </c>
      <c r="N4" s="29">
        <v>174.4</v>
      </c>
      <c r="O4" s="38">
        <f>N4*(1+'CPI and conversions'!I$7)*(1+'Labour Escalators'!E$6)</f>
        <v>181.08711181233909</v>
      </c>
      <c r="P4" s="24">
        <f t="shared" ref="P4:P6" si="0">F4*1.75</f>
        <v>269.95010964515052</v>
      </c>
      <c r="Q4" s="36">
        <f>P4*(1+'CPI and conversions'!K$7)*(1+'Labour Escalators'!G$6)</f>
        <v>279.01160988018967</v>
      </c>
      <c r="R4" s="36">
        <f>Q4*(1+'CPI and conversions'!L$7)*(1+'Labour Escalators'!H$6)</f>
        <v>288.91969308018554</v>
      </c>
      <c r="S4" s="36">
        <f>R4*(1+'CPI and conversions'!M$7)*(1+'Labour Escalators'!I$6)</f>
        <v>299.76752757628032</v>
      </c>
      <c r="T4" s="37">
        <f>S4*(1+'CPI and conversions'!N$7)*(1+'Labour Escalators'!J$6)</f>
        <v>310.39036303238129</v>
      </c>
      <c r="U4" s="34">
        <f>O4*('CPI and conversions'!$I$5/'CPI and conversions'!I$5)</f>
        <v>181.08711181233909</v>
      </c>
      <c r="V4" s="30">
        <f>P4*('CPI and conversions'!$I$5/'CPI and conversions'!J$5)</f>
        <v>263.36596062941516</v>
      </c>
      <c r="W4" s="31">
        <f>Q4*('CPI and conversions'!$I$5/'CPI and conversions'!K$5)</f>
        <v>265.5672669888778</v>
      </c>
      <c r="X4" s="34">
        <f>K4</f>
        <v>149.1061310564902</v>
      </c>
      <c r="Y4" s="30">
        <f>U4</f>
        <v>181.08711181233909</v>
      </c>
      <c r="Z4" s="30">
        <f>L4</f>
        <v>150.49483464538011</v>
      </c>
      <c r="AA4" s="31">
        <f>V4</f>
        <v>263.36596062941516</v>
      </c>
    </row>
    <row r="5" spans="2:27" x14ac:dyDescent="0.35">
      <c r="B5" s="19" t="s">
        <v>62</v>
      </c>
      <c r="C5" s="19" t="s">
        <v>6</v>
      </c>
      <c r="D5" s="32">
        <v>140.25</v>
      </c>
      <c r="E5" s="39">
        <f>D5*(1+'CPI and conversions'!I$7)*(1+'Labour Escalators'!E$6)</f>
        <v>145.62768022752613</v>
      </c>
      <c r="F5" s="24">
        <f>E5*(1+'CPI and conversions'!J$7)*(1+'Labour Escalators'!F$6)</f>
        <v>150.65858685926131</v>
      </c>
      <c r="G5" s="24">
        <f>F5*(1+'CPI and conversions'!K$7)*(1+'Labour Escalators'!G$6)</f>
        <v>155.71579102943338</v>
      </c>
      <c r="H5" s="24">
        <f>G5*(1+'CPI and conversions'!L$7)*(1+'Labour Escalators'!H$6)</f>
        <v>161.24547136687636</v>
      </c>
      <c r="I5" s="24">
        <f>H5*(1+'CPI and conversions'!M$7)*(1+'Labour Escalators'!I$6)</f>
        <v>167.29962492070564</v>
      </c>
      <c r="J5" s="33">
        <f>I5*(1+'CPI and conversions'!N$7)*(1+'Labour Escalators'!J$6)</f>
        <v>173.22820698484477</v>
      </c>
      <c r="K5" s="35">
        <f>E5*('CPI and conversions'!$I$5/'CPI and conversions'!I$5)</f>
        <v>145.62768022752613</v>
      </c>
      <c r="L5" s="24">
        <f>F5*('CPI and conversions'!$I$5/'CPI and conversions'!J$5)</f>
        <v>146.98398717976713</v>
      </c>
      <c r="M5" s="33">
        <f>G5*('CPI and conversions'!$I$5/'CPI and conversions'!K$5)</f>
        <v>148.21253161635542</v>
      </c>
      <c r="N5" s="32">
        <v>170.34</v>
      </c>
      <c r="O5" s="39">
        <f>N5*(1+'CPI and conversions'!I$7)*(1+'Labour Escalators'!E$6)</f>
        <v>176.87143707634081</v>
      </c>
      <c r="P5" s="24">
        <f t="shared" si="0"/>
        <v>263.65252700370729</v>
      </c>
      <c r="Q5" s="24">
        <f>P5*(1+'CPI and conversions'!K$7)*(1+'Labour Escalators'!G$6)</f>
        <v>272.50263430150841</v>
      </c>
      <c r="R5" s="24">
        <f>Q5*(1+'CPI and conversions'!L$7)*(1+'Labour Escalators'!H$6)</f>
        <v>282.1795748920336</v>
      </c>
      <c r="S5" s="24">
        <f>R5*(1+'CPI and conversions'!M$7)*(1+'Labour Escalators'!I$6)</f>
        <v>292.77434361123477</v>
      </c>
      <c r="T5" s="33">
        <f>S5*(1+'CPI and conversions'!N$7)*(1+'Labour Escalators'!J$6)</f>
        <v>303.14936222347825</v>
      </c>
      <c r="U5" s="35">
        <f>O5*('CPI and conversions'!$I$5/'CPI and conversions'!I$5)</f>
        <v>176.87143707634081</v>
      </c>
      <c r="V5" s="24">
        <f>P5*('CPI and conversions'!$I$5/'CPI and conversions'!J$5)</f>
        <v>257.22197756459252</v>
      </c>
      <c r="W5" s="33">
        <f>Q5*('CPI and conversions'!$I$5/'CPI and conversions'!K$5)</f>
        <v>259.371930328622</v>
      </c>
      <c r="X5" s="35">
        <f t="shared" ref="X5:X19" si="1">K5</f>
        <v>145.62768022752613</v>
      </c>
      <c r="Y5" s="24">
        <f t="shared" ref="Y5:Y19" si="2">U5</f>
        <v>176.87143707634081</v>
      </c>
      <c r="Z5" s="24">
        <f t="shared" ref="Z5:Z19" si="3">L5</f>
        <v>146.98398717976713</v>
      </c>
      <c r="AA5" s="33">
        <f t="shared" ref="AA5:AA19" si="4">V5</f>
        <v>257.22197756459252</v>
      </c>
    </row>
    <row r="6" spans="2:27" x14ac:dyDescent="0.35">
      <c r="B6" s="19" t="s">
        <v>62</v>
      </c>
      <c r="C6" s="19" t="s">
        <v>7</v>
      </c>
      <c r="D6" s="32">
        <v>140.25</v>
      </c>
      <c r="E6" s="39">
        <f>D6*(1+'CPI and conversions'!I$7)*(1+'Labour Escalators'!E$6)</f>
        <v>145.62768022752613</v>
      </c>
      <c r="F6" s="24">
        <f>E6*(1+'CPI and conversions'!J$7)*(1+'Labour Escalators'!F$6)</f>
        <v>150.65858685926131</v>
      </c>
      <c r="G6" s="24">
        <f>F6*(1+'CPI and conversions'!K$7)*(1+'Labour Escalators'!G$6)</f>
        <v>155.71579102943338</v>
      </c>
      <c r="H6" s="24">
        <f>G6*(1+'CPI and conversions'!L$7)*(1+'Labour Escalators'!H$6)</f>
        <v>161.24547136687636</v>
      </c>
      <c r="I6" s="24">
        <f>H6*(1+'CPI and conversions'!M$7)*(1+'Labour Escalators'!I$6)</f>
        <v>167.29962492070564</v>
      </c>
      <c r="J6" s="33">
        <f>I6*(1+'CPI and conversions'!N$7)*(1+'Labour Escalators'!J$6)</f>
        <v>173.22820698484477</v>
      </c>
      <c r="K6" s="35">
        <f>E6*('CPI and conversions'!$I$5/'CPI and conversions'!I$5)</f>
        <v>145.62768022752613</v>
      </c>
      <c r="L6" s="24">
        <f>F6*('CPI and conversions'!$I$5/'CPI and conversions'!J$5)</f>
        <v>146.98398717976713</v>
      </c>
      <c r="M6" s="33">
        <f>G6*('CPI and conversions'!$I$5/'CPI and conversions'!K$5)</f>
        <v>148.21253161635542</v>
      </c>
      <c r="N6" s="32">
        <v>170.34</v>
      </c>
      <c r="O6" s="39">
        <f>N6*(1+'CPI and conversions'!I$7)*(1+'Labour Escalators'!E$6)</f>
        <v>176.87143707634081</v>
      </c>
      <c r="P6" s="24">
        <f t="shared" si="0"/>
        <v>263.65252700370729</v>
      </c>
      <c r="Q6" s="24">
        <f>P6*(1+'CPI and conversions'!K$7)*(1+'Labour Escalators'!G$6)</f>
        <v>272.50263430150841</v>
      </c>
      <c r="R6" s="24">
        <f>Q6*(1+'CPI and conversions'!L$7)*(1+'Labour Escalators'!H$6)</f>
        <v>282.1795748920336</v>
      </c>
      <c r="S6" s="24">
        <f>R6*(1+'CPI and conversions'!M$7)*(1+'Labour Escalators'!I$6)</f>
        <v>292.77434361123477</v>
      </c>
      <c r="T6" s="33">
        <f>S6*(1+'CPI and conversions'!N$7)*(1+'Labour Escalators'!J$6)</f>
        <v>303.14936222347825</v>
      </c>
      <c r="U6" s="35">
        <f>O6*('CPI and conversions'!$I$5/'CPI and conversions'!I$5)</f>
        <v>176.87143707634081</v>
      </c>
      <c r="V6" s="24">
        <f>P6*('CPI and conversions'!$I$5/'CPI and conversions'!J$5)</f>
        <v>257.22197756459252</v>
      </c>
      <c r="W6" s="33">
        <f>Q6*('CPI and conversions'!$I$5/'CPI and conversions'!K$5)</f>
        <v>259.371930328622</v>
      </c>
      <c r="X6" s="35">
        <f t="shared" si="1"/>
        <v>145.62768022752613</v>
      </c>
      <c r="Y6" s="24">
        <f t="shared" si="2"/>
        <v>176.87143707634081</v>
      </c>
      <c r="Z6" s="24">
        <f t="shared" si="3"/>
        <v>146.98398717976713</v>
      </c>
      <c r="AA6" s="33">
        <f t="shared" si="4"/>
        <v>257.22197756459252</v>
      </c>
    </row>
    <row r="7" spans="2:27" x14ac:dyDescent="0.35">
      <c r="B7" s="19" t="s">
        <v>62</v>
      </c>
      <c r="C7" s="19" t="s">
        <v>8</v>
      </c>
      <c r="D7" s="32">
        <v>206.79</v>
      </c>
      <c r="E7" s="39">
        <f>D7*(1+'CPI and conversions'!I$7)*(1+'Labour Escalators'!E$6)</f>
        <v>214.7190587825321</v>
      </c>
      <c r="F7" s="24">
        <f>E7*(1+'CPI and conversions'!J$7)*(1+'Labour Escalators'!F$6)</f>
        <v>222.13682122371938</v>
      </c>
      <c r="G7" s="24">
        <f>F7*(1+'CPI and conversions'!K$7)*(1+'Labour Escalators'!G$6)</f>
        <v>229.59335776810357</v>
      </c>
      <c r="H7" s="24">
        <f>G7*(1+'CPI and conversions'!L$7)*(1+'Labour Escalators'!H$6)</f>
        <v>237.74653136510776</v>
      </c>
      <c r="I7" s="24">
        <f>H7*(1+'CPI and conversions'!M$7)*(1+'Labour Escalators'!I$6)</f>
        <v>246.673008465973</v>
      </c>
      <c r="J7" s="33">
        <f>I7*(1+'CPI and conversions'!N$7)*(1+'Labour Escalators'!J$6)</f>
        <v>255.41433812760101</v>
      </c>
      <c r="K7" s="35">
        <f>E7*('CPI and conversions'!$I$5/'CPI and conversions'!I$5)</f>
        <v>214.7190587825321</v>
      </c>
      <c r="L7" s="24">
        <f>F7*('CPI and conversions'!$I$5/'CPI and conversions'!J$5)</f>
        <v>216.71884997436038</v>
      </c>
      <c r="M7" s="33">
        <f>G7*('CPI and conversions'!$I$5/'CPI and conversions'!K$5)</f>
        <v>218.53026319391185</v>
      </c>
      <c r="N7" s="32">
        <v>282.7</v>
      </c>
      <c r="O7" s="39">
        <f>N7*(1+'CPI and conversions'!I$7)*(1+'Labour Escalators'!E$6)</f>
        <v>293.53971622332716</v>
      </c>
      <c r="P7" s="24">
        <f>F7*1.75</f>
        <v>388.73943714150892</v>
      </c>
      <c r="Q7" s="24">
        <f>P7*(1+'CPI and conversions'!K$7)*(1+'Labour Escalators'!G$6)</f>
        <v>401.78837609418122</v>
      </c>
      <c r="R7" s="24">
        <f>Q7*(1+'CPI and conversions'!L$7)*(1+'Labour Escalators'!H$6)</f>
        <v>416.05642988893857</v>
      </c>
      <c r="S7" s="24">
        <f>R7*(1+'CPI and conversions'!M$7)*(1+'Labour Escalators'!I$6)</f>
        <v>431.6777648154528</v>
      </c>
      <c r="T7" s="33">
        <f>S7*(1+'CPI and conversions'!N$7)*(1+'Labour Escalators'!J$6)</f>
        <v>446.97509172330183</v>
      </c>
      <c r="U7" s="35">
        <f>O7*('CPI and conversions'!$I$5/'CPI and conversions'!I$5)</f>
        <v>293.53971622332716</v>
      </c>
      <c r="V7" s="24">
        <f>P7*('CPI and conversions'!$I$5/'CPI and conversions'!J$5)</f>
        <v>379.25798745513066</v>
      </c>
      <c r="W7" s="33">
        <f>Q7*('CPI and conversions'!$I$5/'CPI and conversions'!K$5)</f>
        <v>382.42796058934567</v>
      </c>
      <c r="X7" s="35">
        <f t="shared" si="1"/>
        <v>214.7190587825321</v>
      </c>
      <c r="Y7" s="24">
        <f t="shared" si="2"/>
        <v>293.53971622332716</v>
      </c>
      <c r="Z7" s="24">
        <f t="shared" si="3"/>
        <v>216.71884997436038</v>
      </c>
      <c r="AA7" s="33">
        <f t="shared" si="4"/>
        <v>379.25798745513066</v>
      </c>
    </row>
    <row r="8" spans="2:27" x14ac:dyDescent="0.35">
      <c r="B8" s="19" t="s">
        <v>62</v>
      </c>
      <c r="C8" s="19" t="s">
        <v>9</v>
      </c>
      <c r="D8" s="32">
        <v>192.77</v>
      </c>
      <c r="E8" s="39">
        <f>D8*(1+'CPI and conversions'!I$7)*(1+'Labour Escalators'!E$6)</f>
        <v>200.16148247743467</v>
      </c>
      <c r="F8" s="24">
        <f>E8*(1+'CPI and conversions'!J$7)*(1+'Labour Escalators'!F$6)</f>
        <v>207.0763336104086</v>
      </c>
      <c r="G8" s="24">
        <f>F8*(1+'CPI and conversions'!K$7)*(1+'Labour Escalators'!G$6)</f>
        <v>214.02733003025935</v>
      </c>
      <c r="H8" s="24">
        <f>G8*(1+'CPI and conversions'!L$7)*(1+'Labour Escalators'!H$6)</f>
        <v>221.62773273007318</v>
      </c>
      <c r="I8" s="24">
        <f>H8*(1+'CPI and conversions'!M$7)*(1+'Labour Escalators'!I$6)</f>
        <v>229.94901030990681</v>
      </c>
      <c r="J8" s="33">
        <f>I8*(1+'CPI and conversions'!N$7)*(1+'Labour Escalators'!J$6)</f>
        <v>238.09769312277027</v>
      </c>
      <c r="K8" s="35">
        <f>E8*('CPI and conversions'!$I$5/'CPI and conversions'!I$5)</f>
        <v>200.16148247743467</v>
      </c>
      <c r="L8" s="24">
        <f>F8*('CPI and conversions'!$I$5/'CPI and conversions'!J$5)</f>
        <v>202.02569132722792</v>
      </c>
      <c r="M8" s="33">
        <f>G8*('CPI and conversions'!$I$5/'CPI and conversions'!K$5)</f>
        <v>203.71429390149615</v>
      </c>
      <c r="N8" s="32">
        <v>0</v>
      </c>
      <c r="O8" s="39">
        <f>N8*(1+'CPI and conversions'!I$7)*(1+'Labour Escalators'!E$6)</f>
        <v>0</v>
      </c>
      <c r="P8" s="24">
        <f>O8*(1+'CPI and conversions'!J$7)*(1+'Labour Escalators'!F$6)</f>
        <v>0</v>
      </c>
      <c r="Q8" s="24">
        <f>P8*(1+'CPI and conversions'!K$7)*(1+'Labour Escalators'!G$6)</f>
        <v>0</v>
      </c>
      <c r="R8" s="24">
        <f>Q8*(1+'CPI and conversions'!L$7)*(1+'Labour Escalators'!H$6)</f>
        <v>0</v>
      </c>
      <c r="S8" s="24">
        <f>R8*(1+'CPI and conversions'!M$7)*(1+'Labour Escalators'!I$6)</f>
        <v>0</v>
      </c>
      <c r="T8" s="33">
        <f>S8*(1+'CPI and conversions'!N$7)*(1+'Labour Escalators'!J$6)</f>
        <v>0</v>
      </c>
      <c r="U8" s="35">
        <f>O8*('CPI and conversions'!$I$5/'CPI and conversions'!I$5)</f>
        <v>0</v>
      </c>
      <c r="V8" s="24">
        <f>P8*('CPI and conversions'!$I$5/'CPI and conversions'!J$5)</f>
        <v>0</v>
      </c>
      <c r="W8" s="33">
        <f>Q8*('CPI and conversions'!$I$5/'CPI and conversions'!K$5)</f>
        <v>0</v>
      </c>
      <c r="X8" s="35">
        <f t="shared" si="1"/>
        <v>200.16148247743467</v>
      </c>
      <c r="Y8" s="24">
        <f t="shared" si="2"/>
        <v>0</v>
      </c>
      <c r="Z8" s="24">
        <f t="shared" si="3"/>
        <v>202.02569132722792</v>
      </c>
      <c r="AA8" s="33">
        <f t="shared" si="4"/>
        <v>0</v>
      </c>
    </row>
    <row r="9" spans="2:27" x14ac:dyDescent="0.35">
      <c r="B9" s="19" t="s">
        <v>62</v>
      </c>
      <c r="C9" s="19" t="s">
        <v>10</v>
      </c>
      <c r="D9" s="32">
        <v>192.77</v>
      </c>
      <c r="E9" s="39">
        <f>D9*(1+'CPI and conversions'!I$7)*(1+'Labour Escalators'!E$6)</f>
        <v>200.16148247743467</v>
      </c>
      <c r="F9" s="24">
        <f>E9*(1+'CPI and conversions'!J$7)*(1+'Labour Escalators'!F$6)</f>
        <v>207.0763336104086</v>
      </c>
      <c r="G9" s="24">
        <f>F9*(1+'CPI and conversions'!K$7)*(1+'Labour Escalators'!G$6)</f>
        <v>214.02733003025935</v>
      </c>
      <c r="H9" s="24">
        <f>G9*(1+'CPI and conversions'!L$7)*(1+'Labour Escalators'!H$6)</f>
        <v>221.62773273007318</v>
      </c>
      <c r="I9" s="24">
        <f>H9*(1+'CPI and conversions'!M$7)*(1+'Labour Escalators'!I$6)</f>
        <v>229.94901030990681</v>
      </c>
      <c r="J9" s="33">
        <f>I9*(1+'CPI and conversions'!N$7)*(1+'Labour Escalators'!J$6)</f>
        <v>238.09769312277027</v>
      </c>
      <c r="K9" s="35">
        <f>E9*('CPI and conversions'!$I$5/'CPI and conversions'!I$5)</f>
        <v>200.16148247743467</v>
      </c>
      <c r="L9" s="24">
        <f>F9*('CPI and conversions'!$I$5/'CPI and conversions'!J$5)</f>
        <v>202.02569132722792</v>
      </c>
      <c r="M9" s="33">
        <f>G9*('CPI and conversions'!$I$5/'CPI and conversions'!K$5)</f>
        <v>203.71429390149615</v>
      </c>
      <c r="N9" s="32">
        <v>0</v>
      </c>
      <c r="O9" s="39">
        <f>N9*(1+'CPI and conversions'!I$7)*(1+'Labour Escalators'!E$6)</f>
        <v>0</v>
      </c>
      <c r="P9" s="24">
        <f>O9*(1+'CPI and conversions'!J$7)*(1+'Labour Escalators'!F$6)</f>
        <v>0</v>
      </c>
      <c r="Q9" s="24">
        <f>P9*(1+'CPI and conversions'!K$7)*(1+'Labour Escalators'!G$6)</f>
        <v>0</v>
      </c>
      <c r="R9" s="24">
        <f>Q9*(1+'CPI and conversions'!L$7)*(1+'Labour Escalators'!H$6)</f>
        <v>0</v>
      </c>
      <c r="S9" s="24">
        <f>R9*(1+'CPI and conversions'!M$7)*(1+'Labour Escalators'!I$6)</f>
        <v>0</v>
      </c>
      <c r="T9" s="33">
        <f>S9*(1+'CPI and conversions'!N$7)*(1+'Labour Escalators'!J$6)</f>
        <v>0</v>
      </c>
      <c r="U9" s="35">
        <f>O9*('CPI and conversions'!$I$5/'CPI and conversions'!I$5)</f>
        <v>0</v>
      </c>
      <c r="V9" s="24">
        <f>P9*('CPI and conversions'!$I$5/'CPI and conversions'!J$5)</f>
        <v>0</v>
      </c>
      <c r="W9" s="33">
        <f>Q9*('CPI and conversions'!$I$5/'CPI and conversions'!K$5)</f>
        <v>0</v>
      </c>
      <c r="X9" s="35">
        <f t="shared" si="1"/>
        <v>200.16148247743467</v>
      </c>
      <c r="Y9" s="24">
        <f t="shared" si="2"/>
        <v>0</v>
      </c>
      <c r="Z9" s="24">
        <f t="shared" si="3"/>
        <v>202.02569132722792</v>
      </c>
      <c r="AA9" s="33">
        <f t="shared" si="4"/>
        <v>0</v>
      </c>
    </row>
    <row r="10" spans="2:27" x14ac:dyDescent="0.35">
      <c r="B10" s="19" t="s">
        <v>62</v>
      </c>
      <c r="C10" s="19" t="s">
        <v>119</v>
      </c>
      <c r="D10" s="32" t="s">
        <v>40</v>
      </c>
      <c r="E10" s="39" t="s">
        <v>40</v>
      </c>
      <c r="F10" s="24">
        <v>88.153344438095203</v>
      </c>
      <c r="G10" s="24">
        <f>F10*(1+'CPI and conversions'!K$7)*(1+'Labour Escalators'!G$6)</f>
        <v>91.112415476796798</v>
      </c>
      <c r="H10" s="24">
        <f>G10*(1+'CPI and conversions'!L$7)*(1+'Labour Escalators'!H$6)</f>
        <v>94.34794174570132</v>
      </c>
      <c r="I10" s="24">
        <f>H10*(1+'CPI and conversions'!M$7)*(1+'Labour Escalators'!I$6)</f>
        <v>97.890347755458876</v>
      </c>
      <c r="J10" s="33">
        <f>I10*(1+'CPI and conversions'!N$7)*(1+'Labour Escalators'!J$6)</f>
        <v>101.35927938175763</v>
      </c>
      <c r="K10" s="35" t="s">
        <v>40</v>
      </c>
      <c r="L10" s="24">
        <f>F10*('CPI and conversions'!$I$5/'CPI and conversions'!J$5)</f>
        <v>86.003262866434355</v>
      </c>
      <c r="M10" s="33">
        <f>G10*('CPI and conversions'!$I$5/'CPI and conversions'!K$5)</f>
        <v>86.722108722709649</v>
      </c>
      <c r="N10" s="32"/>
      <c r="O10" s="39"/>
      <c r="P10" s="24">
        <f>F10*1.75</f>
        <v>154.2683527666666</v>
      </c>
      <c r="Q10" s="24">
        <f>P10*(1+'CPI and conversions'!K$7)*(1+'Labour Escalators'!G$6)</f>
        <v>159.44672708439438</v>
      </c>
      <c r="R10" s="24">
        <f>Q10*(1+'CPI and conversions'!L$7)*(1+'Labour Escalators'!H$6)</f>
        <v>165.10889805497732</v>
      </c>
      <c r="S10" s="24">
        <f>R10*(1+'CPI and conversions'!M$7)*(1+'Labour Escalators'!I$6)</f>
        <v>171.30810857205304</v>
      </c>
      <c r="T10" s="33">
        <f>S10*(1+'CPI and conversions'!N$7)*(1+'Labour Escalators'!J$6)</f>
        <v>177.37873891807587</v>
      </c>
      <c r="U10" s="35" t="s">
        <v>40</v>
      </c>
      <c r="V10" s="24">
        <f>P10*('CPI and conversions'!$I$5/'CPI and conversions'!J$5)</f>
        <v>150.50571001626011</v>
      </c>
      <c r="W10" s="33">
        <f>Q10*('CPI and conversions'!$I$5/'CPI and conversions'!K$5)</f>
        <v>151.76369026474185</v>
      </c>
      <c r="X10" s="35" t="str">
        <f t="shared" si="1"/>
        <v>NA</v>
      </c>
      <c r="Y10" s="24" t="str">
        <f t="shared" si="2"/>
        <v>NA</v>
      </c>
      <c r="Z10" s="24">
        <f t="shared" si="3"/>
        <v>86.003262866434355</v>
      </c>
      <c r="AA10" s="33">
        <f t="shared" si="4"/>
        <v>150.50571001626011</v>
      </c>
    </row>
    <row r="11" spans="2:27" x14ac:dyDescent="0.35">
      <c r="B11" s="19" t="s">
        <v>63</v>
      </c>
      <c r="C11" s="19" t="s">
        <v>11</v>
      </c>
      <c r="D11" s="32">
        <v>164.59</v>
      </c>
      <c r="E11" s="39">
        <f>D11*(1+'CPI and conversions'!I$7)*(1+'Labour Escalators'!E$6)</f>
        <v>170.90096177289502</v>
      </c>
      <c r="F11" s="24">
        <f>E11*(1+'CPI and conversions'!J$7)*(1+'Labour Escalators'!F$6)</f>
        <v>176.8049683505584</v>
      </c>
      <c r="G11" s="24">
        <f>F11*(1+'CPI and conversions'!K$7)*(1+'Labour Escalators'!G$6)</f>
        <v>182.73983633179634</v>
      </c>
      <c r="H11" s="24">
        <f>G11*(1+'CPI and conversions'!L$7)*(1+'Labour Escalators'!H$6)</f>
        <v>189.22917741371964</v>
      </c>
      <c r="I11" s="24">
        <f>H11*(1+'CPI and conversions'!M$7)*(1+'Labour Escalators'!I$6)</f>
        <v>196.33401258965372</v>
      </c>
      <c r="J11" s="33">
        <f>I11*(1+'CPI and conversions'!N$7)*(1+'Labour Escalators'!J$6)</f>
        <v>203.29148369080636</v>
      </c>
      <c r="K11" s="35">
        <f>E11*('CPI and conversions'!$I$5/'CPI and conversions'!I$5)</f>
        <v>170.90096177289502</v>
      </c>
      <c r="L11" s="24">
        <f>F11*('CPI and conversions'!$I$5/'CPI and conversions'!J$5)</f>
        <v>172.49265204932527</v>
      </c>
      <c r="M11" s="33">
        <f>G11*('CPI and conversions'!$I$5/'CPI and conversions'!K$5)</f>
        <v>173.93440697850934</v>
      </c>
      <c r="N11" s="32">
        <v>199.89</v>
      </c>
      <c r="O11" s="39">
        <f>N11*(1+'CPI and conversions'!I$7)*(1+'Labour Escalators'!E$6)</f>
        <v>207.55448841839711</v>
      </c>
      <c r="P11" s="24">
        <f t="shared" ref="P11:P19" si="5">F11*1.75</f>
        <v>309.40869461347722</v>
      </c>
      <c r="Q11" s="24">
        <f>P11*(1+'CPI and conversions'!K$7)*(1+'Labour Escalators'!G$6)</f>
        <v>319.79471358064359</v>
      </c>
      <c r="R11" s="24">
        <f>Q11*(1+'CPI and conversions'!L$7)*(1+'Labour Escalators'!H$6)</f>
        <v>331.1510604740094</v>
      </c>
      <c r="S11" s="24">
        <f>R11*(1+'CPI and conversions'!M$7)*(1+'Labour Escalators'!I$6)</f>
        <v>343.58452203189404</v>
      </c>
      <c r="T11" s="33">
        <f>S11*(1+'CPI and conversions'!N$7)*(1+'Labour Escalators'!J$6)</f>
        <v>355.76009645891116</v>
      </c>
      <c r="U11" s="35">
        <f>O11*('CPI and conversions'!$I$5/'CPI and conversions'!I$5)</f>
        <v>207.55448841839711</v>
      </c>
      <c r="V11" s="24">
        <f>P11*('CPI and conversions'!$I$5/'CPI and conversions'!J$5)</f>
        <v>301.8621410863193</v>
      </c>
      <c r="W11" s="33">
        <f>Q11*('CPI and conversions'!$I$5/'CPI and conversions'!K$5)</f>
        <v>304.38521221239137</v>
      </c>
      <c r="X11" s="35">
        <f t="shared" si="1"/>
        <v>170.90096177289502</v>
      </c>
      <c r="Y11" s="24">
        <f t="shared" si="2"/>
        <v>207.55448841839711</v>
      </c>
      <c r="Z11" s="24">
        <f t="shared" si="3"/>
        <v>172.49265204932527</v>
      </c>
      <c r="AA11" s="33">
        <f t="shared" si="4"/>
        <v>301.8621410863193</v>
      </c>
    </row>
    <row r="12" spans="2:27" x14ac:dyDescent="0.35">
      <c r="B12" s="19" t="s">
        <v>63</v>
      </c>
      <c r="C12" s="19" t="s">
        <v>12</v>
      </c>
      <c r="D12" s="32">
        <v>126.48</v>
      </c>
      <c r="E12" s="39">
        <f>D12*(1+'CPI and conversions'!I$7)*(1+'Labour Escalators'!E$6)</f>
        <v>131.3296898051872</v>
      </c>
      <c r="F12" s="24">
        <f>E12*(1+'CPI and conversions'!J$7)*(1+'Labour Escalators'!F$6)</f>
        <v>135.86665287671565</v>
      </c>
      <c r="G12" s="24">
        <f>F12*(1+'CPI and conversions'!K$7)*(1+'Labour Escalators'!G$6)</f>
        <v>140.42733154654354</v>
      </c>
      <c r="H12" s="24">
        <f>G12*(1+'CPI and conversions'!L$7)*(1+'Labour Escalators'!H$6)</f>
        <v>145.41409781449215</v>
      </c>
      <c r="I12" s="24">
        <f>H12*(1+'CPI and conversions'!M$7)*(1+'Labour Escalators'!I$6)</f>
        <v>150.87384356485452</v>
      </c>
      <c r="J12" s="33">
        <f>I12*(1+'CPI and conversions'!N$7)*(1+'Labour Escalators'!J$6)</f>
        <v>156.22034666269633</v>
      </c>
      <c r="K12" s="35">
        <f>E12*('CPI and conversions'!$I$5/'CPI and conversions'!I$5)</f>
        <v>131.3296898051872</v>
      </c>
      <c r="L12" s="24">
        <f>F12*('CPI and conversions'!$I$5/'CPI and conversions'!J$5)</f>
        <v>132.55283207484456</v>
      </c>
      <c r="M12" s="33">
        <f>G12*('CPI and conversions'!$I$5/'CPI and conversions'!K$5)</f>
        <v>133.66075578493141</v>
      </c>
      <c r="N12" s="32">
        <v>153.62</v>
      </c>
      <c r="O12" s="39">
        <f>N12*(1+'CPI and conversions'!I$7)*(1+'Labour Escalators'!E$6)</f>
        <v>159.51033323745142</v>
      </c>
      <c r="P12" s="24">
        <f t="shared" si="5"/>
        <v>237.76664253425238</v>
      </c>
      <c r="Q12" s="24">
        <f>P12*(1+'CPI and conversions'!K$7)*(1+'Labour Escalators'!G$6)</f>
        <v>245.7478302064512</v>
      </c>
      <c r="R12" s="24">
        <f>Q12*(1+'CPI and conversions'!L$7)*(1+'Labour Escalators'!H$6)</f>
        <v>254.47467117536121</v>
      </c>
      <c r="S12" s="24">
        <f>R12*(1+'CPI and conversions'!M$7)*(1+'Labour Escalators'!I$6)</f>
        <v>264.02922623849537</v>
      </c>
      <c r="T12" s="33">
        <f>S12*(1+'CPI and conversions'!N$7)*(1+'Labour Escalators'!J$6)</f>
        <v>273.38560665971858</v>
      </c>
      <c r="U12" s="35">
        <f>O12*('CPI and conversions'!$I$5/'CPI and conversions'!I$5)</f>
        <v>159.51033323745142</v>
      </c>
      <c r="V12" s="24">
        <f>P12*('CPI and conversions'!$I$5/'CPI and conversions'!J$5)</f>
        <v>231.96745613097795</v>
      </c>
      <c r="W12" s="33">
        <f>Q12*('CPI and conversions'!$I$5/'CPI and conversions'!K$5)</f>
        <v>233.90632262362999</v>
      </c>
      <c r="X12" s="35">
        <f t="shared" si="1"/>
        <v>131.3296898051872</v>
      </c>
      <c r="Y12" s="24">
        <f t="shared" si="2"/>
        <v>159.51033323745142</v>
      </c>
      <c r="Z12" s="24">
        <f t="shared" si="3"/>
        <v>132.55283207484456</v>
      </c>
      <c r="AA12" s="33">
        <f t="shared" si="4"/>
        <v>231.96745613097795</v>
      </c>
    </row>
    <row r="13" spans="2:27" x14ac:dyDescent="0.35">
      <c r="B13" s="19" t="s">
        <v>63</v>
      </c>
      <c r="C13" s="19" t="s">
        <v>13</v>
      </c>
      <c r="D13" s="32">
        <v>148.97999999999999</v>
      </c>
      <c r="E13" s="39">
        <f>D13*(1+'CPI and conversions'!I$7)*(1+'Labour Escalators'!E$6)</f>
        <v>154.69241925345341</v>
      </c>
      <c r="F13" s="24">
        <f>E13*(1+'CPI and conversions'!J$7)*(1+'Labour Escalators'!F$6)</f>
        <v>160.03647964558107</v>
      </c>
      <c r="G13" s="24">
        <f>F13*(1+'CPI and conversions'!K$7)*(1+'Labour Escalators'!G$6)</f>
        <v>165.40847449244191</v>
      </c>
      <c r="H13" s="24">
        <f>G13*(1+'CPI and conversions'!L$7)*(1+'Labour Escalators'!H$6)</f>
        <v>171.28235525302841</v>
      </c>
      <c r="I13" s="24">
        <f>H13*(1+'CPI and conversions'!M$7)*(1+'Labour Escalators'!I$6)</f>
        <v>177.71335558421902</v>
      </c>
      <c r="J13" s="33">
        <f>I13*(1+'CPI and conversions'!N$7)*(1+'Labour Escalators'!J$6)</f>
        <v>184.01096810411525</v>
      </c>
      <c r="K13" s="35">
        <f>E13*('CPI and conversions'!$I$5/'CPI and conversions'!I$5)</f>
        <v>154.69241925345341</v>
      </c>
      <c r="L13" s="24">
        <f>F13*('CPI and conversions'!$I$5/'CPI and conversions'!J$5)</f>
        <v>156.13315087373763</v>
      </c>
      <c r="M13" s="33">
        <f>G13*('CPI and conversions'!$I$5/'CPI and conversions'!K$5)</f>
        <v>157.43816727418627</v>
      </c>
      <c r="N13" s="32">
        <v>180.95</v>
      </c>
      <c r="O13" s="39">
        <f>N13*(1+'CPI and conversions'!I$7)*(1+'Labour Escalators'!E$6)</f>
        <v>187.88826194061213</v>
      </c>
      <c r="P13" s="24">
        <f t="shared" si="5"/>
        <v>280.06383937976688</v>
      </c>
      <c r="Q13" s="24">
        <f>P13*(1+'CPI and conversions'!K$7)*(1+'Labour Escalators'!G$6)</f>
        <v>289.46483036177335</v>
      </c>
      <c r="R13" s="24">
        <f>Q13*(1+'CPI and conversions'!L$7)*(1+'Labour Escalators'!H$6)</f>
        <v>299.74412169279969</v>
      </c>
      <c r="S13" s="24">
        <f>R13*(1+'CPI and conversions'!M$7)*(1+'Labour Escalators'!I$6)</f>
        <v>310.99837227238328</v>
      </c>
      <c r="T13" s="33">
        <f>S13*(1+'CPI and conversions'!N$7)*(1+'Labour Escalators'!J$6)</f>
        <v>322.01919418220166</v>
      </c>
      <c r="U13" s="35">
        <f>O13*('CPI and conversions'!$I$5/'CPI and conversions'!I$5)</f>
        <v>187.88826194061213</v>
      </c>
      <c r="V13" s="24">
        <f>P13*('CPI and conversions'!$I$5/'CPI and conversions'!J$5)</f>
        <v>273.23301402904087</v>
      </c>
      <c r="W13" s="33">
        <f>Q13*('CPI and conversions'!$I$5/'CPI and conversions'!K$5)</f>
        <v>275.51679272982597</v>
      </c>
      <c r="X13" s="35">
        <f t="shared" si="1"/>
        <v>154.69241925345341</v>
      </c>
      <c r="Y13" s="24">
        <f>U13</f>
        <v>187.88826194061213</v>
      </c>
      <c r="Z13" s="24">
        <f t="shared" si="3"/>
        <v>156.13315087373763</v>
      </c>
      <c r="AA13" s="33">
        <f t="shared" si="4"/>
        <v>273.23301402904087</v>
      </c>
    </row>
    <row r="14" spans="2:27" x14ac:dyDescent="0.35">
      <c r="B14" s="19" t="s">
        <v>63</v>
      </c>
      <c r="C14" s="19" t="s">
        <v>14</v>
      </c>
      <c r="D14" s="32">
        <v>148.97999999999999</v>
      </c>
      <c r="E14" s="39">
        <f>D14*(1+'CPI and conversions'!I$7)*(1+'Labour Escalators'!E$6)</f>
        <v>154.69241925345341</v>
      </c>
      <c r="F14" s="24">
        <f>E14*(1+'CPI and conversions'!J$7)*(1+'Labour Escalators'!F$6)</f>
        <v>160.03647964558107</v>
      </c>
      <c r="G14" s="24">
        <f>F14*(1+'CPI and conversions'!K$7)*(1+'Labour Escalators'!G$6)</f>
        <v>165.40847449244191</v>
      </c>
      <c r="H14" s="24">
        <f>G14*(1+'CPI and conversions'!L$7)*(1+'Labour Escalators'!H$6)</f>
        <v>171.28235525302841</v>
      </c>
      <c r="I14" s="24">
        <f>H14*(1+'CPI and conversions'!M$7)*(1+'Labour Escalators'!I$6)</f>
        <v>177.71335558421902</v>
      </c>
      <c r="J14" s="33">
        <f>I14*(1+'CPI and conversions'!N$7)*(1+'Labour Escalators'!J$6)</f>
        <v>184.01096810411525</v>
      </c>
      <c r="K14" s="35">
        <f>E14*('CPI and conversions'!$I$5/'CPI and conversions'!I$5)</f>
        <v>154.69241925345341</v>
      </c>
      <c r="L14" s="24">
        <f>F14*('CPI and conversions'!$I$5/'CPI and conversions'!J$5)</f>
        <v>156.13315087373763</v>
      </c>
      <c r="M14" s="33">
        <f>G14*('CPI and conversions'!$I$5/'CPI and conversions'!K$5)</f>
        <v>157.43816727418627</v>
      </c>
      <c r="N14" s="32">
        <v>180.95</v>
      </c>
      <c r="O14" s="39">
        <f>N14*(1+'CPI and conversions'!I$7)*(1+'Labour Escalators'!E$6)</f>
        <v>187.88826194061213</v>
      </c>
      <c r="P14" s="24">
        <f t="shared" si="5"/>
        <v>280.06383937976688</v>
      </c>
      <c r="Q14" s="24">
        <f>P14*(1+'CPI and conversions'!K$7)*(1+'Labour Escalators'!G$6)</f>
        <v>289.46483036177335</v>
      </c>
      <c r="R14" s="24">
        <f>Q14*(1+'CPI and conversions'!L$7)*(1+'Labour Escalators'!H$6)</f>
        <v>299.74412169279969</v>
      </c>
      <c r="S14" s="24">
        <f>R14*(1+'CPI and conversions'!M$7)*(1+'Labour Escalators'!I$6)</f>
        <v>310.99837227238328</v>
      </c>
      <c r="T14" s="33">
        <f>S14*(1+'CPI and conversions'!N$7)*(1+'Labour Escalators'!J$6)</f>
        <v>322.01919418220166</v>
      </c>
      <c r="U14" s="35">
        <f>O14*('CPI and conversions'!$I$5/'CPI and conversions'!I$5)</f>
        <v>187.88826194061213</v>
      </c>
      <c r="V14" s="24">
        <f>P14*('CPI and conversions'!$I$5/'CPI and conversions'!J$5)</f>
        <v>273.23301402904087</v>
      </c>
      <c r="W14" s="33">
        <f>Q14*('CPI and conversions'!$I$5/'CPI and conversions'!K$5)</f>
        <v>275.51679272982597</v>
      </c>
      <c r="X14" s="35">
        <f t="shared" si="1"/>
        <v>154.69241925345341</v>
      </c>
      <c r="Y14" s="24">
        <f t="shared" si="2"/>
        <v>187.88826194061213</v>
      </c>
      <c r="Z14" s="24">
        <f t="shared" si="3"/>
        <v>156.13315087373763</v>
      </c>
      <c r="AA14" s="33">
        <f t="shared" si="4"/>
        <v>273.23301402904087</v>
      </c>
    </row>
    <row r="15" spans="2:27" x14ac:dyDescent="0.35">
      <c r="B15" s="19" t="s">
        <v>63</v>
      </c>
      <c r="C15" s="19" t="s">
        <v>15</v>
      </c>
      <c r="D15" s="32">
        <v>143.6</v>
      </c>
      <c r="E15" s="39">
        <f>D15*(1+'CPI and conversions'!I$7)*(1+'Labour Escalators'!E$6)</f>
        <v>149.1061310564902</v>
      </c>
      <c r="F15" s="24">
        <f>E15*(1+'CPI and conversions'!J$7)*(1+'Labour Escalators'!F$6)</f>
        <v>154.2572055115146</v>
      </c>
      <c r="G15" s="24">
        <f>F15*(1+'CPI and conversions'!K$7)*(1+'Labour Escalators'!G$6)</f>
        <v>159.43520564582266</v>
      </c>
      <c r="H15" s="24">
        <f>G15*(1+'CPI and conversions'!L$7)*(1+'Labour Escalators'!H$6)</f>
        <v>165.09696747439173</v>
      </c>
      <c r="I15" s="24">
        <f>H15*(1+'CPI and conversions'!M$7)*(1+'Labour Escalators'!I$6)</f>
        <v>171.29573004358875</v>
      </c>
      <c r="J15" s="33">
        <f>I15*(1+'CPI and conversions'!N$7)*(1+'Labour Escalators'!J$6)</f>
        <v>177.3659217327893</v>
      </c>
      <c r="K15" s="35">
        <f>E15*('CPI and conversions'!$I$5/'CPI and conversions'!I$5)</f>
        <v>149.1061310564902</v>
      </c>
      <c r="L15" s="24">
        <f>F15*('CPI and conversions'!$I$5/'CPI and conversions'!J$5)</f>
        <v>150.49483464538011</v>
      </c>
      <c r="M15" s="33">
        <f>G15*('CPI and conversions'!$I$5/'CPI and conversions'!K$5)</f>
        <v>151.75272399364445</v>
      </c>
      <c r="N15" s="32">
        <v>174.4</v>
      </c>
      <c r="O15" s="39">
        <f>N15*(1+'CPI and conversions'!I$7)*(1+'Labour Escalators'!E$6)</f>
        <v>181.08711181233909</v>
      </c>
      <c r="P15" s="24">
        <f t="shared" si="5"/>
        <v>269.95010964515052</v>
      </c>
      <c r="Q15" s="24">
        <f>P15*(1+'CPI and conversions'!K$7)*(1+'Labour Escalators'!G$6)</f>
        <v>279.01160988018967</v>
      </c>
      <c r="R15" s="24">
        <f>Q15*(1+'CPI and conversions'!L$7)*(1+'Labour Escalators'!H$6)</f>
        <v>288.91969308018554</v>
      </c>
      <c r="S15" s="24">
        <f>R15*(1+'CPI and conversions'!M$7)*(1+'Labour Escalators'!I$6)</f>
        <v>299.76752757628032</v>
      </c>
      <c r="T15" s="33">
        <f>S15*(1+'CPI and conversions'!N$7)*(1+'Labour Escalators'!J$6)</f>
        <v>310.39036303238129</v>
      </c>
      <c r="U15" s="35">
        <f>O15*('CPI and conversions'!$I$5/'CPI and conversions'!I$5)</f>
        <v>181.08711181233909</v>
      </c>
      <c r="V15" s="24">
        <f>P15*('CPI and conversions'!$I$5/'CPI and conversions'!J$5)</f>
        <v>263.36596062941516</v>
      </c>
      <c r="W15" s="33">
        <f>Q15*('CPI and conversions'!$I$5/'CPI and conversions'!K$5)</f>
        <v>265.5672669888778</v>
      </c>
      <c r="X15" s="35">
        <f t="shared" si="1"/>
        <v>149.1061310564902</v>
      </c>
      <c r="Y15" s="24">
        <f t="shared" si="2"/>
        <v>181.08711181233909</v>
      </c>
      <c r="Z15" s="24">
        <f t="shared" si="3"/>
        <v>150.49483464538011</v>
      </c>
      <c r="AA15" s="33">
        <f t="shared" si="4"/>
        <v>263.36596062941516</v>
      </c>
    </row>
    <row r="16" spans="2:27" x14ac:dyDescent="0.35">
      <c r="B16" s="19" t="s">
        <v>63</v>
      </c>
      <c r="C16" s="19" t="s">
        <v>16</v>
      </c>
      <c r="D16" s="32">
        <v>148.97999999999999</v>
      </c>
      <c r="E16" s="39">
        <f>D16*(1+'CPI and conversions'!I$7)*(1+'Labour Escalators'!E$6)</f>
        <v>154.69241925345341</v>
      </c>
      <c r="F16" s="24">
        <f>E16*(1+'CPI and conversions'!J$7)*(1+'Labour Escalators'!F$6)</f>
        <v>160.03647964558107</v>
      </c>
      <c r="G16" s="24">
        <f>F16*(1+'CPI and conversions'!K$7)*(1+'Labour Escalators'!G$6)</f>
        <v>165.40847449244191</v>
      </c>
      <c r="H16" s="24">
        <f>G16*(1+'CPI and conversions'!L$7)*(1+'Labour Escalators'!H$6)</f>
        <v>171.28235525302841</v>
      </c>
      <c r="I16" s="24">
        <f>H16*(1+'CPI and conversions'!M$7)*(1+'Labour Escalators'!I$6)</f>
        <v>177.71335558421902</v>
      </c>
      <c r="J16" s="33">
        <f>I16*(1+'CPI and conversions'!N$7)*(1+'Labour Escalators'!J$6)</f>
        <v>184.01096810411525</v>
      </c>
      <c r="K16" s="35">
        <f>E16*('CPI and conversions'!$I$5/'CPI and conversions'!I$5)</f>
        <v>154.69241925345341</v>
      </c>
      <c r="L16" s="24">
        <f>F16*('CPI and conversions'!$I$5/'CPI and conversions'!J$5)</f>
        <v>156.13315087373763</v>
      </c>
      <c r="M16" s="33">
        <f>G16*('CPI and conversions'!$I$5/'CPI and conversions'!K$5)</f>
        <v>157.43816727418627</v>
      </c>
      <c r="N16" s="32">
        <v>180.95</v>
      </c>
      <c r="O16" s="39">
        <f>N16*(1+'CPI and conversions'!I$7)*(1+'Labour Escalators'!E$6)</f>
        <v>187.88826194061213</v>
      </c>
      <c r="P16" s="24">
        <f t="shared" si="5"/>
        <v>280.06383937976688</v>
      </c>
      <c r="Q16" s="24">
        <f>P16*(1+'CPI and conversions'!K$7)*(1+'Labour Escalators'!G$6)</f>
        <v>289.46483036177335</v>
      </c>
      <c r="R16" s="24">
        <f>Q16*(1+'CPI and conversions'!L$7)*(1+'Labour Escalators'!H$6)</f>
        <v>299.74412169279969</v>
      </c>
      <c r="S16" s="24">
        <f>R16*(1+'CPI and conversions'!M$7)*(1+'Labour Escalators'!I$6)</f>
        <v>310.99837227238328</v>
      </c>
      <c r="T16" s="33">
        <f>S16*(1+'CPI and conversions'!N$7)*(1+'Labour Escalators'!J$6)</f>
        <v>322.01919418220166</v>
      </c>
      <c r="U16" s="35">
        <f>O16*('CPI and conversions'!$I$5/'CPI and conversions'!I$5)</f>
        <v>187.88826194061213</v>
      </c>
      <c r="V16" s="24">
        <f>P16*('CPI and conversions'!$I$5/'CPI and conversions'!J$5)</f>
        <v>273.23301402904087</v>
      </c>
      <c r="W16" s="33">
        <f>Q16*('CPI and conversions'!$I$5/'CPI and conversions'!K$5)</f>
        <v>275.51679272982597</v>
      </c>
      <c r="X16" s="35">
        <f t="shared" si="1"/>
        <v>154.69241925345341</v>
      </c>
      <c r="Y16" s="24">
        <f t="shared" si="2"/>
        <v>187.88826194061213</v>
      </c>
      <c r="Z16" s="24">
        <f t="shared" si="3"/>
        <v>156.13315087373763</v>
      </c>
      <c r="AA16" s="33">
        <f t="shared" si="4"/>
        <v>273.23301402904087</v>
      </c>
    </row>
    <row r="17" spans="2:27" x14ac:dyDescent="0.35">
      <c r="B17" s="19" t="s">
        <v>63</v>
      </c>
      <c r="C17" s="19" t="s">
        <v>17</v>
      </c>
      <c r="D17" s="32">
        <v>164.59</v>
      </c>
      <c r="E17" s="39">
        <f>D17*(1+'CPI and conversions'!I$7)*(1+'Labour Escalators'!E$6)</f>
        <v>170.90096177289502</v>
      </c>
      <c r="F17" s="24">
        <f>E17*(1+'CPI and conversions'!J$7)*(1+'Labour Escalators'!F$6)</f>
        <v>176.8049683505584</v>
      </c>
      <c r="G17" s="24">
        <f>F17*(1+'CPI and conversions'!K$7)*(1+'Labour Escalators'!G$6)</f>
        <v>182.73983633179634</v>
      </c>
      <c r="H17" s="24">
        <f>G17*(1+'CPI and conversions'!L$7)*(1+'Labour Escalators'!H$6)</f>
        <v>189.22917741371964</v>
      </c>
      <c r="I17" s="24">
        <f>H17*(1+'CPI and conversions'!M$7)*(1+'Labour Escalators'!I$6)</f>
        <v>196.33401258965372</v>
      </c>
      <c r="J17" s="33">
        <f>I17*(1+'CPI and conversions'!N$7)*(1+'Labour Escalators'!J$6)</f>
        <v>203.29148369080636</v>
      </c>
      <c r="K17" s="35">
        <f>E17*('CPI and conversions'!$I$5/'CPI and conversions'!I$5)</f>
        <v>170.90096177289502</v>
      </c>
      <c r="L17" s="24">
        <f>F17*('CPI and conversions'!$I$5/'CPI and conversions'!J$5)</f>
        <v>172.49265204932527</v>
      </c>
      <c r="M17" s="33">
        <f>G17*('CPI and conversions'!$I$5/'CPI and conversions'!K$5)</f>
        <v>173.93440697850934</v>
      </c>
      <c r="N17" s="32">
        <v>199.89</v>
      </c>
      <c r="O17" s="39">
        <f>N17*(1+'CPI and conversions'!I$7)*(1+'Labour Escalators'!E$6)</f>
        <v>207.55448841839711</v>
      </c>
      <c r="P17" s="24">
        <f t="shared" si="5"/>
        <v>309.40869461347722</v>
      </c>
      <c r="Q17" s="24">
        <f>P17*(1+'CPI and conversions'!K$7)*(1+'Labour Escalators'!G$6)</f>
        <v>319.79471358064359</v>
      </c>
      <c r="R17" s="24">
        <f>Q17*(1+'CPI and conversions'!L$7)*(1+'Labour Escalators'!H$6)</f>
        <v>331.1510604740094</v>
      </c>
      <c r="S17" s="24">
        <f>R17*(1+'CPI and conversions'!M$7)*(1+'Labour Escalators'!I$6)</f>
        <v>343.58452203189404</v>
      </c>
      <c r="T17" s="33">
        <f>S17*(1+'CPI and conversions'!N$7)*(1+'Labour Escalators'!J$6)</f>
        <v>355.76009645891116</v>
      </c>
      <c r="U17" s="35">
        <f>O17*('CPI and conversions'!$I$5/'CPI and conversions'!I$5)</f>
        <v>207.55448841839711</v>
      </c>
      <c r="V17" s="24">
        <f>P17*('CPI and conversions'!$I$5/'CPI and conversions'!J$5)</f>
        <v>301.8621410863193</v>
      </c>
      <c r="W17" s="33">
        <f>Q17*('CPI and conversions'!$I$5/'CPI and conversions'!K$5)</f>
        <v>304.38521221239137</v>
      </c>
      <c r="X17" s="35">
        <f t="shared" si="1"/>
        <v>170.90096177289502</v>
      </c>
      <c r="Y17" s="24">
        <f t="shared" si="2"/>
        <v>207.55448841839711</v>
      </c>
      <c r="Z17" s="24">
        <f t="shared" si="3"/>
        <v>172.49265204932527</v>
      </c>
      <c r="AA17" s="33">
        <f t="shared" si="4"/>
        <v>301.8621410863193</v>
      </c>
    </row>
    <row r="18" spans="2:27" x14ac:dyDescent="0.35">
      <c r="B18" s="19" t="s">
        <v>63</v>
      </c>
      <c r="C18" s="19" t="s">
        <v>20</v>
      </c>
      <c r="D18" s="32">
        <v>148.97999999999999</v>
      </c>
      <c r="E18" s="39">
        <f>D18*(1+'CPI and conversions'!I$7)*(1+'Labour Escalators'!E$6)</f>
        <v>154.69241925345341</v>
      </c>
      <c r="F18" s="24">
        <f>E18*(1+'CPI and conversions'!J$7)*(1+'Labour Escalators'!F$6)</f>
        <v>160.03647964558107</v>
      </c>
      <c r="G18" s="24">
        <f>F18*(1+'CPI and conversions'!K$7)*(1+'Labour Escalators'!G$6)</f>
        <v>165.40847449244191</v>
      </c>
      <c r="H18" s="24">
        <f>G18*(1+'CPI and conversions'!L$7)*(1+'Labour Escalators'!H$6)</f>
        <v>171.28235525302841</v>
      </c>
      <c r="I18" s="24">
        <f>H18*(1+'CPI and conversions'!M$7)*(1+'Labour Escalators'!I$6)</f>
        <v>177.71335558421902</v>
      </c>
      <c r="J18" s="33">
        <f>I18*(1+'CPI and conversions'!N$7)*(1+'Labour Escalators'!J$6)</f>
        <v>184.01096810411525</v>
      </c>
      <c r="K18" s="35">
        <f>E18*('CPI and conversions'!$I$5/'CPI and conversions'!I$5)</f>
        <v>154.69241925345341</v>
      </c>
      <c r="L18" s="24">
        <f>F18*('CPI and conversions'!$I$5/'CPI and conversions'!J$5)</f>
        <v>156.13315087373763</v>
      </c>
      <c r="M18" s="33">
        <f>G18*('CPI and conversions'!$I$5/'CPI and conversions'!K$5)</f>
        <v>157.43816727418627</v>
      </c>
      <c r="N18" s="32">
        <v>180.95</v>
      </c>
      <c r="O18" s="39">
        <f>N18*(1+'CPI and conversions'!I$7)*(1+'Labour Escalators'!E$6)</f>
        <v>187.88826194061213</v>
      </c>
      <c r="P18" s="24">
        <f t="shared" si="5"/>
        <v>280.06383937976688</v>
      </c>
      <c r="Q18" s="24">
        <f>P18*(1+'CPI and conversions'!K$7)*(1+'Labour Escalators'!G$6)</f>
        <v>289.46483036177335</v>
      </c>
      <c r="R18" s="24">
        <f>Q18*(1+'CPI and conversions'!L$7)*(1+'Labour Escalators'!H$6)</f>
        <v>299.74412169279969</v>
      </c>
      <c r="S18" s="24">
        <f>R18*(1+'CPI and conversions'!M$7)*(1+'Labour Escalators'!I$6)</f>
        <v>310.99837227238328</v>
      </c>
      <c r="T18" s="33">
        <f>S18*(1+'CPI and conversions'!N$7)*(1+'Labour Escalators'!J$6)</f>
        <v>322.01919418220166</v>
      </c>
      <c r="U18" s="35">
        <f>O18*('CPI and conversions'!$I$5/'CPI and conversions'!I$5)</f>
        <v>187.88826194061213</v>
      </c>
      <c r="V18" s="24">
        <f>P18*('CPI and conversions'!$I$5/'CPI and conversions'!J$5)</f>
        <v>273.23301402904087</v>
      </c>
      <c r="W18" s="33">
        <f>Q18*('CPI and conversions'!$I$5/'CPI and conversions'!K$5)</f>
        <v>275.51679272982597</v>
      </c>
      <c r="X18" s="35">
        <f t="shared" si="1"/>
        <v>154.69241925345341</v>
      </c>
      <c r="Y18" s="24">
        <f t="shared" si="2"/>
        <v>187.88826194061213</v>
      </c>
      <c r="Z18" s="24">
        <f t="shared" si="3"/>
        <v>156.13315087373763</v>
      </c>
      <c r="AA18" s="33">
        <f t="shared" si="4"/>
        <v>273.23301402904087</v>
      </c>
    </row>
    <row r="19" spans="2:27" x14ac:dyDescent="0.35">
      <c r="B19" s="19" t="s">
        <v>63</v>
      </c>
      <c r="C19" s="19" t="s">
        <v>45</v>
      </c>
      <c r="D19" s="32">
        <v>237.25</v>
      </c>
      <c r="E19" s="39">
        <f>D19*(1+'CPI and conversions'!I$7)*(1+'Labour Escalators'!E$6)</f>
        <v>246.3470027378294</v>
      </c>
      <c r="F19" s="24">
        <f>E19*(1+'CPI and conversions'!J$7)*(1+'Labour Escalators'!F$6)</f>
        <v>254.85739559614791</v>
      </c>
      <c r="G19" s="24">
        <f>F19*(1+'CPI and conversions'!K$7)*(1+'Labour Escalators'!G$6)</f>
        <v>263.41227395175093</v>
      </c>
      <c r="H19" s="24">
        <f>G19*(1+'CPI and conversions'!L$7)*(1+'Labour Escalators'!H$6)</f>
        <v>272.76640343523297</v>
      </c>
      <c r="I19" s="24">
        <f>H19*(1+'CPI and conversions'!M$7)*(1+'Labour Escalators'!I$6)</f>
        <v>283.00774340418837</v>
      </c>
      <c r="J19" s="33">
        <f>I19*(1+'CPI and conversions'!N$7)*(1+'Labour Escalators'!J$6)</f>
        <v>293.03666386562867</v>
      </c>
      <c r="K19" s="35">
        <f>E19*('CPI and conversions'!$I$5/'CPI and conversions'!I$5)</f>
        <v>246.3470027378294</v>
      </c>
      <c r="L19" s="24">
        <f>F19*('CPI and conversions'!$I$5/'CPI and conversions'!J$5)</f>
        <v>248.64136155721749</v>
      </c>
      <c r="M19" s="33">
        <f>G19*('CPI and conversions'!$I$5/'CPI and conversions'!K$5)</f>
        <v>250.71959448114313</v>
      </c>
      <c r="N19" s="32">
        <v>354.24</v>
      </c>
      <c r="O19" s="39">
        <f>N19*(1+'CPI and conversions'!I$7)*(1+'Labour Escalators'!E$6)</f>
        <v>367.82281243350343</v>
      </c>
      <c r="P19" s="24">
        <f t="shared" si="5"/>
        <v>446.00044229325886</v>
      </c>
      <c r="Q19" s="24">
        <f>P19*(1+'CPI and conversions'!K$7)*(1+'Labour Escalators'!G$6)</f>
        <v>460.97147941556415</v>
      </c>
      <c r="R19" s="24">
        <f>Q19*(1+'CPI and conversions'!L$7)*(1+'Labour Escalators'!H$6)</f>
        <v>477.34120601165762</v>
      </c>
      <c r="S19" s="24">
        <f>R19*(1+'CPI and conversions'!M$7)*(1+'Labour Escalators'!I$6)</f>
        <v>495.26355095732953</v>
      </c>
      <c r="T19" s="33">
        <f>S19*(1+'CPI and conversions'!N$7)*(1+'Labour Escalators'!J$6)</f>
        <v>512.81416176485004</v>
      </c>
      <c r="U19" s="35">
        <f>O19*('CPI and conversions'!$I$5/'CPI and conversions'!I$5)</f>
        <v>367.82281243350343</v>
      </c>
      <c r="V19" s="24">
        <f>P19*('CPI and conversions'!$I$5/'CPI and conversions'!J$5)</f>
        <v>435.12238272513065</v>
      </c>
      <c r="W19" s="33">
        <f>Q19*('CPI and conversions'!$I$5/'CPI and conversions'!K$5)</f>
        <v>438.7592903420005</v>
      </c>
      <c r="X19" s="35">
        <f t="shared" si="1"/>
        <v>246.3470027378294</v>
      </c>
      <c r="Y19" s="24">
        <f t="shared" si="2"/>
        <v>367.82281243350343</v>
      </c>
      <c r="Z19" s="24">
        <f t="shared" si="3"/>
        <v>248.64136155721749</v>
      </c>
      <c r="AA19" s="33">
        <f t="shared" si="4"/>
        <v>435.12238272513065</v>
      </c>
    </row>
    <row r="22" spans="2:27" x14ac:dyDescent="0.35">
      <c r="I22" s="4"/>
      <c r="J22" s="4"/>
      <c r="K22" s="4"/>
    </row>
  </sheetData>
  <pageMargins left="0.7" right="0.7" top="0.75" bottom="0.75" header="0.3" footer="0.3"/>
  <pageSetup paperSize="9" orientation="portrait" horizontalDpi="4294967292" verticalDpi="4294967292" r:id="rId1"/>
  <headerFooter>
    <oddFooter>&amp;C_x000D_&amp;1#&amp;"Century Gothic"&amp;7&amp;K7F7F7F BUSINESS USE ONLY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92D050"/>
  </sheetPr>
  <dimension ref="B1:J7"/>
  <sheetViews>
    <sheetView showGridLines="0" zoomScaleNormal="100" zoomScalePageLayoutView="93" workbookViewId="0"/>
  </sheetViews>
  <sheetFormatPr defaultColWidth="8.81640625" defaultRowHeight="14.5" x14ac:dyDescent="0.35"/>
  <cols>
    <col min="1" max="2" width="2.54296875" customWidth="1"/>
    <col min="3" max="3" width="20.54296875" customWidth="1"/>
    <col min="4" max="9" width="10.54296875" customWidth="1"/>
  </cols>
  <sheetData>
    <row r="1" spans="2:10" x14ac:dyDescent="0.35">
      <c r="B1" s="6" t="s">
        <v>2</v>
      </c>
    </row>
    <row r="2" spans="2:10" x14ac:dyDescent="0.35">
      <c r="B2" s="6"/>
    </row>
    <row r="3" spans="2:10" x14ac:dyDescent="0.35">
      <c r="B3" s="6"/>
      <c r="C3" s="6" t="s">
        <v>114</v>
      </c>
    </row>
    <row r="4" spans="2:10" x14ac:dyDescent="0.35">
      <c r="B4" s="6"/>
    </row>
    <row r="5" spans="2:10" x14ac:dyDescent="0.35">
      <c r="B5" s="6"/>
      <c r="C5" s="6" t="s">
        <v>56</v>
      </c>
      <c r="D5" s="12" t="s">
        <v>66</v>
      </c>
      <c r="E5" s="12" t="s">
        <v>50</v>
      </c>
      <c r="F5" s="10" t="s">
        <v>51</v>
      </c>
      <c r="G5" s="10" t="s">
        <v>52</v>
      </c>
      <c r="H5" s="10" t="s">
        <v>53</v>
      </c>
      <c r="I5" s="10" t="s">
        <v>54</v>
      </c>
      <c r="J5" s="10" t="s">
        <v>55</v>
      </c>
    </row>
    <row r="6" spans="2:10" x14ac:dyDescent="0.35">
      <c r="B6" s="6"/>
      <c r="C6" t="str">
        <f>'[2]Input| Escalations'!B25</f>
        <v>Internal labour</v>
      </c>
      <c r="D6" s="13">
        <f>'[2]Input| Escalations'!H25</f>
        <v>8.2681564533859629E-3</v>
      </c>
      <c r="E6" s="13">
        <f>'[2]Input| Escalations'!I25</f>
        <v>8.100515567042995E-3</v>
      </c>
      <c r="F6" s="13">
        <f>'[2]Input| Escalations'!J25</f>
        <v>9.3135243940020672E-3</v>
      </c>
      <c r="G6" s="13">
        <f>'[2]Input| Escalations'!K25</f>
        <v>8.3583556288052887E-3</v>
      </c>
      <c r="H6" s="13">
        <f>'[2]Input| Escalations'!L25</f>
        <v>1.0254990531688098E-2</v>
      </c>
      <c r="I6" s="13">
        <f>'[2]Input| Escalations'!M25</f>
        <v>1.2240188084018007E-2</v>
      </c>
      <c r="J6" s="13">
        <f>'[2]Input| Escalations'!N25</f>
        <v>1.0182353043552642E-2</v>
      </c>
    </row>
    <row r="7" spans="2:10" x14ac:dyDescent="0.35">
      <c r="C7" t="str">
        <f>'[2]Input| Escalations'!B26</f>
        <v>Contract labour</v>
      </c>
      <c r="D7" s="13">
        <f>'[2]Input| Escalations'!H26</f>
        <v>8.2681564533859629E-3</v>
      </c>
      <c r="E7" s="13">
        <f>'[2]Input| Escalations'!I26</f>
        <v>8.100515567042995E-3</v>
      </c>
      <c r="F7" s="13">
        <f>'[2]Input| Escalations'!J26</f>
        <v>9.3135243940020672E-3</v>
      </c>
      <c r="G7" s="13">
        <f>'[2]Input| Escalations'!K26</f>
        <v>8.3583556288052887E-3</v>
      </c>
      <c r="H7" s="13">
        <f>'[2]Input| Escalations'!L26</f>
        <v>1.0254990531688098E-2</v>
      </c>
      <c r="I7" s="13">
        <f>'[2]Input| Escalations'!M26</f>
        <v>1.2240188084018007E-2</v>
      </c>
      <c r="J7" s="13">
        <f>'[2]Input| Escalations'!N26</f>
        <v>1.0182353043552642E-2</v>
      </c>
    </row>
  </sheetData>
  <pageMargins left="0.7" right="0.7" top="0.75" bottom="0.75" header="0.3" footer="0.3"/>
  <pageSetup paperSize="9" scale="80" orientation="landscape" r:id="rId1"/>
  <headerFooter>
    <oddFooter>&amp;C_x000D_&amp;1#&amp;"Century Gothic"&amp;7&amp;K7F7F7F BUSINESS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>
    <tabColor rgb="FF92D050"/>
  </sheetPr>
  <dimension ref="B3:N23"/>
  <sheetViews>
    <sheetView showGridLines="0" zoomScaleNormal="100" zoomScalePageLayoutView="104" workbookViewId="0"/>
  </sheetViews>
  <sheetFormatPr defaultColWidth="8.81640625" defaultRowHeight="13" x14ac:dyDescent="0.3"/>
  <cols>
    <col min="1" max="1" width="2.54296875" style="2" customWidth="1"/>
    <col min="2" max="2" width="35.81640625" style="2" bestFit="1" customWidth="1"/>
    <col min="3" max="4" width="8.81640625" style="2"/>
    <col min="5" max="6" width="8.81640625" style="2" customWidth="1"/>
    <col min="7" max="16384" width="8.81640625" style="2"/>
  </cols>
  <sheetData>
    <row r="3" spans="2:14" ht="14.5" x14ac:dyDescent="0.35">
      <c r="B3" s="6" t="s">
        <v>58</v>
      </c>
      <c r="C3" s="18">
        <v>43435</v>
      </c>
      <c r="D3" s="12">
        <f t="shared" ref="D3:I3" si="0">EDATE(C3,12)</f>
        <v>43800</v>
      </c>
      <c r="E3" s="12">
        <f t="shared" si="0"/>
        <v>44166</v>
      </c>
      <c r="F3" s="12">
        <f t="shared" si="0"/>
        <v>44531</v>
      </c>
      <c r="G3" s="12">
        <f t="shared" si="0"/>
        <v>44896</v>
      </c>
      <c r="H3" s="12">
        <f t="shared" si="0"/>
        <v>45261</v>
      </c>
      <c r="I3" s="12">
        <f t="shared" si="0"/>
        <v>45627</v>
      </c>
      <c r="J3" s="12">
        <f>EDATE(I3,12)</f>
        <v>45992</v>
      </c>
      <c r="K3" s="12">
        <f t="shared" ref="K3:N3" si="1">EDATE(J3,12)</f>
        <v>46357</v>
      </c>
      <c r="L3" s="12">
        <f t="shared" si="1"/>
        <v>46722</v>
      </c>
      <c r="M3" s="12">
        <f t="shared" si="1"/>
        <v>47088</v>
      </c>
      <c r="N3" s="12">
        <f t="shared" si="1"/>
        <v>47453</v>
      </c>
    </row>
    <row r="4" spans="2:14" ht="14.5" x14ac:dyDescent="0.35">
      <c r="B4" s="6" t="s">
        <v>0</v>
      </c>
      <c r="C4" s="10"/>
      <c r="D4" s="10" t="str">
        <f t="shared" ref="D4:N4" si="2">YEAR(D3)+1&amp;"-"&amp;YEAR(D3)+2-2000</f>
        <v>2020-21</v>
      </c>
      <c r="E4" s="10" t="str">
        <f t="shared" si="2"/>
        <v>2021-22</v>
      </c>
      <c r="F4" s="10" t="str">
        <f t="shared" si="2"/>
        <v>2022-23</v>
      </c>
      <c r="G4" s="10" t="str">
        <f t="shared" si="2"/>
        <v>2023-24</v>
      </c>
      <c r="H4" s="10" t="str">
        <f t="shared" si="2"/>
        <v>2024-25</v>
      </c>
      <c r="I4" s="10" t="str">
        <f t="shared" si="2"/>
        <v>2025-26</v>
      </c>
      <c r="J4" s="10" t="str">
        <f t="shared" si="2"/>
        <v>2026-27</v>
      </c>
      <c r="K4" s="10" t="str">
        <f t="shared" si="2"/>
        <v>2027-28</v>
      </c>
      <c r="L4" s="10" t="str">
        <f t="shared" si="2"/>
        <v>2028-29</v>
      </c>
      <c r="M4" s="10" t="str">
        <f t="shared" si="2"/>
        <v>2029-30</v>
      </c>
      <c r="N4" s="10" t="str">
        <f t="shared" si="2"/>
        <v>2030-31</v>
      </c>
    </row>
    <row r="5" spans="2:14" ht="14.5" x14ac:dyDescent="0.35">
      <c r="B5" t="s">
        <v>57</v>
      </c>
      <c r="C5" s="14">
        <v>114.1</v>
      </c>
      <c r="D5" s="14">
        <v>116.2</v>
      </c>
      <c r="E5" s="14">
        <v>117.2</v>
      </c>
      <c r="F5" s="14">
        <v>121.3</v>
      </c>
      <c r="G5" s="14">
        <v>130.80000000000001</v>
      </c>
      <c r="H5" s="14">
        <v>136.1</v>
      </c>
      <c r="I5" s="15">
        <f t="shared" ref="I5:N5" si="3">H5*(1+I6)</f>
        <v>140.18299999999999</v>
      </c>
      <c r="J5" s="15">
        <f t="shared" si="3"/>
        <v>143.68757499999998</v>
      </c>
      <c r="K5" s="15">
        <f t="shared" si="3"/>
        <v>147.27976437499996</v>
      </c>
      <c r="L5" s="15">
        <f t="shared" si="3"/>
        <v>150.96175848437494</v>
      </c>
      <c r="M5" s="15">
        <f t="shared" si="3"/>
        <v>154.73580244648431</v>
      </c>
      <c r="N5" s="15">
        <f t="shared" si="3"/>
        <v>158.6041975076464</v>
      </c>
    </row>
    <row r="6" spans="2:14" ht="14.5" x14ac:dyDescent="0.35">
      <c r="B6" t="s">
        <v>59</v>
      </c>
      <c r="C6" s="16"/>
      <c r="D6" s="16"/>
      <c r="E6" s="16"/>
      <c r="F6" s="16"/>
      <c r="G6" s="16"/>
      <c r="H6" s="16"/>
      <c r="I6" s="17">
        <f>'[3]RFM input'!$L$282</f>
        <v>0.03</v>
      </c>
      <c r="J6" s="17">
        <f>[4]WACC!G6</f>
        <v>2.4999999999999911E-2</v>
      </c>
      <c r="K6" s="17">
        <f>[4]WACC!H6</f>
        <v>2.4999999999999911E-2</v>
      </c>
      <c r="L6" s="17">
        <f>[4]WACC!I6</f>
        <v>2.4999999999999911E-2</v>
      </c>
      <c r="M6" s="17">
        <f>[4]WACC!J6</f>
        <v>2.4999999999999911E-2</v>
      </c>
      <c r="N6" s="17">
        <f>[4]WACC!K6</f>
        <v>2.4999999999999911E-2</v>
      </c>
    </row>
    <row r="7" spans="2:14" ht="14.5" x14ac:dyDescent="0.35">
      <c r="B7" t="s">
        <v>1</v>
      </c>
      <c r="C7" s="16"/>
      <c r="D7" s="16">
        <f>D5/C5-1</f>
        <v>1.8404907975460238E-2</v>
      </c>
      <c r="E7" s="16">
        <f t="shared" ref="E7:N7" si="4">E5/D5-1</f>
        <v>8.6058519793459354E-3</v>
      </c>
      <c r="F7" s="16">
        <f t="shared" si="4"/>
        <v>3.4982935153583528E-2</v>
      </c>
      <c r="G7" s="16">
        <f t="shared" si="4"/>
        <v>7.8318219291014124E-2</v>
      </c>
      <c r="H7" s="16">
        <f t="shared" si="4"/>
        <v>4.0519877675840865E-2</v>
      </c>
      <c r="I7" s="16">
        <f t="shared" si="4"/>
        <v>3.0000000000000027E-2</v>
      </c>
      <c r="J7" s="16">
        <f t="shared" si="4"/>
        <v>2.4999999999999911E-2</v>
      </c>
      <c r="K7" s="16">
        <f t="shared" si="4"/>
        <v>2.4999999999999911E-2</v>
      </c>
      <c r="L7" s="16">
        <f t="shared" si="4"/>
        <v>2.4999999999999911E-2</v>
      </c>
      <c r="M7" s="16">
        <f t="shared" si="4"/>
        <v>2.4999999999999911E-2</v>
      </c>
      <c r="N7" s="16">
        <f t="shared" si="4"/>
        <v>2.4999999999999911E-2</v>
      </c>
    </row>
    <row r="14" spans="2:14" x14ac:dyDescent="0.3">
      <c r="E14" s="60"/>
    </row>
    <row r="17" spans="2:10" x14ac:dyDescent="0.3">
      <c r="B17" s="64"/>
      <c r="C17" s="64" t="s">
        <v>131</v>
      </c>
      <c r="D17" s="64" t="s">
        <v>132</v>
      </c>
      <c r="E17" s="64" t="s">
        <v>126</v>
      </c>
      <c r="F17" s="64" t="s">
        <v>121</v>
      </c>
      <c r="G17" s="64" t="s">
        <v>66</v>
      </c>
      <c r="H17" s="64" t="s">
        <v>50</v>
      </c>
      <c r="I17" s="64" t="s">
        <v>51</v>
      </c>
      <c r="J17" s="64"/>
    </row>
    <row r="18" spans="2:10" ht="14.5" x14ac:dyDescent="0.35">
      <c r="B18" t="s">
        <v>133</v>
      </c>
      <c r="C18">
        <v>2.0225001952140609E-2</v>
      </c>
      <c r="D18" s="65">
        <v>8.6058519793459354E-3</v>
      </c>
      <c r="E18" s="65">
        <v>3.4982935153583528E-2</v>
      </c>
      <c r="F18" s="65">
        <v>7.8318219291014124E-2</v>
      </c>
      <c r="G18" s="65">
        <v>4.0519877675840865E-2</v>
      </c>
      <c r="H18" s="65">
        <v>0.03</v>
      </c>
      <c r="I18" s="65">
        <v>3.6999999999999998E-2</v>
      </c>
      <c r="J18" s="65"/>
    </row>
    <row r="19" spans="2:10" x14ac:dyDescent="0.3">
      <c r="B19" s="66" t="s">
        <v>134</v>
      </c>
      <c r="C19" s="66"/>
      <c r="D19" s="67"/>
      <c r="E19" s="67"/>
      <c r="F19" s="67"/>
      <c r="G19" s="67"/>
      <c r="H19" s="67"/>
      <c r="I19" s="67"/>
      <c r="J19" s="67"/>
    </row>
    <row r="20" spans="2:10" ht="14.5" x14ac:dyDescent="0.35">
      <c r="B20" t="s">
        <v>135</v>
      </c>
      <c r="C20">
        <v>1.0202250019521406</v>
      </c>
      <c r="D20" s="68">
        <v>1.0290049073045686</v>
      </c>
      <c r="E20" s="68">
        <v>1.0650025192495236</v>
      </c>
      <c r="F20" s="68">
        <v>1.1484116200975902</v>
      </c>
      <c r="G20" s="68">
        <v>1.1949451184654589</v>
      </c>
      <c r="H20" s="68">
        <v>1.2307934720194227</v>
      </c>
      <c r="I20" s="68">
        <v>1.2763328304841413</v>
      </c>
      <c r="J20" s="68"/>
    </row>
    <row r="21" spans="2:10" ht="14.5" x14ac:dyDescent="0.35">
      <c r="B21" t="s">
        <v>136</v>
      </c>
      <c r="C21">
        <v>1.2063941480206539</v>
      </c>
      <c r="D21" s="68">
        <v>1.1961006825938567</v>
      </c>
      <c r="E21" s="68">
        <v>1.1556718878812862</v>
      </c>
      <c r="F21" s="68">
        <v>1.0717354740061162</v>
      </c>
      <c r="G21" s="68">
        <v>1.03</v>
      </c>
      <c r="H21" s="68">
        <v>1</v>
      </c>
      <c r="I21" s="68">
        <v>0.96432015429122475</v>
      </c>
      <c r="J21" s="68"/>
    </row>
    <row r="22" spans="2:10" ht="14.5" x14ac:dyDescent="0.35">
      <c r="B22"/>
      <c r="C22"/>
      <c r="D22"/>
      <c r="E22"/>
      <c r="F22"/>
      <c r="G22"/>
      <c r="H22"/>
      <c r="I22"/>
      <c r="J22"/>
    </row>
    <row r="23" spans="2:10" ht="14.5" x14ac:dyDescent="0.35">
      <c r="B23" t="s">
        <v>137</v>
      </c>
      <c r="C23"/>
      <c r="D23" s="69">
        <f>E23*(1+E18)</f>
        <v>1.1160409556313993</v>
      </c>
      <c r="E23" s="69">
        <f>F23*(1+F18)</f>
        <v>1.0783182192910141</v>
      </c>
      <c r="F23" s="69">
        <v>1</v>
      </c>
      <c r="G23"/>
      <c r="H23"/>
      <c r="I23"/>
      <c r="J23"/>
    </row>
  </sheetData>
  <pageMargins left="0.7" right="0.7" top="0.75" bottom="0.75" header="0.3" footer="0.3"/>
  <pageSetup paperSize="9" orientation="portrait" r:id="rId1"/>
  <headerFooter>
    <oddFooter>&amp;C_x000D_&amp;1#&amp;"Century Gothic"&amp;7&amp;K7F7F7F BUSINESS USE ONLY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"/>
  <sheetViews>
    <sheetView showGridLines="0" workbookViewId="0"/>
  </sheetViews>
  <sheetFormatPr defaultRowHeight="14.5" x14ac:dyDescent="0.35"/>
  <cols>
    <col min="1" max="1" width="35.54296875" customWidth="1"/>
    <col min="2" max="2" width="11.6328125" customWidth="1"/>
    <col min="3" max="3" width="10.1796875" customWidth="1"/>
    <col min="4" max="4" width="10.36328125" customWidth="1"/>
    <col min="5" max="5" width="9.81640625" customWidth="1"/>
    <col min="6" max="6" width="9.54296875" customWidth="1"/>
  </cols>
  <sheetData>
    <row r="1" spans="1:6" ht="15" thickBot="1" x14ac:dyDescent="0.4">
      <c r="A1" t="s">
        <v>47</v>
      </c>
    </row>
    <row r="2" spans="1:6" ht="15" thickBot="1" x14ac:dyDescent="0.4">
      <c r="B2" s="5" t="s">
        <v>51</v>
      </c>
      <c r="C2" s="5" t="s">
        <v>122</v>
      </c>
      <c r="D2" s="5" t="s">
        <v>123</v>
      </c>
      <c r="E2" s="5" t="s">
        <v>124</v>
      </c>
      <c r="F2" s="5" t="s">
        <v>125</v>
      </c>
    </row>
    <row r="3" spans="1:6" ht="15.5" thickTop="1" thickBot="1" x14ac:dyDescent="0.4">
      <c r="A3" t="s">
        <v>48</v>
      </c>
      <c r="B3" s="8">
        <f>'Connection Fees'!G63</f>
        <v>129.01444099372341</v>
      </c>
      <c r="C3" s="9">
        <f>B3*(1+'Labour Escalators'!G6)</f>
        <v>130.09278957280048</v>
      </c>
      <c r="D3" s="9">
        <f>C3*(1+'Labour Escalators'!H6)</f>
        <v>131.42688989811043</v>
      </c>
      <c r="E3" s="9">
        <f>D3*(1+'Labour Escalators'!I6)</f>
        <v>133.03557974976081</v>
      </c>
      <c r="F3" s="9">
        <f>E3*(1+'Labour Escalators'!J6)</f>
        <v>134.39019499012659</v>
      </c>
    </row>
    <row r="5" spans="1:6" x14ac:dyDescent="0.35">
      <c r="B5" s="7"/>
    </row>
  </sheetData>
  <pageMargins left="0.7" right="0.7" top="0.75" bottom="0.75" header="0.3" footer="0.3"/>
  <pageSetup paperSize="9" orientation="portrait" verticalDpi="0" r:id="rId1"/>
  <headerFooter>
    <oddFooter>&amp;C_x000D_&amp;1#&amp;"Century Gothic"&amp;7&amp;K7F7F7F BUSINESS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26092BDB0EB54683F161AC1502A92A" ma:contentTypeVersion="15" ma:contentTypeDescription="Create a new document." ma:contentTypeScope="" ma:versionID="573d424dd1e19490fac3388276302f64">
  <xsd:schema xmlns:xsd="http://www.w3.org/2001/XMLSchema" xmlns:xs="http://www.w3.org/2001/XMLSchema" xmlns:p="http://schemas.microsoft.com/office/2006/metadata/properties" xmlns:ns2="d668db9c-bb18-4bed-8851-b5721f14e6b4" xmlns:ns3="facbff88-6fe3-477c-bd78-371714a63d39" targetNamespace="http://schemas.microsoft.com/office/2006/metadata/properties" ma:root="true" ma:fieldsID="4b8a887423ab20ccf81c13febc9a4956" ns2:_="" ns3:_="">
    <xsd:import namespace="d668db9c-bb18-4bed-8851-b5721f14e6b4"/>
    <xsd:import namespace="facbff88-6fe3-477c-bd78-371714a63d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8db9c-bb18-4bed-8851-b5721f14e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9e67b6b-74cb-4963-8df3-8bbebf5323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cbff88-6fe3-477c-bd78-371714a63d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9a79716-25b4-414f-9205-0a0877a8c924}" ma:internalName="TaxCatchAll" ma:showField="CatchAllData" ma:web="facbff88-6fe3-477c-bd78-371714a63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68db9c-bb18-4bed-8851-b5721f14e6b4">
      <Terms xmlns="http://schemas.microsoft.com/office/infopath/2007/PartnerControls"/>
    </lcf76f155ced4ddcb4097134ff3c332f>
    <TaxCatchAll xmlns="facbff88-6fe3-477c-bd78-371714a63d39" xsi:nil="true"/>
  </documentManagement>
</p:properties>
</file>

<file path=customXml/itemProps1.xml><?xml version="1.0" encoding="utf-8"?>
<ds:datastoreItem xmlns:ds="http://schemas.openxmlformats.org/officeDocument/2006/customXml" ds:itemID="{AB3D1005-269F-4282-A822-CCE939280783}"/>
</file>

<file path=customXml/itemProps2.xml><?xml version="1.0" encoding="utf-8"?>
<ds:datastoreItem xmlns:ds="http://schemas.openxmlformats.org/officeDocument/2006/customXml" ds:itemID="{12EDEB1A-D2BF-46CE-A4DB-AAF2240F4FE9}"/>
</file>

<file path=customXml/itemProps3.xml><?xml version="1.0" encoding="utf-8"?>
<ds:datastoreItem xmlns:ds="http://schemas.openxmlformats.org/officeDocument/2006/customXml" ds:itemID="{D694AC88-457E-4487-BB2D-136B083F1D5E}"/>
</file>

<file path=docMetadata/LabelInfo.xml><?xml version="1.0" encoding="utf-8"?>
<clbl:labelList xmlns:clbl="http://schemas.microsoft.com/office/2020/mipLabelMetadata">
  <clbl:label id="{f59ee16a-f4d8-42fc-8e4b-5abdff9fc8a9}" enabled="1" method="Standard" siteId="{a394e41c-cf8d-458e-ac1b-ddae1aa1562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Connection Fees</vt:lpstr>
      <vt:lpstr>Quoted Services</vt:lpstr>
      <vt:lpstr>Labour Escalators</vt:lpstr>
      <vt:lpstr>CPI and conversions</vt:lpstr>
      <vt:lpstr>Security lighting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2020-09-28T01:47:41Z</dcterms:created>
  <dcterms:modified xsi:type="dcterms:W3CDTF">2025-01-28T23:33:04Z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0x0101000B26092BDB0EB54683F161AC1502A92A</vt:lpwstr>
  </property>
</Properties>
</file>