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pausnet.sharepoint.com/sites/2026-31EDPR/Shared Documents/General/14. EDPR - Proposal submission 31 Jan'25/Supporting Models/"/>
    </mc:Choice>
  </mc:AlternateContent>
  <xr:revisionPtr revIDLastSave="1" documentId="13_ncr:1_{E585DC04-A29C-4511-B310-0292CB33A17E}" xr6:coauthVersionLast="47" xr6:coauthVersionMax="47" xr10:uidLastSave="{A6C24A58-1EB8-4688-80B4-6F7B216911F6}"/>
  <bookViews>
    <workbookView xWindow="-120" yWindow="-120" windowWidth="38640" windowHeight="21240" tabRatio="813" activeTab="2" xr2:uid="{23B3ACE7-C789-4767-B0CF-5B0A4A34691D}"/>
  </bookViews>
  <sheets>
    <sheet name="CESS Adj 1 - Cap Cons" sheetId="1" r:id="rId1"/>
    <sheet name="CESS Adj 2 - Innovation" sheetId="2" r:id="rId2"/>
    <sheet name="CESS Adj 3 - Transition costs" sheetId="3" r:id="rId3"/>
    <sheet name="CPI" sheetId="4" r:id="rId4"/>
  </sheets>
  <externalReferences>
    <externalReference r:id="rId5"/>
    <externalReference r:id="rId6"/>
  </externalReferences>
  <definedNames>
    <definedName name="MdoStgs" hidden="1">"{63157E56-B313-46CB-9876-0E593C33966C}"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4" l="1"/>
  <c r="F10" i="4" s="1"/>
  <c r="C6" i="4"/>
  <c r="D6" i="4" s="1"/>
  <c r="E6" i="4" s="1"/>
  <c r="F6" i="4" s="1"/>
  <c r="G6" i="4" s="1"/>
  <c r="H6" i="4" s="1"/>
  <c r="I6" i="4" s="1"/>
  <c r="J6" i="4" s="1"/>
  <c r="K6" i="4" s="1"/>
  <c r="L6" i="4" s="1"/>
  <c r="H4" i="4"/>
  <c r="I4" i="4" s="1"/>
  <c r="J4" i="4" s="1"/>
  <c r="F4" i="4"/>
  <c r="E4" i="4" s="1"/>
  <c r="D4" i="4" s="1"/>
  <c r="C4" i="4" s="1"/>
  <c r="G9" i="3"/>
  <c r="F8" i="3"/>
  <c r="E8" i="3"/>
  <c r="G8" i="3" s="1"/>
  <c r="G7" i="3"/>
  <c r="G6" i="3"/>
  <c r="G5" i="3"/>
  <c r="G10" i="3" s="1"/>
  <c r="F10" i="3" l="1"/>
  <c r="E10" i="3"/>
  <c r="G8" i="4"/>
  <c r="H6" i="3" s="1"/>
  <c r="H8" i="3" l="1"/>
  <c r="H9" i="3"/>
  <c r="H5" i="3"/>
  <c r="H7" i="3"/>
  <c r="H10" i="3" l="1"/>
  <c r="G5" i="2"/>
  <c r="F5" i="2"/>
  <c r="E5" i="2"/>
  <c r="D5" i="2"/>
  <c r="C5" i="2"/>
  <c r="H5" i="1"/>
  <c r="G9" i="1"/>
  <c r="F9" i="1"/>
  <c r="E9" i="1"/>
  <c r="D9" i="1"/>
  <c r="G7" i="1"/>
  <c r="F7" i="1"/>
  <c r="F10" i="1" s="1"/>
  <c r="E7" i="1"/>
  <c r="D7" i="1"/>
  <c r="C9" i="1"/>
  <c r="C7" i="1"/>
  <c r="C10" i="1" s="1"/>
  <c r="H5" i="2" l="1"/>
  <c r="D10" i="1"/>
  <c r="E10" i="1"/>
  <c r="H9" i="1"/>
  <c r="G10" i="1"/>
  <c r="H7" i="1"/>
  <c r="H10" i="1" l="1"/>
</calcChain>
</file>

<file path=xl/sharedStrings.xml><?xml version="1.0" encoding="utf-8"?>
<sst xmlns="http://schemas.openxmlformats.org/spreadsheetml/2006/main" count="91" uniqueCount="59">
  <si>
    <t>LOW DENSITY HOUSING - SUBDIVISION</t>
  </si>
  <si>
    <t>TOTAL</t>
  </si>
  <si>
    <t>Gross Capex - excluding gifted assets</t>
  </si>
  <si>
    <t>Real $Jun 2021, $000's</t>
  </si>
  <si>
    <t>2021-22</t>
  </si>
  <si>
    <t>2022-23</t>
  </si>
  <si>
    <t>2023-24</t>
  </si>
  <si>
    <t>2024-25</t>
  </si>
  <si>
    <t>2025-26</t>
  </si>
  <si>
    <t>AER calculated average customer contribution rate</t>
  </si>
  <si>
    <t>AER - Final decision - ASD - 2021-26 - Connections Capex Model - 20210322 - CONFIDENTIAL</t>
  </si>
  <si>
    <t>Customer contributions forecast - AER</t>
  </si>
  <si>
    <t>Customer contributions forecast - AusNet</t>
  </si>
  <si>
    <t>Source / Comment</t>
  </si>
  <si>
    <t>Derived using the above (amended) average contribution rate of 38.1%</t>
  </si>
  <si>
    <t>Amended average customer contribution rate</t>
  </si>
  <si>
    <t>Difference in forecast customer contributions</t>
  </si>
  <si>
    <t>Adjustment to correct for difference in forecast customer contributions - to be added back to the 2022-26 Net capex allowance for CESS purposes.</t>
  </si>
  <si>
    <t>FD ASD Low density housing contributions forecast (IR084) - CONFIDENTIAL_ASD amended (provided to the AER via email on 11th May 2021)</t>
  </si>
  <si>
    <t>INNOVATION</t>
  </si>
  <si>
    <t>Innovation</t>
  </si>
  <si>
    <t>AER - Final Decision - AusNet Services distribution determination- 2021–26 - Capex model - April 2021</t>
  </si>
  <si>
    <t>Direct costs only</t>
  </si>
  <si>
    <t>Real $2024, $K</t>
  </si>
  <si>
    <t>$Nominal, $K</t>
  </si>
  <si>
    <t>Plan category</t>
  </si>
  <si>
    <t>AER driver</t>
  </si>
  <si>
    <t>Description</t>
  </si>
  <si>
    <t>Level 3 mapping</t>
  </si>
  <si>
    <t>Digital</t>
  </si>
  <si>
    <t>ICT capex</t>
  </si>
  <si>
    <t xml:space="preserve">Transition Downer to Zinfra </t>
  </si>
  <si>
    <t>ICT</t>
  </si>
  <si>
    <t>Faults solution (in house as Zinfra does not have capability)</t>
  </si>
  <si>
    <t>Other</t>
  </si>
  <si>
    <t>Fleet capex</t>
  </si>
  <si>
    <t>Capex purchase of costs - fleet</t>
  </si>
  <si>
    <t>Vehicles</t>
  </si>
  <si>
    <t>Property capex</t>
  </si>
  <si>
    <t>Depot and pole storage leases</t>
  </si>
  <si>
    <t>Property leases</t>
  </si>
  <si>
    <t>Other non-network capex</t>
  </si>
  <si>
    <t>Tools and equipment</t>
  </si>
  <si>
    <t>Other Non-Network</t>
  </si>
  <si>
    <t>Total</t>
  </si>
  <si>
    <t>Actual</t>
  </si>
  <si>
    <t>Forecast</t>
  </si>
  <si>
    <t>1-year lagged inflation (8 cities)</t>
  </si>
  <si>
    <t>2026-27</t>
  </si>
  <si>
    <t>2027–28</t>
  </si>
  <si>
    <t>2028–29</t>
  </si>
  <si>
    <t>2029–30</t>
  </si>
  <si>
    <t>2030–31</t>
  </si>
  <si>
    <t>EDPR Inflation forecast - 5th cut</t>
  </si>
  <si>
    <t>$Nominal to End-Year $Jun 2026</t>
  </si>
  <si>
    <t>Real $Jun-21 to End Year Jun $Nominal</t>
  </si>
  <si>
    <t>Real $Jun 2024 to $Nominal</t>
  </si>
  <si>
    <t>CPI - 14 months (extropolated)</t>
  </si>
  <si>
    <t>Transition costs - Proposed CESS exclusion in 2022-26 period.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</si>
</sst>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.0;[Red]\-&quot;$&quot;#,##0.0"/>
    <numFmt numFmtId="165" formatCode="0.000"/>
    <numFmt numFmtId="166" formatCode="0.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28">
    <xf numFmtId="0" fontId="0" fillId="0" borderId="0" xfId="0"/>
    <xf numFmtId="0" fontId="0" fillId="2" borderId="0" xfId="0" applyFill="1"/>
    <xf numFmtId="0" fontId="2" fillId="2" borderId="0" xfId="0" applyFont="1" applyFill="1"/>
    <xf numFmtId="0" fontId="0" fillId="2" borderId="1" xfId="0" applyFill="1" applyBorder="1"/>
    <xf numFmtId="43" fontId="0" fillId="2" borderId="1" xfId="1" applyFont="1" applyFill="1" applyBorder="1"/>
    <xf numFmtId="0" fontId="2" fillId="2" borderId="1" xfId="0" applyFont="1" applyFill="1" applyBorder="1"/>
    <xf numFmtId="43" fontId="3" fillId="2" borderId="1" xfId="1" applyFont="1" applyFill="1" applyBorder="1"/>
    <xf numFmtId="0" fontId="0" fillId="2" borderId="1" xfId="0" applyFill="1" applyBorder="1" applyAlignment="1">
      <alignment wrapText="1"/>
    </xf>
    <xf numFmtId="0" fontId="2" fillId="2" borderId="1" xfId="0" applyFont="1" applyFill="1" applyBorder="1" applyAlignment="1">
      <alignment horizontal="center"/>
    </xf>
    <xf numFmtId="9" fontId="0" fillId="3" borderId="1" xfId="2" applyFont="1" applyFill="1" applyBorder="1"/>
    <xf numFmtId="9" fontId="0" fillId="4" borderId="1" xfId="2" applyFont="1" applyFill="1" applyBorder="1"/>
    <xf numFmtId="0" fontId="2" fillId="0" borderId="0" xfId="0" applyFont="1"/>
    <xf numFmtId="0" fontId="2" fillId="0" borderId="0" xfId="0" applyFont="1" applyAlignment="1">
      <alignment horizontal="center"/>
    </xf>
    <xf numFmtId="164" fontId="0" fillId="0" borderId="0" xfId="0" applyNumberFormat="1"/>
    <xf numFmtId="164" fontId="2" fillId="0" borderId="0" xfId="0" applyNumberFormat="1" applyFo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/>
    <xf numFmtId="10" fontId="0" fillId="0" borderId="0" xfId="2" applyNumberFormat="1" applyFont="1" applyFill="1"/>
    <xf numFmtId="10" fontId="0" fillId="0" borderId="0" xfId="2" applyNumberFormat="1" applyFont="1"/>
    <xf numFmtId="10" fontId="0" fillId="0" borderId="2" xfId="2" applyNumberFormat="1" applyFont="1" applyBorder="1"/>
    <xf numFmtId="0" fontId="7" fillId="0" borderId="0" xfId="0" applyFont="1"/>
    <xf numFmtId="165" fontId="0" fillId="0" borderId="0" xfId="0" applyNumberFormat="1"/>
    <xf numFmtId="0" fontId="8" fillId="0" borderId="0" xfId="0" applyFont="1"/>
    <xf numFmtId="166" fontId="0" fillId="0" borderId="0" xfId="0" applyNumberFormat="1"/>
    <xf numFmtId="0" fontId="5" fillId="0" borderId="0" xfId="0" applyFont="1"/>
    <xf numFmtId="0" fontId="2" fillId="4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</cellXfs>
  <cellStyles count="4">
    <cellStyle name="Comma" xfId="1" builtinId="3"/>
    <cellStyle name="Normal" xfId="0" builtinId="0"/>
    <cellStyle name="Normal 11" xfId="3" xr:uid="{B95570A7-351C-422D-AF44-D06CCF0660A5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Price%20Review/2021-25%20EDPR/20.0%202021%20EDPR%20-%20AER%20Final%20Decision%2030%20April%202021/AER%20Final%20Decision/Final%20Decision%20-%20Models/AER%20-%20Final%20Decision%20-%20AusNet%20Services%20distribution%20determination-%202021&#8211;26%20-%20Capex%20model%20-%20April%202021.xlsx?62ADD810" TargetMode="External"/><Relationship Id="rId1" Type="http://schemas.openxmlformats.org/officeDocument/2006/relationships/externalLinkPath" Target="file:///\\62ADD810\AER%20-%20Final%20Decision%20-%20AusNet%20Services%20distribution%20determination-%202021&#8211;26%20-%20Capex%20model%20-%20April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B:\Price%20Review\2026-31%20EDPR\11.0%202026%20EDPR%20-%20Proposal%20submission%20models\Confidential\SCS\ASD%20-%20SCS%20capitalised%20leases%20&#8211;%20transitional%20arrangement%20-%20310125%20-%20CONFIDENTIAL.xlsx" TargetMode="External"/><Relationship Id="rId1" Type="http://schemas.openxmlformats.org/officeDocument/2006/relationships/externalLinkPath" Target="/Price%20Review/2026-31%20EDPR/11.0%202026%20EDPR%20-%20Proposal%20submission%20models/Confidential/SCS/ASD%20-%20SCS%20capitalised%20leases%20&#8211;%20transitional%20arrangement%20-%20310125%20-%20CONFIDENTI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ER Changes"/>
      <sheetName val="Inputs to Connections Model"/>
      <sheetName val="Input from Connections Model"/>
      <sheetName val="Contents"/>
      <sheetName val="Assumptions"/>
      <sheetName val="Lookups -&gt;"/>
      <sheetName val="Lab_Mat"/>
      <sheetName val="Escalators"/>
      <sheetName val="Lookups"/>
      <sheetName val="START"/>
      <sheetName val="Inputs -&gt;"/>
      <sheetName val="Augmentation"/>
      <sheetName val="Connections"/>
      <sheetName val="Major_Rebuilds"/>
      <sheetName val="Stations"/>
      <sheetName val="Lines"/>
      <sheetName val="PC&amp;A"/>
      <sheetName val="SCADA&amp;Comms"/>
      <sheetName val="ESL_1"/>
      <sheetName val="ESL_2"/>
      <sheetName val="REFCL"/>
      <sheetName val="ICT"/>
      <sheetName val="Metering_SCS"/>
      <sheetName val="Other_NN"/>
      <sheetName val="Downer_Contract"/>
      <sheetName val="Aggregations &amp; Alloc -&gt;"/>
      <sheetName val="Base_Forecast"/>
      <sheetName val="Reg_Forecast"/>
      <sheetName val="Capex_by_Driver"/>
      <sheetName val="Safety"/>
      <sheetName val="AusNet_Overheads"/>
      <sheetName val="Outputs -&gt;"/>
      <sheetName val="RFM_PTRM"/>
      <sheetName val="Capex_2016-2026"/>
      <sheetName val="DER"/>
      <sheetName val="REFCL_view"/>
      <sheetName val="RIN Template -&gt;"/>
      <sheetName val="2.1 Exp Summary"/>
      <sheetName val="2.1.8 Cap Overheads"/>
      <sheetName val="2.6 Non-Network"/>
      <sheetName val="2.11 Labour"/>
      <sheetName val="2.17 Step Changes"/>
      <sheetName val="Other -&gt;"/>
      <sheetName val="Repex_Analys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54">
          <cell r="K54">
            <v>1.2729609714722767</v>
          </cell>
          <cell r="L54">
            <v>1.2733259666755636</v>
          </cell>
          <cell r="M54">
            <v>1.273663685713587</v>
          </cell>
          <cell r="N54">
            <v>1.2740724325751995</v>
          </cell>
          <cell r="O54">
            <v>1.2746067657222986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mbined lease forecast"/>
      <sheetName val="Lilydale pole storage lease"/>
    </sheetNames>
    <sheetDataSet>
      <sheetData sheetId="0">
        <row r="60">
          <cell r="I60">
            <v>304480.53951056016</v>
          </cell>
          <cell r="J60"/>
        </row>
        <row r="71">
          <cell r="I71">
            <v>909616.6579865074</v>
          </cell>
          <cell r="J71">
            <v>69475.967156368832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E606D-BF80-4833-B54B-B26B5BDDF77B}">
  <sheetPr>
    <tabColor theme="4"/>
  </sheetPr>
  <dimension ref="B2:I10"/>
  <sheetViews>
    <sheetView workbookViewId="0"/>
  </sheetViews>
  <sheetFormatPr defaultColWidth="8.85546875" defaultRowHeight="15" x14ac:dyDescent="0.25"/>
  <cols>
    <col min="1" max="1" width="3.28515625" style="1" customWidth="1"/>
    <col min="2" max="2" width="45.7109375" style="1" customWidth="1"/>
    <col min="3" max="7" width="9" style="1" bestFit="1" customWidth="1"/>
    <col min="8" max="8" width="10" style="1" bestFit="1" customWidth="1"/>
    <col min="9" max="9" width="73.85546875" style="1" customWidth="1"/>
    <col min="10" max="16384" width="8.85546875" style="1"/>
  </cols>
  <sheetData>
    <row r="2" spans="2:9" x14ac:dyDescent="0.25">
      <c r="B2" s="2" t="s">
        <v>0</v>
      </c>
    </row>
    <row r="4" spans="2:9" x14ac:dyDescent="0.25">
      <c r="B4" s="2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1</v>
      </c>
      <c r="I4" s="8" t="s">
        <v>13</v>
      </c>
    </row>
    <row r="5" spans="2:9" x14ac:dyDescent="0.25">
      <c r="B5" s="3" t="s">
        <v>2</v>
      </c>
      <c r="C5" s="4">
        <v>3404.5421055659062</v>
      </c>
      <c r="D5" s="4">
        <v>5415.8898509891351</v>
      </c>
      <c r="E5" s="4">
        <v>5551.1101144665254</v>
      </c>
      <c r="F5" s="4">
        <v>5699.955911549846</v>
      </c>
      <c r="G5" s="4">
        <v>5788.2219767280458</v>
      </c>
      <c r="H5" s="4">
        <f>SUM(C5:G5)</f>
        <v>25859.719959299458</v>
      </c>
      <c r="I5" s="3" t="s">
        <v>10</v>
      </c>
    </row>
    <row r="6" spans="2:9" x14ac:dyDescent="0.25">
      <c r="B6" s="3" t="s">
        <v>9</v>
      </c>
      <c r="C6" s="10">
        <v>0.52137695105515192</v>
      </c>
      <c r="D6" s="10">
        <v>0.52137695105515192</v>
      </c>
      <c r="E6" s="10">
        <v>0.52137695105515192</v>
      </c>
      <c r="F6" s="10">
        <v>0.52137695105515192</v>
      </c>
      <c r="G6" s="10">
        <v>0.52137695105515192</v>
      </c>
      <c r="H6" s="3"/>
      <c r="I6" s="3" t="s">
        <v>10</v>
      </c>
    </row>
    <row r="7" spans="2:9" x14ac:dyDescent="0.25">
      <c r="B7" s="3" t="s">
        <v>11</v>
      </c>
      <c r="C7" s="4">
        <f>C6*C$5</f>
        <v>1775.0497827388394</v>
      </c>
      <c r="D7" s="4">
        <f>D6*D$5</f>
        <v>2823.7201377592564</v>
      </c>
      <c r="E7" s="4">
        <f>E6*E$5</f>
        <v>2894.2208664519721</v>
      </c>
      <c r="F7" s="4">
        <f>F6*F$5</f>
        <v>2971.8256343126477</v>
      </c>
      <c r="G7" s="4">
        <f>G6*G$5</f>
        <v>3017.8455262568932</v>
      </c>
      <c r="H7" s="4">
        <f>SUM(C7:G7)</f>
        <v>13482.661947519609</v>
      </c>
      <c r="I7" s="3" t="s">
        <v>10</v>
      </c>
    </row>
    <row r="8" spans="2:9" ht="30" x14ac:dyDescent="0.25">
      <c r="B8" s="3" t="s">
        <v>15</v>
      </c>
      <c r="C8" s="9">
        <v>0.38106360976724291</v>
      </c>
      <c r="D8" s="9">
        <v>0.38106360976724291</v>
      </c>
      <c r="E8" s="9">
        <v>0.38106360976724291</v>
      </c>
      <c r="F8" s="9">
        <v>0.38106360976724291</v>
      </c>
      <c r="G8" s="9">
        <v>0.38106360976724291</v>
      </c>
      <c r="H8" s="3"/>
      <c r="I8" s="7" t="s">
        <v>18</v>
      </c>
    </row>
    <row r="9" spans="2:9" x14ac:dyDescent="0.25">
      <c r="B9" s="3" t="s">
        <v>12</v>
      </c>
      <c r="C9" s="4">
        <f>C8*C$5</f>
        <v>1297.347104351514</v>
      </c>
      <c r="D9" s="4">
        <f>D8*D$5</f>
        <v>2063.7985367196952</v>
      </c>
      <c r="E9" s="4">
        <f>E8*E$5</f>
        <v>2115.3260584340669</v>
      </c>
      <c r="F9" s="4">
        <f>F8*F$5</f>
        <v>2172.0457751693198</v>
      </c>
      <c r="G9" s="4">
        <f>G8*G$5</f>
        <v>2205.6807605860754</v>
      </c>
      <c r="H9" s="4">
        <f>SUM(C9:G9)</f>
        <v>9854.1982352606719</v>
      </c>
      <c r="I9" s="3" t="s">
        <v>14</v>
      </c>
    </row>
    <row r="10" spans="2:9" ht="30" x14ac:dyDescent="0.25">
      <c r="B10" s="5" t="s">
        <v>16</v>
      </c>
      <c r="C10" s="6">
        <f t="shared" ref="C10:H10" si="0">C7-C9</f>
        <v>477.70267838732548</v>
      </c>
      <c r="D10" s="6">
        <f t="shared" si="0"/>
        <v>759.92160103956121</v>
      </c>
      <c r="E10" s="6">
        <f t="shared" si="0"/>
        <v>778.89480801790523</v>
      </c>
      <c r="F10" s="6">
        <f t="shared" si="0"/>
        <v>799.77985914332794</v>
      </c>
      <c r="G10" s="6">
        <f t="shared" si="0"/>
        <v>812.16476567081781</v>
      </c>
      <c r="H10" s="6">
        <f t="shared" si="0"/>
        <v>3628.4637122589374</v>
      </c>
      <c r="I10" s="7" t="s">
        <v>17</v>
      </c>
    </row>
  </sheetData>
  <pageMargins left="0.7" right="0.7" top="0.75" bottom="0.75" header="0.3" footer="0.3"/>
  <pageSetup paperSize="9" orientation="portrait" verticalDpi="0" r:id="rId1"/>
  <headerFooter>
    <oddFooter>&amp;C_x000D_&amp;1#&amp;"Century Gothic"&amp;7&amp;K7F7F7F BUSINESS USE ONLY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78E4F-D2BC-4B6D-B3B2-93F2B30E32CF}">
  <sheetPr>
    <tabColor theme="4"/>
  </sheetPr>
  <dimension ref="B2:I5"/>
  <sheetViews>
    <sheetView workbookViewId="0">
      <selection activeCell="C5" sqref="C5"/>
    </sheetView>
  </sheetViews>
  <sheetFormatPr defaultColWidth="8.85546875" defaultRowHeight="15" x14ac:dyDescent="0.25"/>
  <cols>
    <col min="1" max="1" width="3.28515625" style="1" customWidth="1"/>
    <col min="2" max="2" width="45.7109375" style="1" customWidth="1"/>
    <col min="3" max="7" width="9" style="1" bestFit="1" customWidth="1"/>
    <col min="8" max="8" width="10" style="1" bestFit="1" customWidth="1"/>
    <col min="9" max="9" width="73.85546875" style="1" customWidth="1"/>
    <col min="10" max="16384" width="8.85546875" style="1"/>
  </cols>
  <sheetData>
    <row r="2" spans="2:9" x14ac:dyDescent="0.25">
      <c r="B2" s="2" t="s">
        <v>19</v>
      </c>
    </row>
    <row r="4" spans="2:9" x14ac:dyDescent="0.25">
      <c r="B4" s="2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1</v>
      </c>
      <c r="I4" s="8" t="s">
        <v>13</v>
      </c>
    </row>
    <row r="5" spans="2:9" x14ac:dyDescent="0.25">
      <c r="B5" s="3" t="s">
        <v>20</v>
      </c>
      <c r="C5" s="4">
        <f>'[1]Capex_2016-2026'!K54</f>
        <v>1.2729609714722767</v>
      </c>
      <c r="D5" s="4">
        <f>'[1]Capex_2016-2026'!L54</f>
        <v>1.2733259666755636</v>
      </c>
      <c r="E5" s="4">
        <f>'[1]Capex_2016-2026'!M54</f>
        <v>1.273663685713587</v>
      </c>
      <c r="F5" s="4">
        <f>'[1]Capex_2016-2026'!N54</f>
        <v>1.2740724325751995</v>
      </c>
      <c r="G5" s="4">
        <f>'[1]Capex_2016-2026'!O54</f>
        <v>1.2746067657222986</v>
      </c>
      <c r="H5" s="4">
        <f>SUM(C5:G5)</f>
        <v>6.3686298221589261</v>
      </c>
      <c r="I5" s="3" t="s">
        <v>21</v>
      </c>
    </row>
  </sheetData>
  <pageMargins left="0.7" right="0.7" top="0.75" bottom="0.75" header="0.3" footer="0.3"/>
  <pageSetup paperSize="9" orientation="portrait" verticalDpi="0" r:id="rId1"/>
  <headerFooter>
    <oddFooter>&amp;C_x000D_&amp;1#&amp;"Century Gothic"&amp;7&amp;K7F7F7F BUSINESS USE ONLY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8425F-E722-4B5B-91BB-AD73C6CCEAD0}">
  <sheetPr>
    <tabColor theme="4"/>
  </sheetPr>
  <dimension ref="A1:H14"/>
  <sheetViews>
    <sheetView tabSelected="1" zoomScale="130" zoomScaleNormal="130" workbookViewId="0">
      <selection activeCell="G13" sqref="G13"/>
    </sheetView>
  </sheetViews>
  <sheetFormatPr defaultRowHeight="15" x14ac:dyDescent="0.25"/>
  <cols>
    <col min="1" max="1" width="12.140625" customWidth="1"/>
    <col min="2" max="2" width="22" customWidth="1"/>
    <col min="3" max="3" width="46.42578125" customWidth="1"/>
    <col min="4" max="4" width="20.5703125" customWidth="1"/>
    <col min="5" max="8" width="13.28515625" customWidth="1"/>
  </cols>
  <sheetData>
    <row r="1" spans="1:8" x14ac:dyDescent="0.25">
      <c r="A1" s="11" t="s">
        <v>58</v>
      </c>
    </row>
    <row r="2" spans="1:8" x14ac:dyDescent="0.25">
      <c r="A2" s="11" t="s">
        <v>22</v>
      </c>
      <c r="C2" s="11"/>
      <c r="D2" s="11"/>
    </row>
    <row r="3" spans="1:8" x14ac:dyDescent="0.25">
      <c r="E3" s="26" t="s">
        <v>23</v>
      </c>
      <c r="F3" s="26"/>
      <c r="G3" s="27" t="s">
        <v>24</v>
      </c>
      <c r="H3" s="27"/>
    </row>
    <row r="4" spans="1:8" x14ac:dyDescent="0.25">
      <c r="A4" s="12" t="s">
        <v>25</v>
      </c>
      <c r="B4" s="12" t="s">
        <v>26</v>
      </c>
      <c r="C4" s="12" t="s">
        <v>27</v>
      </c>
      <c r="D4" s="12" t="s">
        <v>28</v>
      </c>
      <c r="E4" s="12" t="s">
        <v>7</v>
      </c>
      <c r="F4" s="12" t="s">
        <v>8</v>
      </c>
      <c r="G4" s="12" t="s">
        <v>7</v>
      </c>
      <c r="H4" s="12" t="s">
        <v>8</v>
      </c>
    </row>
    <row r="5" spans="1:8" x14ac:dyDescent="0.25">
      <c r="A5" t="s">
        <v>29</v>
      </c>
      <c r="B5" t="s">
        <v>30</v>
      </c>
      <c r="C5" t="s">
        <v>31</v>
      </c>
      <c r="D5" t="s">
        <v>32</v>
      </c>
      <c r="E5" s="13">
        <v>0</v>
      </c>
      <c r="F5" s="13">
        <v>2000</v>
      </c>
      <c r="G5" s="13">
        <f>E5*CPI!F$8</f>
        <v>0</v>
      </c>
      <c r="H5" s="13">
        <f>F5*CPI!G$8</f>
        <v>2143.4709480122319</v>
      </c>
    </row>
    <row r="6" spans="1:8" x14ac:dyDescent="0.25">
      <c r="A6" t="s">
        <v>29</v>
      </c>
      <c r="B6" t="s">
        <v>30</v>
      </c>
      <c r="C6" t="s">
        <v>33</v>
      </c>
      <c r="D6" t="s">
        <v>32</v>
      </c>
      <c r="E6" s="13">
        <v>0</v>
      </c>
      <c r="F6" s="13">
        <v>700</v>
      </c>
      <c r="G6" s="13">
        <f>E6*CPI!F$8</f>
        <v>0</v>
      </c>
      <c r="H6" s="13">
        <f>F6*CPI!G$8</f>
        <v>750.21483180428118</v>
      </c>
    </row>
    <row r="7" spans="1:8" x14ac:dyDescent="0.25">
      <c r="A7" t="s">
        <v>34</v>
      </c>
      <c r="B7" t="s">
        <v>35</v>
      </c>
      <c r="C7" t="s">
        <v>36</v>
      </c>
      <c r="D7" t="s">
        <v>37</v>
      </c>
      <c r="E7" s="13">
        <v>0</v>
      </c>
      <c r="F7" s="13">
        <v>1816.9452157000694</v>
      </c>
      <c r="G7" s="13">
        <f>E7*CPI!F$8</f>
        <v>0</v>
      </c>
      <c r="H7" s="13">
        <f>F7*CPI!G$8</f>
        <v>1947.2846419914586</v>
      </c>
    </row>
    <row r="8" spans="1:8" x14ac:dyDescent="0.25">
      <c r="A8" t="s">
        <v>34</v>
      </c>
      <c r="B8" t="s">
        <v>38</v>
      </c>
      <c r="C8" t="s">
        <v>39</v>
      </c>
      <c r="D8" t="s">
        <v>40</v>
      </c>
      <c r="E8" s="13">
        <f>('[2]Combined lease forecast'!I$71-'[2]Combined lease forecast'!I$60)/1000</f>
        <v>605.13611847594734</v>
      </c>
      <c r="F8" s="13">
        <f>('[2]Combined lease forecast'!J$71-'[2]Combined lease forecast'!J$60)/1000</f>
        <v>69.475967156368839</v>
      </c>
      <c r="G8" s="13">
        <f>E8*CPI!F$8</f>
        <v>629.65615997382588</v>
      </c>
      <c r="H8" s="13">
        <f>F8*CPI!G$8</f>
        <v>74.459858592364299</v>
      </c>
    </row>
    <row r="9" spans="1:8" x14ac:dyDescent="0.25">
      <c r="A9" t="s">
        <v>34</v>
      </c>
      <c r="B9" t="s">
        <v>41</v>
      </c>
      <c r="C9" t="s">
        <v>42</v>
      </c>
      <c r="D9" t="s">
        <v>43</v>
      </c>
      <c r="E9" s="13">
        <v>0</v>
      </c>
      <c r="F9" s="13">
        <v>7466.4167103359996</v>
      </c>
      <c r="G9" s="13">
        <f>E9*CPI!F$8</f>
        <v>0</v>
      </c>
      <c r="H9" s="13">
        <f>F9*CPI!G$8</f>
        <v>8002.0236521791376</v>
      </c>
    </row>
    <row r="10" spans="1:8" x14ac:dyDescent="0.25">
      <c r="C10" s="11"/>
      <c r="D10" s="11" t="s">
        <v>44</v>
      </c>
      <c r="E10" s="14">
        <f>SUM(E5:E9)</f>
        <v>605.13611847594734</v>
      </c>
      <c r="F10" s="14">
        <f>SUM(F5:F9)</f>
        <v>12052.837893192438</v>
      </c>
      <c r="G10" s="14">
        <f t="shared" ref="G10:H10" si="0">SUM(G5:G9)</f>
        <v>629.65615997382588</v>
      </c>
      <c r="H10" s="14">
        <f t="shared" si="0"/>
        <v>12917.453932579472</v>
      </c>
    </row>
    <row r="12" spans="1:8" x14ac:dyDescent="0.25">
      <c r="B12" s="11"/>
      <c r="E12" s="14"/>
      <c r="F12" s="14"/>
      <c r="G12" s="14"/>
      <c r="H12" s="14"/>
    </row>
    <row r="14" spans="1:8" x14ac:dyDescent="0.25">
      <c r="B14" s="11"/>
      <c r="E14" s="14"/>
      <c r="F14" s="14"/>
      <c r="G14" s="14"/>
      <c r="H14" s="14"/>
    </row>
  </sheetData>
  <mergeCells count="2">
    <mergeCell ref="E3:F3"/>
    <mergeCell ref="G3:H3"/>
  </mergeCells>
  <pageMargins left="0.7" right="0.7" top="0.75" bottom="0.75" header="0.3" footer="0.3"/>
  <headerFooter>
    <oddFooter>&amp;C_x000D_&amp;1#&amp;"Century Gothic"&amp;7&amp;K7F7F7F BUSINESS USE ONLY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A2B27-2B0E-4467-8D20-19A38BFF9015}">
  <dimension ref="B1:M10"/>
  <sheetViews>
    <sheetView zoomScale="85" zoomScaleNormal="85" workbookViewId="0">
      <selection activeCell="E8" sqref="E8"/>
    </sheetView>
  </sheetViews>
  <sheetFormatPr defaultRowHeight="15" x14ac:dyDescent="0.25"/>
  <cols>
    <col min="1" max="1" width="5.42578125" customWidth="1"/>
    <col min="2" max="2" width="39.28515625" customWidth="1"/>
  </cols>
  <sheetData>
    <row r="1" spans="2:13" x14ac:dyDescent="0.25">
      <c r="C1" s="15" t="s">
        <v>45</v>
      </c>
      <c r="D1" s="15" t="s">
        <v>45</v>
      </c>
      <c r="E1" s="15" t="s">
        <v>45</v>
      </c>
      <c r="F1" s="15" t="s">
        <v>45</v>
      </c>
      <c r="G1" s="15" t="s">
        <v>46</v>
      </c>
      <c r="H1" s="16" t="s">
        <v>46</v>
      </c>
      <c r="I1" s="15" t="s">
        <v>46</v>
      </c>
      <c r="J1" s="15" t="s">
        <v>46</v>
      </c>
      <c r="K1" s="15" t="s">
        <v>46</v>
      </c>
      <c r="L1" s="15" t="s">
        <v>46</v>
      </c>
    </row>
    <row r="2" spans="2:13" x14ac:dyDescent="0.25">
      <c r="B2" s="17" t="s">
        <v>47</v>
      </c>
      <c r="C2" s="15" t="s">
        <v>4</v>
      </c>
      <c r="D2" s="15" t="s">
        <v>5</v>
      </c>
      <c r="E2" s="15" t="s">
        <v>6</v>
      </c>
      <c r="F2" s="15" t="s">
        <v>7</v>
      </c>
      <c r="G2" s="15" t="s">
        <v>8</v>
      </c>
      <c r="H2" s="16" t="s">
        <v>48</v>
      </c>
      <c r="I2" s="15" t="s">
        <v>49</v>
      </c>
      <c r="J2" s="15" t="s">
        <v>50</v>
      </c>
      <c r="K2" s="15" t="s">
        <v>51</v>
      </c>
      <c r="L2" s="15" t="s">
        <v>52</v>
      </c>
    </row>
    <row r="3" spans="2:13" x14ac:dyDescent="0.25">
      <c r="B3" t="s">
        <v>53</v>
      </c>
      <c r="C3" s="18">
        <v>8.6058519793459354E-3</v>
      </c>
      <c r="D3" s="18">
        <v>3.4982935153583528E-2</v>
      </c>
      <c r="E3" s="18">
        <v>7.8318219291014124E-2</v>
      </c>
      <c r="F3" s="18">
        <v>4.0519877675840865E-2</v>
      </c>
      <c r="G3" s="19">
        <v>0.03</v>
      </c>
      <c r="H3" s="20">
        <v>2.5000000000000001E-2</v>
      </c>
      <c r="I3" s="19">
        <v>2.5000000000000001E-2</v>
      </c>
      <c r="J3" s="19">
        <v>2.5000000000000001E-2</v>
      </c>
      <c r="K3" s="19">
        <v>2.5000000000000001E-2</v>
      </c>
      <c r="L3" s="19">
        <v>2.5000000000000001E-2</v>
      </c>
    </row>
    <row r="4" spans="2:13" x14ac:dyDescent="0.25">
      <c r="B4" s="21" t="s">
        <v>54</v>
      </c>
      <c r="C4" s="22">
        <f>D4*(1+D3)</f>
        <v>1.1961006825938565</v>
      </c>
      <c r="D4" s="22">
        <f>E4*(1+E3)</f>
        <v>1.1556718878812859</v>
      </c>
      <c r="E4" s="22">
        <f>F4*(1+F3)</f>
        <v>1.071735474006116</v>
      </c>
      <c r="F4" s="22">
        <f>G4*(1+G3)</f>
        <v>1.03</v>
      </c>
      <c r="G4" s="22">
        <v>1</v>
      </c>
      <c r="H4" s="22">
        <f>1/(1+H3)</f>
        <v>0.97560975609756106</v>
      </c>
      <c r="I4" s="22">
        <f>H4/(1+I3)</f>
        <v>0.95181439619274255</v>
      </c>
      <c r="J4" s="22">
        <f>I4/(1+J3)</f>
        <v>0.92859941091974896</v>
      </c>
    </row>
    <row r="5" spans="2:13" x14ac:dyDescent="0.25">
      <c r="B5" s="23"/>
      <c r="C5" s="22"/>
      <c r="D5" s="22"/>
      <c r="E5" s="22"/>
      <c r="F5" s="22"/>
      <c r="G5" s="22"/>
    </row>
    <row r="6" spans="2:13" x14ac:dyDescent="0.25">
      <c r="B6" t="s">
        <v>55</v>
      </c>
      <c r="C6" s="24">
        <f>1+C3</f>
        <v>1.0086058519793459</v>
      </c>
      <c r="D6" s="24">
        <f t="shared" ref="D6:L6" si="0">C6*(1+D3)</f>
        <v>1.0438898450946643</v>
      </c>
      <c r="E6" s="24">
        <f t="shared" si="0"/>
        <v>1.1256454388984509</v>
      </c>
      <c r="F6" s="24">
        <f t="shared" si="0"/>
        <v>1.1712564543889843</v>
      </c>
      <c r="G6" s="24">
        <f t="shared" si="0"/>
        <v>1.2063941480206539</v>
      </c>
      <c r="H6" s="24">
        <f t="shared" si="0"/>
        <v>1.2365540017211702</v>
      </c>
      <c r="I6" s="24">
        <f t="shared" si="0"/>
        <v>1.2674678517641993</v>
      </c>
      <c r="J6" s="24">
        <f t="shared" si="0"/>
        <v>1.2991545480583042</v>
      </c>
      <c r="K6" s="24">
        <f t="shared" si="0"/>
        <v>1.3316334117597617</v>
      </c>
      <c r="L6" s="24">
        <f t="shared" si="0"/>
        <v>1.3649242470537557</v>
      </c>
      <c r="M6" s="25"/>
    </row>
    <row r="8" spans="2:13" x14ac:dyDescent="0.25">
      <c r="B8" t="s">
        <v>56</v>
      </c>
      <c r="E8">
        <v>1</v>
      </c>
      <c r="F8" s="24">
        <f>E8*(1+F3)</f>
        <v>1.0405198776758409</v>
      </c>
      <c r="G8" s="24">
        <f>F8*(1+G3)</f>
        <v>1.071735474006116</v>
      </c>
    </row>
    <row r="10" spans="2:13" x14ac:dyDescent="0.25">
      <c r="B10" t="s">
        <v>57</v>
      </c>
      <c r="F10" s="24">
        <f>F8^(14/12)</f>
        <v>1.0474310519007686</v>
      </c>
    </row>
  </sheetData>
  <pageMargins left="0.7" right="0.7" top="0.75" bottom="0.75" header="0.3" footer="0.3"/>
  <headerFooter>
    <oddFooter>&amp;C_x000D_&amp;1#&amp;"Century Gothic"&amp;7&amp;K7F7F7F BUSINESS USE ONLY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668db9c-bb18-4bed-8851-b5721f14e6b4">
      <Terms xmlns="http://schemas.microsoft.com/office/infopath/2007/PartnerControls"/>
    </lcf76f155ced4ddcb4097134ff3c332f>
    <TaxCatchAll xmlns="facbff88-6fe3-477c-bd78-371714a63d3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26092BDB0EB54683F161AC1502A92A" ma:contentTypeVersion="15" ma:contentTypeDescription="Create a new document." ma:contentTypeScope="" ma:versionID="573d424dd1e19490fac3388276302f64">
  <xsd:schema xmlns:xsd="http://www.w3.org/2001/XMLSchema" xmlns:xs="http://www.w3.org/2001/XMLSchema" xmlns:p="http://schemas.microsoft.com/office/2006/metadata/properties" xmlns:ns2="d668db9c-bb18-4bed-8851-b5721f14e6b4" xmlns:ns3="facbff88-6fe3-477c-bd78-371714a63d39" targetNamespace="http://schemas.microsoft.com/office/2006/metadata/properties" ma:root="true" ma:fieldsID="4b8a887423ab20ccf81c13febc9a4956" ns2:_="" ns3:_="">
    <xsd:import namespace="d668db9c-bb18-4bed-8851-b5721f14e6b4"/>
    <xsd:import namespace="facbff88-6fe3-477c-bd78-371714a63d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68db9c-bb18-4bed-8851-b5721f14e6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09e67b6b-74cb-4963-8df3-8bbebf53230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cbff88-6fe3-477c-bd78-371714a63d39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9a79716-25b4-414f-9205-0a0877a8c924}" ma:internalName="TaxCatchAll" ma:showField="CatchAllData" ma:web="facbff88-6fe3-477c-bd78-371714a63d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4964C3C-EC0E-4A80-830F-5DBC85FB5458}">
  <ds:schemaRefs>
    <ds:schemaRef ds:uri="http://schemas.microsoft.com/office/2006/metadata/properties"/>
    <ds:schemaRef ds:uri="http://schemas.microsoft.com/office/infopath/2007/PartnerControls"/>
    <ds:schemaRef ds:uri="d668db9c-bb18-4bed-8851-b5721f14e6b4"/>
    <ds:schemaRef ds:uri="facbff88-6fe3-477c-bd78-371714a63d39"/>
  </ds:schemaRefs>
</ds:datastoreItem>
</file>

<file path=customXml/itemProps2.xml><?xml version="1.0" encoding="utf-8"?>
<ds:datastoreItem xmlns:ds="http://schemas.openxmlformats.org/officeDocument/2006/customXml" ds:itemID="{1C7FA7A6-5883-474C-B9EC-5F602369C3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E9CEE6-1D76-48A6-A3B0-54965DCA1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68db9c-bb18-4bed-8851-b5721f14e6b4"/>
    <ds:schemaRef ds:uri="facbff88-6fe3-477c-bd78-371714a63d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f59ee16a-f4d8-42fc-8e4b-5abdff9fc8a9}" enabled="1" method="Standard" siteId="{a394e41c-cf8d-458e-ac1b-ddae1aa15629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CESS Adj 1 - Cap Cons</vt:lpstr>
      <vt:lpstr>CESS Adj 2 - Innovation</vt:lpstr>
      <vt:lpstr>CESS Adj 3 - Transition costs</vt:lpstr>
      <vt:lpstr>CPI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Martin</dc:creator>
  <cp:lastModifiedBy>Robert Ball</cp:lastModifiedBy>
  <dcterms:created xsi:type="dcterms:W3CDTF">2023-07-11T03:54:25Z</dcterms:created>
  <dcterms:modified xsi:type="dcterms:W3CDTF">2025-01-31T05:35:16Z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0x0101000B26092BDB0EB54683F161AC1502A92A</vt:lpwstr>
  </property>
  <property fmtid="{D5CDD505-2E9C-101B-9397-08002B2CF9AE}" pid="3" name="MediaServiceImageTags">
    <vt:lpwstr/>
  </property>
</Properties>
</file>