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1 CitiPower\"/>
    </mc:Choice>
  </mc:AlternateContent>
  <xr:revisionPtr revIDLastSave="0" documentId="13_ncr:1_{8994DCBC-77C1-4B8C-B511-A08A2E41BC8F}" xr6:coauthVersionLast="47" xr6:coauthVersionMax="47" xr10:uidLastSave="{00000000-0000-0000-0000-000000000000}"/>
  <bookViews>
    <workbookView xWindow="-17775" yWindow="-16560" windowWidth="29040" windowHeight="15720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59" r:id="rId9"/>
    <sheet name="Lookup|Tables" sheetId="4" r:id="rId10"/>
    <sheet name="Check|List" sheetId="16" r:id="rId11"/>
  </sheets>
  <externalReferences>
    <externalReference r:id="rId12"/>
  </externalReferences>
  <definedNames>
    <definedName name="_xlnm._FilterDatabase" localSheetId="1" hidden="1">'Input|General'!$G$6:$G$14</definedName>
    <definedName name="_xlnm._FilterDatabase" localSheetId="3" hidden="1">'Input|Reported opex'!$C$37:$F$37</definedName>
    <definedName name="BaseYear" localSheetId="8">'[1]Input|General'!$G$11</definedName>
    <definedName name="BaseYear">'Input|General'!$G$11</definedName>
    <definedName name="dollars">'Lookup|Tables'!$G$17</definedName>
    <definedName name="factor">'Lookup|Tables'!$G$24</definedName>
    <definedName name="FPFirstYear" localSheetId="8">'[1]Input|General'!$G$13</definedName>
    <definedName name="FPFirstYear">'Input|General'!$G$13</definedName>
    <definedName name="FPLastYear" localSheetId="8">'[1]Input|General'!$G$14</definedName>
    <definedName name="FPLastYear">'Input|General'!$G$14</definedName>
    <definedName name="FRCP_1to5">"2015-16 to 2019-20"</definedName>
    <definedName name="millions">'Lookup|Tables'!$G$19</definedName>
    <definedName name="month" localSheetId="8">#REF!</definedName>
    <definedName name="month">#REF!</definedName>
    <definedName name="Nominal_to_Real" localSheetId="8">'[1]Lookup|Tables'!$H$72:$H$78</definedName>
    <definedName name="Nominal_to_Real">'Input|Rate of change'!$C$26:$C$31</definedName>
    <definedName name="NSP">'Input|General'!$G$7</definedName>
    <definedName name="number">'Lookup|Tables'!$G$23</definedName>
    <definedName name="percent" localSheetId="8">#REF!</definedName>
    <definedName name="percent">'Lookup|Tables'!$G$21</definedName>
    <definedName name="PPFirstYear" localSheetId="8">#REF!</definedName>
    <definedName name="PPFirstYear">'Input|General'!$G$10</definedName>
    <definedName name="PPLastYear" localSheetId="8">#REF!</definedName>
    <definedName name="PPLastYear">'Input|General'!$G$12</definedName>
    <definedName name="RCP_1to5">"2015-16 to 2019-20"</definedName>
    <definedName name="Real_to_Nominal">'Input|Rate of change'!$C$16:$C$21</definedName>
    <definedName name="thousands">'Lookup|Tables'!$G$18</definedName>
    <definedName name="unit">'Lookup|Tables'!$G$22</definedName>
    <definedName name="units" localSheetId="8">#REF!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2" l="1"/>
  <c r="Q39" i="2" l="1"/>
  <c r="Q41" i="2" s="1"/>
  <c r="S41" i="2"/>
  <c r="T39" i="2"/>
  <c r="T41" i="2" s="1"/>
  <c r="P39" i="2"/>
  <c r="P41" i="2" s="1"/>
  <c r="R39" i="2"/>
  <c r="R41" i="2" s="1"/>
  <c r="F91" i="42"/>
  <c r="E91" i="42"/>
  <c r="F90" i="42"/>
  <c r="E90" i="42"/>
  <c r="F89" i="42"/>
  <c r="E89" i="42"/>
  <c r="F88" i="42"/>
  <c r="E88" i="42"/>
  <c r="F87" i="42"/>
  <c r="E87" i="42"/>
  <c r="F86" i="42"/>
  <c r="E86" i="42"/>
  <c r="F85" i="42"/>
  <c r="E85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E20" i="53" l="1"/>
  <c r="E21" i="53"/>
  <c r="E22" i="53"/>
  <c r="E23" i="53"/>
  <c r="E24" i="53"/>
  <c r="E25" i="53"/>
  <c r="E26" i="53"/>
  <c r="S23" i="59" l="1"/>
  <c r="S22" i="59"/>
  <c r="S21" i="59"/>
  <c r="S20" i="59"/>
  <c r="B1" i="59"/>
  <c r="N15" i="58" l="1"/>
  <c r="M15" i="58"/>
  <c r="L15" i="58"/>
  <c r="K15" i="58"/>
  <c r="J15" i="58"/>
  <c r="H86" i="55"/>
  <c r="H85" i="55"/>
  <c r="H84" i="55"/>
  <c r="H83" i="55"/>
  <c r="H82" i="55"/>
  <c r="H81" i="55"/>
  <c r="H80" i="55"/>
  <c r="H79" i="55"/>
  <c r="H78" i="55"/>
  <c r="H77" i="55"/>
  <c r="H76" i="55"/>
  <c r="H75" i="55"/>
  <c r="H74" i="55"/>
  <c r="H73" i="55"/>
  <c r="H72" i="55"/>
  <c r="H70" i="55"/>
  <c r="H66" i="55"/>
  <c r="F29" i="58"/>
  <c r="F23" i="42"/>
  <c r="F28" i="42"/>
  <c r="F37" i="42"/>
  <c r="F40" i="42"/>
  <c r="F43" i="42"/>
  <c r="F46" i="42"/>
  <c r="F49" i="42"/>
  <c r="E41" i="2"/>
  <c r="E40" i="2"/>
  <c r="E39" i="2"/>
  <c r="E38" i="2"/>
  <c r="E37" i="2"/>
  <c r="C87" i="2"/>
  <c r="C88" i="2"/>
  <c r="C89" i="2"/>
  <c r="C86" i="2"/>
  <c r="F57" i="58"/>
  <c r="F47" i="58"/>
  <c r="F52" i="58"/>
  <c r="F53" i="58"/>
  <c r="F54" i="58"/>
  <c r="F55" i="58"/>
  <c r="F51" i="58"/>
  <c r="E13" i="58"/>
  <c r="K95" i="2"/>
  <c r="L95" i="2"/>
  <c r="M95" i="2"/>
  <c r="K96" i="2"/>
  <c r="L96" i="2"/>
  <c r="M96" i="2"/>
  <c r="K97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J95" i="2"/>
  <c r="C91" i="2"/>
  <c r="C90" i="2"/>
  <c r="C7" i="4"/>
  <c r="L14" i="44"/>
  <c r="J16" i="44"/>
  <c r="M17" i="44"/>
  <c r="K13" i="44"/>
  <c r="E8" i="44"/>
  <c r="E18" i="44"/>
  <c r="C16" i="44"/>
  <c r="C17" i="44"/>
  <c r="C18" i="44"/>
  <c r="E8" i="42"/>
  <c r="E106" i="42" s="1"/>
  <c r="C101" i="42"/>
  <c r="C102" i="42"/>
  <c r="C103" i="42"/>
  <c r="C104" i="42"/>
  <c r="E37" i="53"/>
  <c r="E38" i="53"/>
  <c r="E54" i="58"/>
  <c r="E47" i="53"/>
  <c r="E39" i="53"/>
  <c r="E36" i="53"/>
  <c r="E35" i="53"/>
  <c r="E27" i="53"/>
  <c r="E19" i="53"/>
  <c r="E18" i="53"/>
  <c r="E17" i="53"/>
  <c r="E16" i="53"/>
  <c r="E15" i="53"/>
  <c r="E14" i="53"/>
  <c r="E13" i="53"/>
  <c r="E12" i="53"/>
  <c r="E69" i="58"/>
  <c r="E67" i="58"/>
  <c r="E66" i="58"/>
  <c r="E65" i="58"/>
  <c r="E64" i="58"/>
  <c r="E63" i="58"/>
  <c r="E57" i="58"/>
  <c r="E29" i="58"/>
  <c r="E55" i="58"/>
  <c r="E53" i="58"/>
  <c r="E52" i="58"/>
  <c r="E51" i="58"/>
  <c r="E45" i="58"/>
  <c r="E44" i="58"/>
  <c r="E43" i="58"/>
  <c r="E42" i="58"/>
  <c r="E41" i="58"/>
  <c r="E37" i="58"/>
  <c r="E27" i="58"/>
  <c r="E26" i="58"/>
  <c r="E25" i="58"/>
  <c r="E24" i="58"/>
  <c r="E23" i="58"/>
  <c r="E22" i="58"/>
  <c r="E23" i="42" s="1"/>
  <c r="E21" i="58"/>
  <c r="E20" i="58"/>
  <c r="E19" i="58"/>
  <c r="V31" i="55"/>
  <c r="V32" i="55"/>
  <c r="V33" i="55"/>
  <c r="V34" i="55"/>
  <c r="V35" i="55"/>
  <c r="V36" i="55"/>
  <c r="V37" i="55"/>
  <c r="V38" i="55"/>
  <c r="V39" i="55"/>
  <c r="V40" i="55"/>
  <c r="V41" i="55"/>
  <c r="V42" i="55"/>
  <c r="V43" i="55"/>
  <c r="V44" i="55"/>
  <c r="V45" i="55"/>
  <c r="V46" i="55"/>
  <c r="V47" i="55"/>
  <c r="V48" i="55"/>
  <c r="V49" i="55"/>
  <c r="V50" i="55"/>
  <c r="V51" i="55"/>
  <c r="V52" i="55"/>
  <c r="V53" i="55"/>
  <c r="V54" i="55"/>
  <c r="V55" i="55"/>
  <c r="V56" i="55"/>
  <c r="V57" i="55"/>
  <c r="V58" i="55"/>
  <c r="V59" i="55"/>
  <c r="V60" i="55"/>
  <c r="V61" i="55"/>
  <c r="V62" i="55"/>
  <c r="V63" i="55"/>
  <c r="V64" i="55"/>
  <c r="V65" i="55"/>
  <c r="V66" i="55"/>
  <c r="V67" i="55"/>
  <c r="V68" i="55"/>
  <c r="V69" i="55"/>
  <c r="V70" i="55"/>
  <c r="V71" i="55"/>
  <c r="V30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4" i="55"/>
  <c r="V25" i="55"/>
  <c r="V26" i="55"/>
  <c r="V27" i="55"/>
  <c r="V28" i="55"/>
  <c r="V29" i="55"/>
  <c r="V9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4" i="55"/>
  <c r="H41" i="55"/>
  <c r="H42" i="55"/>
  <c r="H43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7" i="55"/>
  <c r="H68" i="55"/>
  <c r="H69" i="55"/>
  <c r="H71" i="55"/>
  <c r="H21" i="55"/>
  <c r="E17" i="44"/>
  <c r="E16" i="44"/>
  <c r="H83" i="4"/>
  <c r="H68" i="4"/>
  <c r="I68" i="4"/>
  <c r="H69" i="4"/>
  <c r="I69" i="4"/>
  <c r="G15" i="16"/>
  <c r="F42" i="58"/>
  <c r="F43" i="58"/>
  <c r="F44" i="58"/>
  <c r="F45" i="58"/>
  <c r="F41" i="58"/>
  <c r="O47" i="58"/>
  <c r="P47" i="58"/>
  <c r="Q47" i="58"/>
  <c r="R47" i="58"/>
  <c r="S47" i="58"/>
  <c r="C106" i="2" a="1"/>
  <c r="C109" i="2"/>
  <c r="T102" i="2" a="1"/>
  <c r="T102" i="2"/>
  <c r="S102" i="2" a="1"/>
  <c r="S102" i="2"/>
  <c r="R102" i="2" a="1"/>
  <c r="R102" i="2"/>
  <c r="Q102" i="2" a="1"/>
  <c r="Q102" i="2"/>
  <c r="P102" i="2" a="1"/>
  <c r="P102" i="2"/>
  <c r="O102" i="2" a="1"/>
  <c r="O102" i="2"/>
  <c r="N102" i="2" a="1"/>
  <c r="N102" i="2"/>
  <c r="C100" i="2"/>
  <c r="C99" i="2"/>
  <c r="C98" i="2"/>
  <c r="C97" i="2"/>
  <c r="C96" i="2"/>
  <c r="C95" i="2"/>
  <c r="C106" i="2"/>
  <c r="C107" i="2"/>
  <c r="C108" i="2"/>
  <c r="F47" i="53"/>
  <c r="F19" i="42"/>
  <c r="F8" i="42"/>
  <c r="F112" i="42" s="1"/>
  <c r="F8" i="44"/>
  <c r="F17" i="44" s="1"/>
  <c r="O29" i="58"/>
  <c r="P29" i="58"/>
  <c r="Q29" i="58"/>
  <c r="R29" i="58"/>
  <c r="S29" i="58"/>
  <c r="E15" i="58"/>
  <c r="D15" i="58"/>
  <c r="O15" i="58"/>
  <c r="P15" i="58"/>
  <c r="Q15" i="58"/>
  <c r="R15" i="58"/>
  <c r="S15" i="58"/>
  <c r="C29" i="42"/>
  <c r="E28" i="42"/>
  <c r="O57" i="58"/>
  <c r="P57" i="58"/>
  <c r="Q57" i="58"/>
  <c r="R57" i="58"/>
  <c r="S57" i="58"/>
  <c r="E47" i="58"/>
  <c r="G79" i="4"/>
  <c r="G80" i="4" s="1"/>
  <c r="G81" i="4" s="1"/>
  <c r="G82" i="4" s="1"/>
  <c r="G83" i="4" s="1"/>
  <c r="G74" i="4"/>
  <c r="G75" i="4" s="1"/>
  <c r="G76" i="4" s="1"/>
  <c r="G77" i="4" s="1"/>
  <c r="G78" i="4" s="1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8" i="4"/>
  <c r="H77" i="4"/>
  <c r="H76" i="4"/>
  <c r="H75" i="4"/>
  <c r="H82" i="4"/>
  <c r="H81" i="4"/>
  <c r="H80" i="4"/>
  <c r="H79" i="4"/>
  <c r="H74" i="4"/>
  <c r="C47" i="4"/>
  <c r="S4" i="44"/>
  <c r="R4" i="44"/>
  <c r="Q4" i="44"/>
  <c r="P4" i="44"/>
  <c r="O4" i="44"/>
  <c r="O11" i="44" s="1"/>
  <c r="N4" i="44"/>
  <c r="M4" i="44"/>
  <c r="L4" i="44"/>
  <c r="K4" i="44"/>
  <c r="J4" i="44"/>
  <c r="S4" i="42"/>
  <c r="S33" i="42" s="1"/>
  <c r="R4" i="42"/>
  <c r="R33" i="42" s="1"/>
  <c r="Q4" i="42"/>
  <c r="Q40" i="42" s="1"/>
  <c r="P4" i="42"/>
  <c r="P16" i="42" s="1"/>
  <c r="O4" i="42"/>
  <c r="O33" i="42" s="1"/>
  <c r="N4" i="42"/>
  <c r="N21" i="42" s="1"/>
  <c r="M4" i="42"/>
  <c r="M10" i="42" s="1"/>
  <c r="L4" i="42"/>
  <c r="L16" i="42" s="1"/>
  <c r="K4" i="42"/>
  <c r="K19" i="42" s="1"/>
  <c r="J4" i="42"/>
  <c r="J19" i="42" s="1"/>
  <c r="S4" i="53"/>
  <c r="S45" i="53" s="1"/>
  <c r="R4" i="53"/>
  <c r="R33" i="53" s="1"/>
  <c r="Q4" i="53"/>
  <c r="Q33" i="53" s="1"/>
  <c r="P4" i="53"/>
  <c r="P45" i="53" s="1"/>
  <c r="O4" i="53"/>
  <c r="O45" i="53" s="1"/>
  <c r="N4" i="53"/>
  <c r="N45" i="53" s="1"/>
  <c r="N49" i="53" s="1"/>
  <c r="M4" i="53"/>
  <c r="M45" i="53" s="1"/>
  <c r="M49" i="53" s="1"/>
  <c r="L4" i="53"/>
  <c r="L33" i="53" s="1"/>
  <c r="L41" i="53" s="1"/>
  <c r="K4" i="53"/>
  <c r="K45" i="53" s="1"/>
  <c r="K49" i="53" s="1"/>
  <c r="J4" i="53"/>
  <c r="J33" i="53" s="1"/>
  <c r="J41" i="53" s="1"/>
  <c r="J4" i="2"/>
  <c r="J104" i="2" s="1"/>
  <c r="T4" i="2"/>
  <c r="S4" i="2"/>
  <c r="R4" i="2"/>
  <c r="Q4" i="2"/>
  <c r="P4" i="2"/>
  <c r="P104" i="2" s="1"/>
  <c r="O4" i="2"/>
  <c r="O104" i="2" s="1"/>
  <c r="N4" i="2"/>
  <c r="N104" i="2"/>
  <c r="M4" i="2"/>
  <c r="M104" i="2"/>
  <c r="L4" i="2"/>
  <c r="L104" i="2" s="1"/>
  <c r="K4" i="2"/>
  <c r="K104" i="2" s="1"/>
  <c r="S4" i="58"/>
  <c r="S61" i="58"/>
  <c r="S28" i="42" s="1"/>
  <c r="R4" i="58"/>
  <c r="R61" i="58" s="1"/>
  <c r="R28" i="42" s="1"/>
  <c r="Q4" i="58"/>
  <c r="Q61" i="58" s="1"/>
  <c r="P4" i="58"/>
  <c r="P61" i="58" s="1"/>
  <c r="P28" i="42" s="1"/>
  <c r="O4" i="58"/>
  <c r="O61" i="58"/>
  <c r="O28" i="42"/>
  <c r="N4" i="58"/>
  <c r="N61" i="58"/>
  <c r="M4" i="58"/>
  <c r="M61" i="58"/>
  <c r="M28" i="42" s="1"/>
  <c r="L4" i="58"/>
  <c r="L61" i="58"/>
  <c r="L28" i="42" s="1"/>
  <c r="K4" i="58"/>
  <c r="K61" i="58"/>
  <c r="K28" i="42" s="1"/>
  <c r="J4" i="58"/>
  <c r="J61" i="58" s="1"/>
  <c r="J28" i="42" s="1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J76" i="2"/>
  <c r="K76" i="2"/>
  <c r="L76" i="2"/>
  <c r="M76" i="2"/>
  <c r="O76" i="2"/>
  <c r="N76" i="2"/>
  <c r="Q104" i="2"/>
  <c r="Q24" i="2"/>
  <c r="R104" i="2"/>
  <c r="R24" i="2"/>
  <c r="S104" i="2"/>
  <c r="S24" i="2"/>
  <c r="T104" i="2"/>
  <c r="T24" i="2"/>
  <c r="K37" i="42"/>
  <c r="N34" i="58"/>
  <c r="R34" i="58"/>
  <c r="N107" i="2"/>
  <c r="N108" i="2"/>
  <c r="N109" i="2"/>
  <c r="N106" i="2"/>
  <c r="M106" i="2"/>
  <c r="M109" i="2"/>
  <c r="M108" i="2"/>
  <c r="M107" i="2"/>
  <c r="J10" i="58"/>
  <c r="N10" i="58"/>
  <c r="N28" i="42" s="1"/>
  <c r="R10" i="58"/>
  <c r="L34" i="58"/>
  <c r="P34" i="58"/>
  <c r="S10" i="2"/>
  <c r="M14" i="2"/>
  <c r="Q14" i="2"/>
  <c r="S74" i="2"/>
  <c r="Q63" i="2"/>
  <c r="M63" i="2"/>
  <c r="M72" i="2" s="1"/>
  <c r="L10" i="58"/>
  <c r="P10" i="58"/>
  <c r="J34" i="58"/>
  <c r="Q10" i="2"/>
  <c r="M10" i="2"/>
  <c r="O14" i="2"/>
  <c r="S14" i="2"/>
  <c r="M74" i="2"/>
  <c r="Q74" i="2"/>
  <c r="S63" i="2"/>
  <c r="K63" i="2"/>
  <c r="K72" i="2" s="1"/>
  <c r="M34" i="58"/>
  <c r="M10" i="58"/>
  <c r="O34" i="58"/>
  <c r="O10" i="58"/>
  <c r="S34" i="58"/>
  <c r="S10" i="58"/>
  <c r="L63" i="2"/>
  <c r="L74" i="2"/>
  <c r="L14" i="2"/>
  <c r="L10" i="2"/>
  <c r="P63" i="2"/>
  <c r="P74" i="2"/>
  <c r="P14" i="2"/>
  <c r="P10" i="2"/>
  <c r="R63" i="2"/>
  <c r="R74" i="2"/>
  <c r="R14" i="2"/>
  <c r="R10" i="2"/>
  <c r="T63" i="2"/>
  <c r="T74" i="2"/>
  <c r="T14" i="2"/>
  <c r="T10" i="2"/>
  <c r="L24" i="2"/>
  <c r="P24" i="2"/>
  <c r="R35" i="2"/>
  <c r="N35" i="2"/>
  <c r="N48" i="2"/>
  <c r="R48" i="2"/>
  <c r="L113" i="2"/>
  <c r="P113" i="2"/>
  <c r="T113" i="2"/>
  <c r="K34" i="58"/>
  <c r="K10" i="58"/>
  <c r="Q34" i="58"/>
  <c r="N63" i="2"/>
  <c r="N74" i="2"/>
  <c r="N14" i="2"/>
  <c r="N10" i="2"/>
  <c r="N24" i="2"/>
  <c r="T35" i="2"/>
  <c r="P35" i="2"/>
  <c r="L35" i="2"/>
  <c r="L48" i="2"/>
  <c r="P48" i="2"/>
  <c r="T48" i="2"/>
  <c r="N113" i="2"/>
  <c r="N117" i="2" s="1"/>
  <c r="R113" i="2"/>
  <c r="M24" i="2"/>
  <c r="O24" i="2"/>
  <c r="S35" i="2"/>
  <c r="Q35" i="2"/>
  <c r="M35" i="2"/>
  <c r="M48" i="2"/>
  <c r="M59" i="2" s="1"/>
  <c r="Q48" i="2"/>
  <c r="S48" i="2"/>
  <c r="M113" i="2"/>
  <c r="Q113" i="2"/>
  <c r="Q117" i="2" s="1"/>
  <c r="S113" i="2"/>
  <c r="S8" i="54"/>
  <c r="C49" i="42"/>
  <c r="C50" i="42" s="1"/>
  <c r="C46" i="42"/>
  <c r="C47" i="42" s="1"/>
  <c r="C43" i="42"/>
  <c r="C44" i="42" s="1"/>
  <c r="C40" i="42"/>
  <c r="C41" i="42" s="1"/>
  <c r="C37" i="42"/>
  <c r="C38" i="42" s="1"/>
  <c r="E16" i="42"/>
  <c r="E14" i="42"/>
  <c r="F12" i="42"/>
  <c r="E12" i="42"/>
  <c r="U74" i="2"/>
  <c r="E49" i="42"/>
  <c r="E46" i="42"/>
  <c r="E43" i="42"/>
  <c r="E37" i="42"/>
  <c r="C2" i="58"/>
  <c r="C1" i="58"/>
  <c r="E21" i="42"/>
  <c r="E40" i="42"/>
  <c r="E19" i="42"/>
  <c r="F15" i="44"/>
  <c r="F14" i="44"/>
  <c r="E15" i="44"/>
  <c r="E14" i="44"/>
  <c r="C15" i="44"/>
  <c r="C13" i="44"/>
  <c r="C14" i="44"/>
  <c r="S11" i="44"/>
  <c r="R11" i="44"/>
  <c r="Q11" i="44"/>
  <c r="P11" i="44"/>
  <c r="N11" i="44"/>
  <c r="N17" i="44" s="1"/>
  <c r="M11" i="44"/>
  <c r="M14" i="44" s="1"/>
  <c r="L11" i="44"/>
  <c r="L13" i="44" s="1"/>
  <c r="K11" i="44"/>
  <c r="K16" i="44" s="1"/>
  <c r="J11" i="44"/>
  <c r="J18" i="44" s="1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/>
  <c r="M117" i="2"/>
  <c r="C31" i="4"/>
  <c r="S9" i="54"/>
  <c r="K98" i="42"/>
  <c r="M46" i="2"/>
  <c r="Q59" i="2"/>
  <c r="S59" i="2"/>
  <c r="L59" i="2"/>
  <c r="L46" i="2"/>
  <c r="L117" i="2"/>
  <c r="L72" i="2"/>
  <c r="N59" i="2"/>
  <c r="N46" i="2"/>
  <c r="N72" i="2"/>
  <c r="P59" i="2"/>
  <c r="R59" i="2"/>
  <c r="T59" i="2"/>
  <c r="R12" i="2"/>
  <c r="T12" i="2"/>
  <c r="P12" i="2"/>
  <c r="S12" i="2"/>
  <c r="Q12" i="2"/>
  <c r="C100" i="42"/>
  <c r="F13" i="44"/>
  <c r="E13" i="44"/>
  <c r="B2" i="55"/>
  <c r="S11" i="54"/>
  <c r="S14" i="54"/>
  <c r="G16" i="16"/>
  <c r="B1" i="55"/>
  <c r="E12" i="2"/>
  <c r="J64" i="42"/>
  <c r="J67" i="42"/>
  <c r="K64" i="42"/>
  <c r="K67" i="42"/>
  <c r="L64" i="42"/>
  <c r="L67" i="42"/>
  <c r="M64" i="42"/>
  <c r="M67" i="42"/>
  <c r="N64" i="42"/>
  <c r="N67" i="42"/>
  <c r="C77" i="42"/>
  <c r="C77" i="2"/>
  <c r="C78" i="2"/>
  <c r="C79" i="2"/>
  <c r="C80" i="2"/>
  <c r="C81" i="2"/>
  <c r="C76" i="2"/>
  <c r="S7" i="54"/>
  <c r="S10" i="54"/>
  <c r="S12" i="54"/>
  <c r="S13" i="54"/>
  <c r="C12" i="16"/>
  <c r="D12" i="16"/>
  <c r="C13" i="16"/>
  <c r="D13" i="16"/>
  <c r="C14" i="16"/>
  <c r="D14" i="16"/>
  <c r="C15" i="16"/>
  <c r="D15" i="16"/>
  <c r="C16" i="16"/>
  <c r="D16" i="16"/>
  <c r="C10" i="16"/>
  <c r="D10" i="16"/>
  <c r="C51" i="2"/>
  <c r="C52" i="2"/>
  <c r="C53" i="2"/>
  <c r="C54" i="2"/>
  <c r="C55" i="2"/>
  <c r="C56" i="2"/>
  <c r="C57" i="2"/>
  <c r="C50" i="2"/>
  <c r="E57" i="2"/>
  <c r="E56" i="2"/>
  <c r="E55" i="2"/>
  <c r="E54" i="2"/>
  <c r="E53" i="2"/>
  <c r="E52" i="2"/>
  <c r="E51" i="2"/>
  <c r="E50" i="2"/>
  <c r="B2" i="53"/>
  <c r="B1" i="53"/>
  <c r="E115" i="2"/>
  <c r="B2" i="2"/>
  <c r="B1" i="2"/>
  <c r="C73" i="4"/>
  <c r="B2" i="54"/>
  <c r="B1" i="54"/>
  <c r="E43" i="2"/>
  <c r="E44" i="2"/>
  <c r="B2" i="44"/>
  <c r="B2" i="42"/>
  <c r="B1" i="44"/>
  <c r="B1" i="42"/>
  <c r="E42" i="2"/>
  <c r="B2" i="16"/>
  <c r="B1" i="16"/>
  <c r="C16" i="4"/>
  <c r="B2" i="4"/>
  <c r="B1" i="4"/>
  <c r="S1" i="54"/>
  <c r="G10" i="16"/>
  <c r="O26" i="42"/>
  <c r="K113" i="42"/>
  <c r="K114" i="42"/>
  <c r="K112" i="42"/>
  <c r="P117" i="2"/>
  <c r="O67" i="42"/>
  <c r="T117" i="2"/>
  <c r="S67" i="42"/>
  <c r="S117" i="2"/>
  <c r="R67" i="42"/>
  <c r="R117" i="2"/>
  <c r="Q67" i="42"/>
  <c r="P67" i="42"/>
  <c r="F25" i="58"/>
  <c r="F26" i="58"/>
  <c r="F20" i="58"/>
  <c r="F15" i="58"/>
  <c r="F14" i="42"/>
  <c r="F27" i="58"/>
  <c r="F24" i="58"/>
  <c r="F22" i="58"/>
  <c r="F19" i="58"/>
  <c r="F21" i="58"/>
  <c r="F23" i="58"/>
  <c r="F16" i="42"/>
  <c r="F21" i="42"/>
  <c r="K31" i="42"/>
  <c r="K21" i="42"/>
  <c r="F26" i="42"/>
  <c r="L29" i="58"/>
  <c r="K102" i="2" l="1" a="1"/>
  <c r="K102" i="2" s="1"/>
  <c r="L102" i="2" a="1"/>
  <c r="L102" i="2" s="1"/>
  <c r="M102" i="2" a="1"/>
  <c r="M102" i="2" s="1"/>
  <c r="J102" i="2" a="1"/>
  <c r="J102" i="2" s="1"/>
  <c r="S46" i="2"/>
  <c r="Q41" i="53"/>
  <c r="N29" i="58"/>
  <c r="N23" i="42" s="1"/>
  <c r="F50" i="42"/>
  <c r="M33" i="42"/>
  <c r="S10" i="42"/>
  <c r="M110" i="42"/>
  <c r="L20" i="59" s="1"/>
  <c r="M35" i="42"/>
  <c r="L58" i="42"/>
  <c r="L71" i="42" s="1" a="1"/>
  <c r="L71" i="42" s="1"/>
  <c r="M46" i="42"/>
  <c r="M98" i="42"/>
  <c r="L33" i="42"/>
  <c r="M113" i="42"/>
  <c r="L31" i="42"/>
  <c r="M112" i="42"/>
  <c r="L75" i="42"/>
  <c r="K43" i="42"/>
  <c r="L35" i="42"/>
  <c r="L113" i="42"/>
  <c r="L98" i="42"/>
  <c r="M16" i="42"/>
  <c r="M43" i="42"/>
  <c r="M75" i="42"/>
  <c r="M58" i="42"/>
  <c r="M71" i="42" s="1" a="1"/>
  <c r="M71" i="42" s="1"/>
  <c r="M49" i="42"/>
  <c r="M23" i="42"/>
  <c r="M114" i="42"/>
  <c r="K58" i="42"/>
  <c r="K71" i="42" s="1" a="1"/>
  <c r="K71" i="42" s="1"/>
  <c r="M37" i="42"/>
  <c r="O21" i="42"/>
  <c r="L12" i="42"/>
  <c r="O98" i="42"/>
  <c r="L37" i="42"/>
  <c r="L21" i="42"/>
  <c r="R46" i="42"/>
  <c r="L10" i="42"/>
  <c r="M40" i="42"/>
  <c r="P40" i="42"/>
  <c r="K12" i="42"/>
  <c r="P14" i="42"/>
  <c r="F81" i="42"/>
  <c r="P75" i="42"/>
  <c r="F82" i="42"/>
  <c r="F83" i="42"/>
  <c r="E38" i="42"/>
  <c r="F84" i="42"/>
  <c r="E22" i="42"/>
  <c r="S46" i="42"/>
  <c r="Q75" i="42"/>
  <c r="K49" i="42"/>
  <c r="P19" i="42"/>
  <c r="E84" i="42"/>
  <c r="O46" i="42"/>
  <c r="E79" i="42"/>
  <c r="S40" i="42"/>
  <c r="O43" i="42"/>
  <c r="O35" i="42"/>
  <c r="E112" i="42"/>
  <c r="P49" i="42"/>
  <c r="Q21" i="42"/>
  <c r="Q58" i="42"/>
  <c r="Q68" i="42" s="1" a="1"/>
  <c r="Q68" i="42" s="1"/>
  <c r="F13" i="42"/>
  <c r="F52" i="42"/>
  <c r="O40" i="42"/>
  <c r="O23" i="42"/>
  <c r="O75" i="42"/>
  <c r="P46" i="42"/>
  <c r="O31" i="42"/>
  <c r="E15" i="42"/>
  <c r="F33" i="42"/>
  <c r="F54" i="42"/>
  <c r="O37" i="42"/>
  <c r="O58" i="42"/>
  <c r="O68" i="42" s="1" a="1"/>
  <c r="O68" i="42" s="1"/>
  <c r="Q49" i="42"/>
  <c r="P10" i="42"/>
  <c r="F20" i="42"/>
  <c r="P98" i="42"/>
  <c r="E81" i="42"/>
  <c r="F15" i="42"/>
  <c r="S98" i="42"/>
  <c r="O110" i="42"/>
  <c r="N9" i="59" s="1"/>
  <c r="F80" i="42"/>
  <c r="O10" i="42"/>
  <c r="O19" i="42"/>
  <c r="P58" i="42"/>
  <c r="P68" i="42" s="1" a="1"/>
  <c r="P68" i="42" s="1"/>
  <c r="F35" i="42"/>
  <c r="S43" i="42"/>
  <c r="E24" i="42"/>
  <c r="E78" i="42"/>
  <c r="F38" i="42"/>
  <c r="P33" i="42"/>
  <c r="Q33" i="42"/>
  <c r="F101" i="42"/>
  <c r="Q16" i="42"/>
  <c r="Q37" i="42"/>
  <c r="E77" i="42"/>
  <c r="F41" i="42"/>
  <c r="L17" i="59"/>
  <c r="L13" i="59"/>
  <c r="L22" i="59"/>
  <c r="L12" i="59"/>
  <c r="L15" i="59"/>
  <c r="L18" i="59"/>
  <c r="L21" i="59"/>
  <c r="L16" i="59"/>
  <c r="L14" i="59"/>
  <c r="F100" i="42"/>
  <c r="S37" i="42"/>
  <c r="O49" i="42"/>
  <c r="L49" i="42"/>
  <c r="M31" i="42"/>
  <c r="Q98" i="42"/>
  <c r="E52" i="42"/>
  <c r="E13" i="42"/>
  <c r="E83" i="42"/>
  <c r="Q46" i="42"/>
  <c r="K35" i="42"/>
  <c r="E33" i="42"/>
  <c r="F94" i="42"/>
  <c r="P21" i="42"/>
  <c r="P35" i="42"/>
  <c r="P37" i="42"/>
  <c r="F104" i="42"/>
  <c r="Q110" i="42"/>
  <c r="P9" i="59" s="1"/>
  <c r="E44" i="42"/>
  <c r="K75" i="42"/>
  <c r="K110" i="42"/>
  <c r="F106" i="42"/>
  <c r="S19" i="42"/>
  <c r="L46" i="42"/>
  <c r="E102" i="42"/>
  <c r="E113" i="42"/>
  <c r="Q10" i="42"/>
  <c r="E50" i="42"/>
  <c r="P31" i="42"/>
  <c r="J49" i="42"/>
  <c r="F102" i="42"/>
  <c r="E20" i="42"/>
  <c r="S49" i="42"/>
  <c r="J23" i="42"/>
  <c r="E29" i="42"/>
  <c r="Q43" i="42"/>
  <c r="E92" i="42"/>
  <c r="P110" i="42"/>
  <c r="O9" i="59" s="1"/>
  <c r="S35" i="42"/>
  <c r="F22" i="42"/>
  <c r="E31" i="42"/>
  <c r="Q14" i="42"/>
  <c r="E94" i="42"/>
  <c r="S31" i="42"/>
  <c r="F44" i="42"/>
  <c r="S58" i="42"/>
  <c r="L110" i="42"/>
  <c r="F77" i="42"/>
  <c r="F113" i="42"/>
  <c r="S16" i="42"/>
  <c r="S21" i="42"/>
  <c r="L40" i="42"/>
  <c r="P43" i="42"/>
  <c r="K33" i="42"/>
  <c r="E114" i="42"/>
  <c r="Q12" i="42"/>
  <c r="E103" i="42"/>
  <c r="Q19" i="42"/>
  <c r="E82" i="42"/>
  <c r="Q35" i="42"/>
  <c r="L112" i="42"/>
  <c r="F47" i="42"/>
  <c r="S14" i="42"/>
  <c r="F78" i="42"/>
  <c r="F114" i="42"/>
  <c r="K10" i="42"/>
  <c r="S23" i="42"/>
  <c r="L43" i="42"/>
  <c r="J37" i="42"/>
  <c r="K46" i="42"/>
  <c r="E26" i="42"/>
  <c r="K14" i="42"/>
  <c r="F24" i="42"/>
  <c r="F31" i="42"/>
  <c r="E54" i="42"/>
  <c r="L19" i="42"/>
  <c r="F103" i="42"/>
  <c r="P12" i="42"/>
  <c r="E104" i="42"/>
  <c r="E41" i="42"/>
  <c r="E101" i="42"/>
  <c r="E17" i="42"/>
  <c r="E35" i="42"/>
  <c r="L114" i="42"/>
  <c r="F79" i="42"/>
  <c r="Q23" i="42"/>
  <c r="K40" i="42"/>
  <c r="P23" i="42"/>
  <c r="Q31" i="42"/>
  <c r="D21" i="59"/>
  <c r="D16" i="59"/>
  <c r="D19" i="59"/>
  <c r="D22" i="59"/>
  <c r="D12" i="59"/>
  <c r="D20" i="59"/>
  <c r="D17" i="59"/>
  <c r="D11" i="59"/>
  <c r="D14" i="59"/>
  <c r="D15" i="59"/>
  <c r="D23" i="59"/>
  <c r="D13" i="59"/>
  <c r="D18" i="59"/>
  <c r="E14" i="59"/>
  <c r="E19" i="59"/>
  <c r="E22" i="59"/>
  <c r="E12" i="59"/>
  <c r="E17" i="59"/>
  <c r="E13" i="59"/>
  <c r="E16" i="59"/>
  <c r="E15" i="59"/>
  <c r="E23" i="59"/>
  <c r="E20" i="59"/>
  <c r="E11" i="59"/>
  <c r="E21" i="59"/>
  <c r="E18" i="59"/>
  <c r="L14" i="42"/>
  <c r="K23" i="42"/>
  <c r="L23" i="42"/>
  <c r="E80" i="42"/>
  <c r="F29" i="42"/>
  <c r="K16" i="42"/>
  <c r="E47" i="42"/>
  <c r="E100" i="42"/>
  <c r="F17" i="42"/>
  <c r="S75" i="42"/>
  <c r="S110" i="42"/>
  <c r="R9" i="59" s="1"/>
  <c r="F92" i="42"/>
  <c r="S12" i="42"/>
  <c r="I66" i="55"/>
  <c r="J10" i="53"/>
  <c r="J29" i="53" s="1"/>
  <c r="R41" i="53"/>
  <c r="Q45" i="53"/>
  <c r="Q10" i="53"/>
  <c r="L45" i="53"/>
  <c r="L49" i="53" s="1"/>
  <c r="M10" i="53"/>
  <c r="M29" i="53" s="1"/>
  <c r="M33" i="53"/>
  <c r="M41" i="53" s="1"/>
  <c r="K10" i="53"/>
  <c r="K29" i="53" s="1"/>
  <c r="K33" i="53"/>
  <c r="K41" i="53" s="1"/>
  <c r="N10" i="53"/>
  <c r="N29" i="53" s="1"/>
  <c r="N33" i="53"/>
  <c r="N41" i="53" s="1"/>
  <c r="L10" i="53"/>
  <c r="L29" i="53" s="1"/>
  <c r="S10" i="53"/>
  <c r="S33" i="53"/>
  <c r="S41" i="53" s="1"/>
  <c r="J45" i="53"/>
  <c r="J49" i="53" s="1"/>
  <c r="R45" i="53"/>
  <c r="P10" i="53"/>
  <c r="R10" i="53"/>
  <c r="P33" i="53"/>
  <c r="P41" i="53" s="1"/>
  <c r="I71" i="55"/>
  <c r="I63" i="55"/>
  <c r="I55" i="55"/>
  <c r="I31" i="55"/>
  <c r="I67" i="55"/>
  <c r="I54" i="55"/>
  <c r="I64" i="55"/>
  <c r="I52" i="55"/>
  <c r="K47" i="58"/>
  <c r="K29" i="58"/>
  <c r="I47" i="55"/>
  <c r="I43" i="55"/>
  <c r="J47" i="58"/>
  <c r="L109" i="2"/>
  <c r="L108" i="2"/>
  <c r="L107" i="2"/>
  <c r="L106" i="2"/>
  <c r="K108" i="2"/>
  <c r="K107" i="2"/>
  <c r="K106" i="2"/>
  <c r="K109" i="2"/>
  <c r="O108" i="2"/>
  <c r="O107" i="2"/>
  <c r="O106" i="2"/>
  <c r="O109" i="2"/>
  <c r="J109" i="2"/>
  <c r="J107" i="2"/>
  <c r="J108" i="2"/>
  <c r="J106" i="2"/>
  <c r="J14" i="42"/>
  <c r="J35" i="42"/>
  <c r="J16" i="42"/>
  <c r="R58" i="42"/>
  <c r="J46" i="42"/>
  <c r="O113" i="2"/>
  <c r="O117" i="2" s="1"/>
  <c r="K48" i="2"/>
  <c r="K59" i="2" s="1"/>
  <c r="O63" i="2"/>
  <c r="K14" i="2"/>
  <c r="K10" i="2"/>
  <c r="R12" i="42"/>
  <c r="F16" i="44"/>
  <c r="J13" i="44"/>
  <c r="L17" i="44"/>
  <c r="N15" i="44"/>
  <c r="K14" i="44"/>
  <c r="R31" i="42"/>
  <c r="J114" i="42"/>
  <c r="R75" i="42"/>
  <c r="R110" i="42"/>
  <c r="Q9" i="59" s="1"/>
  <c r="R43" i="42"/>
  <c r="R16" i="42"/>
  <c r="K35" i="2"/>
  <c r="K46" i="2" s="1"/>
  <c r="K24" i="2"/>
  <c r="O10" i="53"/>
  <c r="J63" i="2"/>
  <c r="J72" i="2" s="1"/>
  <c r="O10" i="2"/>
  <c r="R49" i="42"/>
  <c r="N46" i="42"/>
  <c r="N18" i="44"/>
  <c r="K17" i="44"/>
  <c r="M15" i="44"/>
  <c r="J14" i="44"/>
  <c r="M14" i="42"/>
  <c r="J113" i="42"/>
  <c r="R98" i="42"/>
  <c r="J58" i="42"/>
  <c r="N110" i="42"/>
  <c r="K113" i="2"/>
  <c r="K117" i="2" s="1"/>
  <c r="J14" i="2"/>
  <c r="O33" i="53"/>
  <c r="O41" i="53" s="1"/>
  <c r="J113" i="2"/>
  <c r="J117" i="2" s="1"/>
  <c r="N37" i="42"/>
  <c r="M18" i="44"/>
  <c r="J17" i="44"/>
  <c r="L15" i="44"/>
  <c r="N16" i="42"/>
  <c r="N12" i="42"/>
  <c r="J31" i="42"/>
  <c r="R35" i="42"/>
  <c r="N14" i="42"/>
  <c r="N114" i="42"/>
  <c r="J75" i="42"/>
  <c r="J43" i="42"/>
  <c r="N10" i="42"/>
  <c r="J74" i="2"/>
  <c r="O35" i="2"/>
  <c r="O46" i="2" s="1"/>
  <c r="J10" i="2"/>
  <c r="O74" i="2"/>
  <c r="N40" i="42"/>
  <c r="L18" i="44"/>
  <c r="N16" i="44"/>
  <c r="K15" i="44"/>
  <c r="J12" i="42"/>
  <c r="J21" i="42"/>
  <c r="N112" i="42"/>
  <c r="N58" i="42"/>
  <c r="J98" i="42"/>
  <c r="J110" i="42"/>
  <c r="R40" i="42"/>
  <c r="R10" i="42"/>
  <c r="K74" i="2"/>
  <c r="R19" i="42"/>
  <c r="N43" i="42"/>
  <c r="F18" i="44"/>
  <c r="N13" i="44"/>
  <c r="K18" i="44"/>
  <c r="M16" i="44"/>
  <c r="J15" i="44"/>
  <c r="N113" i="42"/>
  <c r="N75" i="42"/>
  <c r="R14" i="42"/>
  <c r="J40" i="42"/>
  <c r="J10" i="42"/>
  <c r="J48" i="2"/>
  <c r="J59" i="2" s="1"/>
  <c r="W59" i="2" s="1"/>
  <c r="J24" i="2"/>
  <c r="R21" i="42"/>
  <c r="N49" i="42"/>
  <c r="M13" i="44"/>
  <c r="L16" i="44"/>
  <c r="N14" i="44"/>
  <c r="J33" i="42"/>
  <c r="N19" i="42"/>
  <c r="J112" i="42"/>
  <c r="N98" i="42"/>
  <c r="R37" i="42"/>
  <c r="O48" i="2"/>
  <c r="O59" i="2" s="1"/>
  <c r="J35" i="2"/>
  <c r="J46" i="2" s="1"/>
  <c r="Q10" i="58"/>
  <c r="Q28" i="42" s="1"/>
  <c r="R23" i="42"/>
  <c r="I58" i="55"/>
  <c r="I30" i="55"/>
  <c r="I51" i="55"/>
  <c r="I59" i="55"/>
  <c r="I35" i="55"/>
  <c r="I65" i="55"/>
  <c r="I37" i="55"/>
  <c r="I29" i="55"/>
  <c r="I70" i="55"/>
  <c r="K12" i="2" s="1"/>
  <c r="I46" i="55"/>
  <c r="I42" i="55"/>
  <c r="I26" i="55"/>
  <c r="I62" i="55"/>
  <c r="I34" i="55"/>
  <c r="I39" i="55"/>
  <c r="I27" i="55"/>
  <c r="V72" i="55"/>
  <c r="I50" i="55"/>
  <c r="I38" i="55"/>
  <c r="I68" i="55"/>
  <c r="W29" i="58"/>
  <c r="I33" i="55"/>
  <c r="I48" i="55"/>
  <c r="I25" i="55"/>
  <c r="I74" i="55"/>
  <c r="V74" i="55" s="1"/>
  <c r="I82" i="55"/>
  <c r="G82" i="55" s="1"/>
  <c r="I45" i="55"/>
  <c r="I61" i="55"/>
  <c r="I53" i="55"/>
  <c r="I60" i="55"/>
  <c r="I56" i="55"/>
  <c r="I36" i="55"/>
  <c r="I79" i="55"/>
  <c r="V79" i="55" s="1"/>
  <c r="I81" i="55"/>
  <c r="V81" i="55" s="1"/>
  <c r="I78" i="55"/>
  <c r="M12" i="2" s="1"/>
  <c r="I73" i="55"/>
  <c r="V73" i="55" s="1"/>
  <c r="I86" i="55"/>
  <c r="V86" i="55" s="1"/>
  <c r="I75" i="55"/>
  <c r="V75" i="55" s="1"/>
  <c r="I40" i="55"/>
  <c r="I44" i="55"/>
  <c r="I32" i="55"/>
  <c r="I28" i="55"/>
  <c r="I84" i="55"/>
  <c r="G84" i="55" s="1"/>
  <c r="J29" i="58"/>
  <c r="M29" i="58"/>
  <c r="M21" i="42" s="1"/>
  <c r="I72" i="55"/>
  <c r="I76" i="55"/>
  <c r="I77" i="55"/>
  <c r="V77" i="55" s="1"/>
  <c r="I83" i="55"/>
  <c r="V83" i="55" s="1"/>
  <c r="I85" i="55"/>
  <c r="V85" i="55" s="1"/>
  <c r="I80" i="55"/>
  <c r="I49" i="55"/>
  <c r="I57" i="55"/>
  <c r="I41" i="55"/>
  <c r="I69" i="55"/>
  <c r="W102" i="2" l="1"/>
  <c r="R64" i="42"/>
  <c r="R46" i="2"/>
  <c r="Q64" i="42"/>
  <c r="T46" i="2"/>
  <c r="S64" i="42"/>
  <c r="Q46" i="2"/>
  <c r="P64" i="42"/>
  <c r="O64" i="42"/>
  <c r="P46" i="2"/>
  <c r="L19" i="59"/>
  <c r="L9" i="59"/>
  <c r="L11" i="59"/>
  <c r="L61" i="42"/>
  <c r="L70" i="42" s="1"/>
  <c r="M61" i="42"/>
  <c r="M70" i="42" s="1"/>
  <c r="K61" i="42"/>
  <c r="K70" i="42" s="1"/>
  <c r="M15" i="59"/>
  <c r="M20" i="59"/>
  <c r="M13" i="59"/>
  <c r="M18" i="59"/>
  <c r="M11" i="59"/>
  <c r="M9" i="59"/>
  <c r="M21" i="59"/>
  <c r="M16" i="59"/>
  <c r="M14" i="59"/>
  <c r="M17" i="59"/>
  <c r="M19" i="59"/>
  <c r="M22" i="59"/>
  <c r="M12" i="59"/>
  <c r="J19" i="59"/>
  <c r="J22" i="59"/>
  <c r="J12" i="59"/>
  <c r="J15" i="59"/>
  <c r="J20" i="59"/>
  <c r="J11" i="59"/>
  <c r="J13" i="59"/>
  <c r="J18" i="59"/>
  <c r="J9" i="59"/>
  <c r="J17" i="59"/>
  <c r="J21" i="59"/>
  <c r="J16" i="59"/>
  <c r="J14" i="59"/>
  <c r="I14" i="59"/>
  <c r="I19" i="59"/>
  <c r="I22" i="59"/>
  <c r="I12" i="59"/>
  <c r="I17" i="59"/>
  <c r="I15" i="59"/>
  <c r="I18" i="59"/>
  <c r="I16" i="59"/>
  <c r="I20" i="59"/>
  <c r="I13" i="59"/>
  <c r="I11" i="59"/>
  <c r="I9" i="59"/>
  <c r="I21" i="59"/>
  <c r="K22" i="59"/>
  <c r="K12" i="59"/>
  <c r="K17" i="59"/>
  <c r="K15" i="59"/>
  <c r="K20" i="59"/>
  <c r="K13" i="59"/>
  <c r="K14" i="59"/>
  <c r="K19" i="59"/>
  <c r="K18" i="59"/>
  <c r="K11" i="59"/>
  <c r="K9" i="59"/>
  <c r="K21" i="59"/>
  <c r="K16" i="59"/>
  <c r="S68" i="42" a="1"/>
  <c r="S68" i="42" s="1"/>
  <c r="J12" i="2"/>
  <c r="W41" i="53"/>
  <c r="L12" i="2"/>
  <c r="J71" i="42" a="1"/>
  <c r="J71" i="42" s="1"/>
  <c r="J61" i="42"/>
  <c r="J70" i="42" s="1"/>
  <c r="N71" i="42" a="1"/>
  <c r="N71" i="42" s="1"/>
  <c r="N61" i="42"/>
  <c r="N70" i="42" s="1"/>
  <c r="C26" i="2" a="1"/>
  <c r="C16" i="2" a="1"/>
  <c r="R68" i="42" a="1"/>
  <c r="R68" i="42" s="1"/>
  <c r="W117" i="2"/>
  <c r="V82" i="55"/>
  <c r="N12" i="2"/>
  <c r="G78" i="55"/>
  <c r="V78" i="55"/>
  <c r="V84" i="55"/>
  <c r="G86" i="55"/>
  <c r="O12" i="2"/>
  <c r="G76" i="55"/>
  <c r="V76" i="55"/>
  <c r="V80" i="55"/>
  <c r="G80" i="55"/>
  <c r="W46" i="2" l="1"/>
  <c r="Q65" i="42" a="1"/>
  <c r="Q65" i="42" s="1"/>
  <c r="O65" i="42" a="1"/>
  <c r="O65" i="42" s="1"/>
  <c r="R65" i="42" a="1"/>
  <c r="R65" i="42" s="1"/>
  <c r="S65" i="42" a="1"/>
  <c r="S65" i="42" s="1"/>
  <c r="P65" i="42" a="1"/>
  <c r="P65" i="42" s="1"/>
  <c r="C16" i="2"/>
  <c r="C18" i="2"/>
  <c r="C20" i="2"/>
  <c r="C17" i="2"/>
  <c r="C19" i="2"/>
  <c r="C21" i="2"/>
  <c r="C31" i="2"/>
  <c r="C26" i="2"/>
  <c r="C28" i="2"/>
  <c r="C30" i="2"/>
  <c r="C27" i="2"/>
  <c r="C29" i="2"/>
  <c r="V1" i="55"/>
  <c r="G11" i="16" s="1"/>
  <c r="E21" i="2" l="1"/>
  <c r="O21" i="2"/>
  <c r="L81" i="42" s="1"/>
  <c r="D21" i="2"/>
  <c r="D19" i="2"/>
  <c r="E19" i="2"/>
  <c r="M19" i="2"/>
  <c r="L19" i="2" s="1"/>
  <c r="D29" i="2"/>
  <c r="P29" i="2"/>
  <c r="T29" i="2"/>
  <c r="E29" i="2"/>
  <c r="S29" i="2"/>
  <c r="Q29" i="2"/>
  <c r="R29" i="2"/>
  <c r="D17" i="2"/>
  <c r="E17" i="2"/>
  <c r="K17" i="2"/>
  <c r="J17" i="2" s="1"/>
  <c r="J27" i="2" s="1"/>
  <c r="Q27" i="2"/>
  <c r="D27" i="2"/>
  <c r="E27" i="2"/>
  <c r="R27" i="2"/>
  <c r="P27" i="2"/>
  <c r="T27" i="2"/>
  <c r="S27" i="2"/>
  <c r="E20" i="2"/>
  <c r="N20" i="2"/>
  <c r="O20" i="2" s="1"/>
  <c r="O30" i="2" s="1"/>
  <c r="D20" i="2"/>
  <c r="E31" i="2"/>
  <c r="D31" i="2"/>
  <c r="P31" i="2"/>
  <c r="O20" i="42" s="1"/>
  <c r="R31" i="2"/>
  <c r="Q20" i="42" s="1"/>
  <c r="S31" i="2"/>
  <c r="R13" i="42" s="1"/>
  <c r="R26" i="42" s="1"/>
  <c r="Q31" i="2"/>
  <c r="P13" i="42" s="1"/>
  <c r="P26" i="42" s="1"/>
  <c r="T31" i="2"/>
  <c r="S20" i="42" s="1"/>
  <c r="E30" i="2"/>
  <c r="D30" i="2"/>
  <c r="T30" i="2"/>
  <c r="P30" i="2"/>
  <c r="S30" i="2"/>
  <c r="R30" i="2"/>
  <c r="Q30" i="2"/>
  <c r="E18" i="2"/>
  <c r="D18" i="2"/>
  <c r="L18" i="2"/>
  <c r="M18" i="2" s="1"/>
  <c r="N18" i="2" s="1"/>
  <c r="Q28" i="2"/>
  <c r="S28" i="2"/>
  <c r="T28" i="2"/>
  <c r="P28" i="2"/>
  <c r="E28" i="2"/>
  <c r="R28" i="2"/>
  <c r="D28" i="2"/>
  <c r="E16" i="2"/>
  <c r="J16" i="2"/>
  <c r="J26" i="2" s="1"/>
  <c r="D16" i="2"/>
  <c r="R26" i="2"/>
  <c r="T26" i="2"/>
  <c r="Q26" i="2"/>
  <c r="S26" i="2"/>
  <c r="D26" i="2"/>
  <c r="P26" i="2"/>
  <c r="E26" i="2"/>
  <c r="Q104" i="42" l="1"/>
  <c r="Q18" i="44" s="1"/>
  <c r="L80" i="42"/>
  <c r="P38" i="42"/>
  <c r="J102" i="42"/>
  <c r="L78" i="42"/>
  <c r="N101" i="42"/>
  <c r="K102" i="42"/>
  <c r="L38" i="42"/>
  <c r="S92" i="42"/>
  <c r="R85" i="42"/>
  <c r="O85" i="42"/>
  <c r="R92" i="42"/>
  <c r="S85" i="42"/>
  <c r="Q92" i="42"/>
  <c r="P92" i="42"/>
  <c r="Q85" i="42"/>
  <c r="O92" i="42"/>
  <c r="P85" i="42"/>
  <c r="J47" i="42"/>
  <c r="O29" i="42"/>
  <c r="K47" i="42"/>
  <c r="N47" i="42"/>
  <c r="N38" i="42"/>
  <c r="N44" i="42"/>
  <c r="L101" i="42"/>
  <c r="J41" i="42"/>
  <c r="L47" i="42"/>
  <c r="R41" i="42"/>
  <c r="L100" i="42"/>
  <c r="K44" i="42"/>
  <c r="P47" i="42"/>
  <c r="J103" i="42"/>
  <c r="L79" i="42"/>
  <c r="J100" i="42"/>
  <c r="M101" i="42"/>
  <c r="N102" i="42"/>
  <c r="M38" i="42"/>
  <c r="L28" i="2"/>
  <c r="P41" i="42"/>
  <c r="P44" i="42"/>
  <c r="J29" i="42"/>
  <c r="Q47" i="42"/>
  <c r="P102" i="42"/>
  <c r="P16" i="44" s="1"/>
  <c r="M50" i="42"/>
  <c r="N41" i="42"/>
  <c r="J92" i="42"/>
  <c r="K100" i="42"/>
  <c r="J38" i="42"/>
  <c r="R44" i="42"/>
  <c r="K103" i="42"/>
  <c r="L84" i="42"/>
  <c r="K29" i="42"/>
  <c r="N50" i="42"/>
  <c r="Q103" i="42"/>
  <c r="Q17" i="44" s="1"/>
  <c r="Q29" i="42"/>
  <c r="N104" i="42"/>
  <c r="M84" i="42"/>
  <c r="S50" i="42"/>
  <c r="N100" i="42"/>
  <c r="O41" i="42"/>
  <c r="Q41" i="42"/>
  <c r="O38" i="42"/>
  <c r="S29" i="42"/>
  <c r="S47" i="42"/>
  <c r="K38" i="42"/>
  <c r="K78" i="42"/>
  <c r="R103" i="42"/>
  <c r="R17" i="44" s="1"/>
  <c r="J77" i="42"/>
  <c r="J101" i="42"/>
  <c r="M44" i="42"/>
  <c r="N21" i="2"/>
  <c r="M21" i="2" s="1"/>
  <c r="M31" i="2" s="1"/>
  <c r="L20" i="42" s="1"/>
  <c r="Q38" i="42"/>
  <c r="M29" i="42"/>
  <c r="R29" i="42"/>
  <c r="L103" i="42"/>
  <c r="O47" i="42"/>
  <c r="S38" i="42"/>
  <c r="R104" i="42"/>
  <c r="R18" i="44" s="1"/>
  <c r="K79" i="42"/>
  <c r="K84" i="42"/>
  <c r="K18" i="2"/>
  <c r="J18" i="2" s="1"/>
  <c r="J28" i="2" s="1"/>
  <c r="M47" i="42"/>
  <c r="Q100" i="42"/>
  <c r="P101" i="42"/>
  <c r="S41" i="42"/>
  <c r="M77" i="42"/>
  <c r="J78" i="42"/>
  <c r="K41" i="42"/>
  <c r="J79" i="42"/>
  <c r="K82" i="42"/>
  <c r="J80" i="42"/>
  <c r="K81" i="42"/>
  <c r="N30" i="2"/>
  <c r="P29" i="42"/>
  <c r="M100" i="42"/>
  <c r="J82" i="42"/>
  <c r="P100" i="42"/>
  <c r="L41" i="42"/>
  <c r="Q102" i="42"/>
  <c r="Q16" i="44" s="1"/>
  <c r="S102" i="42"/>
  <c r="S16" i="44" s="1"/>
  <c r="L77" i="42"/>
  <c r="J104" i="42"/>
  <c r="M92" i="42"/>
  <c r="O104" i="42"/>
  <c r="O18" i="44" s="1"/>
  <c r="J81" i="42"/>
  <c r="J50" i="42"/>
  <c r="R47" i="42"/>
  <c r="L92" i="42"/>
  <c r="O103" i="42"/>
  <c r="O17" i="44" s="1"/>
  <c r="R50" i="42"/>
  <c r="M83" i="42"/>
  <c r="J44" i="42"/>
  <c r="S104" i="42"/>
  <c r="S18" i="44" s="1"/>
  <c r="Q44" i="42"/>
  <c r="K16" i="2"/>
  <c r="K26" i="2" s="1"/>
  <c r="P20" i="42"/>
  <c r="P50" i="42"/>
  <c r="J83" i="42"/>
  <c r="K101" i="42"/>
  <c r="R101" i="42"/>
  <c r="L83" i="42"/>
  <c r="M78" i="42"/>
  <c r="N29" i="42"/>
  <c r="M29" i="2"/>
  <c r="N19" i="2"/>
  <c r="O19" i="2" s="1"/>
  <c r="O29" i="2" s="1"/>
  <c r="O101" i="42"/>
  <c r="Q50" i="42"/>
  <c r="K83" i="42"/>
  <c r="J84" i="42"/>
  <c r="R38" i="42"/>
  <c r="M103" i="42"/>
  <c r="M104" i="42"/>
  <c r="R100" i="42"/>
  <c r="M102" i="42"/>
  <c r="R102" i="42"/>
  <c r="R16" i="44" s="1"/>
  <c r="K80" i="42"/>
  <c r="S100" i="42"/>
  <c r="M80" i="42"/>
  <c r="M81" i="42"/>
  <c r="K92" i="42"/>
  <c r="M82" i="42"/>
  <c r="L82" i="42"/>
  <c r="L102" i="42"/>
  <c r="L44" i="42"/>
  <c r="L50" i="42"/>
  <c r="O100" i="42"/>
  <c r="S103" i="42"/>
  <c r="S17" i="44" s="1"/>
  <c r="R20" i="42"/>
  <c r="L104" i="42"/>
  <c r="P104" i="42"/>
  <c r="P18" i="44" s="1"/>
  <c r="K50" i="42"/>
  <c r="P103" i="42"/>
  <c r="P17" i="44" s="1"/>
  <c r="O50" i="42"/>
  <c r="S101" i="42"/>
  <c r="O102" i="42"/>
  <c r="O16" i="44" s="1"/>
  <c r="M79" i="42"/>
  <c r="Q101" i="42"/>
  <c r="S44" i="42"/>
  <c r="K77" i="42"/>
  <c r="M41" i="42"/>
  <c r="N103" i="42"/>
  <c r="L29" i="42"/>
  <c r="K104" i="42"/>
  <c r="O31" i="2"/>
  <c r="Q13" i="42"/>
  <c r="Q26" i="42" s="1"/>
  <c r="K27" i="2"/>
  <c r="L17" i="2"/>
  <c r="M17" i="2" s="1"/>
  <c r="K19" i="2"/>
  <c r="L29" i="2"/>
  <c r="M28" i="2"/>
  <c r="N28" i="2"/>
  <c r="O18" i="2"/>
  <c r="O28" i="2" s="1"/>
  <c r="S13" i="42"/>
  <c r="S26" i="42" s="1"/>
  <c r="M20" i="2"/>
  <c r="S15" i="44" l="1"/>
  <c r="O14" i="44"/>
  <c r="Q14" i="44"/>
  <c r="S14" i="44"/>
  <c r="P14" i="44"/>
  <c r="R15" i="44"/>
  <c r="O15" i="44"/>
  <c r="R14" i="44"/>
  <c r="Q15" i="44"/>
  <c r="P15" i="44"/>
  <c r="P52" i="42"/>
  <c r="P54" i="42" s="1"/>
  <c r="N31" i="2"/>
  <c r="L13" i="42"/>
  <c r="L26" i="42" s="1"/>
  <c r="J106" i="42"/>
  <c r="J52" i="42"/>
  <c r="J54" i="42" s="1"/>
  <c r="N106" i="42"/>
  <c r="O52" i="42"/>
  <c r="O54" i="42" s="1"/>
  <c r="K52" i="42"/>
  <c r="K54" i="42" s="1"/>
  <c r="S52" i="42"/>
  <c r="S54" i="42" s="1"/>
  <c r="O13" i="59"/>
  <c r="L21" i="2"/>
  <c r="Q52" i="42"/>
  <c r="Q54" i="42" s="1"/>
  <c r="K28" i="2"/>
  <c r="R52" i="42"/>
  <c r="R54" i="42" s="1"/>
  <c r="N13" i="59"/>
  <c r="L16" i="2"/>
  <c r="M16" i="2" s="1"/>
  <c r="N29" i="2"/>
  <c r="J94" i="42"/>
  <c r="Q106" i="42"/>
  <c r="P21" i="59" s="1"/>
  <c r="L106" i="42"/>
  <c r="L27" i="2"/>
  <c r="P106" i="42"/>
  <c r="O21" i="59" s="1"/>
  <c r="K106" i="42"/>
  <c r="P14" i="59"/>
  <c r="L94" i="42"/>
  <c r="Q13" i="59"/>
  <c r="M106" i="42"/>
  <c r="R106" i="42"/>
  <c r="Q21" i="59" s="1"/>
  <c r="R13" i="59"/>
  <c r="M52" i="42"/>
  <c r="M54" i="42" s="1"/>
  <c r="P13" i="59"/>
  <c r="K94" i="42"/>
  <c r="L52" i="42"/>
  <c r="L54" i="42" s="1"/>
  <c r="S106" i="42"/>
  <c r="M94" i="42"/>
  <c r="O106" i="42"/>
  <c r="N21" i="59" s="1"/>
  <c r="R14" i="59"/>
  <c r="N20" i="42"/>
  <c r="N13" i="42"/>
  <c r="N26" i="42" s="1"/>
  <c r="Q14" i="59"/>
  <c r="N14" i="59"/>
  <c r="O14" i="59"/>
  <c r="M27" i="2"/>
  <c r="N17" i="2"/>
  <c r="M30" i="2"/>
  <c r="L20" i="2"/>
  <c r="J19" i="2"/>
  <c r="J29" i="2" s="1"/>
  <c r="K29" i="2"/>
  <c r="U14" i="59" l="1"/>
  <c r="AA14" i="59" s="1"/>
  <c r="U13" i="59"/>
  <c r="Z13" i="59" s="1"/>
  <c r="L26" i="2"/>
  <c r="L31" i="2"/>
  <c r="K21" i="2"/>
  <c r="R21" i="59"/>
  <c r="U21" i="59" s="1"/>
  <c r="N27" i="2"/>
  <c r="O17" i="2"/>
  <c r="O27" i="2" s="1"/>
  <c r="N16" i="2"/>
  <c r="M26" i="2"/>
  <c r="K20" i="2"/>
  <c r="L30" i="2"/>
  <c r="J21" i="2" l="1"/>
  <c r="J31" i="2" s="1"/>
  <c r="K31" i="2"/>
  <c r="K20" i="42"/>
  <c r="K13" i="42"/>
  <c r="K26" i="42" s="1"/>
  <c r="AA13" i="59"/>
  <c r="Z14" i="59"/>
  <c r="AA21" i="59"/>
  <c r="Z21" i="59"/>
  <c r="O16" i="2"/>
  <c r="N26" i="2"/>
  <c r="K30" i="2"/>
  <c r="J20" i="2"/>
  <c r="J30" i="2" s="1"/>
  <c r="J13" i="42" l="1"/>
  <c r="J26" i="42" s="1"/>
  <c r="J20" i="42"/>
  <c r="J15" i="42"/>
  <c r="P24" i="42"/>
  <c r="J17" i="42"/>
  <c r="R22" i="42"/>
  <c r="P15" i="42"/>
  <c r="O26" i="2"/>
  <c r="P22" i="42"/>
  <c r="L17" i="42"/>
  <c r="M24" i="42"/>
  <c r="Q24" i="42"/>
  <c r="S15" i="42"/>
  <c r="L24" i="42"/>
  <c r="Q15" i="42"/>
  <c r="P17" i="42"/>
  <c r="S24" i="42"/>
  <c r="N15" i="42"/>
  <c r="M15" i="42"/>
  <c r="R17" i="42"/>
  <c r="N24" i="42"/>
  <c r="M17" i="42"/>
  <c r="S22" i="42"/>
  <c r="N22" i="42"/>
  <c r="Q22" i="42"/>
  <c r="Q17" i="42"/>
  <c r="J22" i="42"/>
  <c r="N17" i="42"/>
  <c r="L22" i="42"/>
  <c r="O24" i="42"/>
  <c r="K15" i="42"/>
  <c r="K24" i="42"/>
  <c r="S17" i="42"/>
  <c r="J24" i="42"/>
  <c r="R24" i="42"/>
  <c r="L15" i="42"/>
  <c r="O22" i="42"/>
  <c r="R15" i="42"/>
  <c r="K17" i="42"/>
  <c r="K22" i="42"/>
  <c r="M22" i="42"/>
  <c r="N31" i="42" l="1"/>
  <c r="P15" i="59" l="1"/>
  <c r="O15" i="59"/>
  <c r="N15" i="59"/>
  <c r="Q15" i="59"/>
  <c r="R15" i="59"/>
  <c r="U15" i="59" l="1"/>
  <c r="AA15" i="59" s="1"/>
  <c r="Z15" i="59" l="1"/>
  <c r="N92" i="42" l="1"/>
  <c r="N79" i="42" l="1"/>
  <c r="N83" i="42"/>
  <c r="N84" i="42"/>
  <c r="N81" i="42"/>
  <c r="N78" i="42"/>
  <c r="N80" i="42"/>
  <c r="N82" i="42"/>
  <c r="N77" i="42"/>
  <c r="N94" i="42" l="1"/>
  <c r="S91" i="42" l="1"/>
  <c r="O91" i="42"/>
  <c r="R91" i="42"/>
  <c r="P91" i="42"/>
  <c r="Q91" i="42"/>
  <c r="R90" i="42" l="1"/>
  <c r="S90" i="42"/>
  <c r="Q90" i="42"/>
  <c r="P90" i="42"/>
  <c r="O90" i="42"/>
  <c r="P78" i="42" l="1"/>
  <c r="Q78" i="42"/>
  <c r="R78" i="42"/>
  <c r="S78" i="42"/>
  <c r="Q77" i="42" l="1"/>
  <c r="S77" i="42"/>
  <c r="P77" i="42"/>
  <c r="O77" i="42"/>
  <c r="R77" i="42"/>
  <c r="O78" i="42"/>
  <c r="R89" i="42" l="1"/>
  <c r="S89" i="42"/>
  <c r="O89" i="42" l="1"/>
  <c r="Q89" i="42"/>
  <c r="P89" i="42"/>
  <c r="P88" i="42" l="1"/>
  <c r="Q88" i="42"/>
  <c r="R88" i="42"/>
  <c r="S88" i="42"/>
  <c r="P87" i="42"/>
  <c r="Q87" i="42"/>
  <c r="R87" i="42"/>
  <c r="S87" i="42"/>
  <c r="P86" i="42"/>
  <c r="Q86" i="42"/>
  <c r="R86" i="42"/>
  <c r="S86" i="42"/>
  <c r="P84" i="42"/>
  <c r="Q84" i="42"/>
  <c r="R84" i="42"/>
  <c r="S84" i="42"/>
  <c r="P83" i="42"/>
  <c r="Q83" i="42"/>
  <c r="R83" i="42"/>
  <c r="S83" i="42"/>
  <c r="P82" i="42"/>
  <c r="Q82" i="42"/>
  <c r="R82" i="42"/>
  <c r="S82" i="42"/>
  <c r="P81" i="42"/>
  <c r="Q81" i="42"/>
  <c r="R81" i="42"/>
  <c r="S81" i="42"/>
  <c r="S80" i="42"/>
  <c r="R80" i="42"/>
  <c r="Q80" i="42"/>
  <c r="P80" i="42"/>
  <c r="O88" i="42" l="1"/>
  <c r="O87" i="42"/>
  <c r="O86" i="42"/>
  <c r="O83" i="42"/>
  <c r="O81" i="42"/>
  <c r="O84" i="42"/>
  <c r="S79" i="42"/>
  <c r="S94" i="42" s="1"/>
  <c r="S29" i="53"/>
  <c r="O80" i="42"/>
  <c r="R79" i="42"/>
  <c r="R94" i="42" s="1"/>
  <c r="R29" i="53"/>
  <c r="Q79" i="42"/>
  <c r="Q94" i="42" s="1"/>
  <c r="Q29" i="53"/>
  <c r="O82" i="42"/>
  <c r="O79" i="42"/>
  <c r="O29" i="53"/>
  <c r="P79" i="42"/>
  <c r="P94" i="42" s="1"/>
  <c r="P29" i="53"/>
  <c r="W29" i="53" l="1"/>
  <c r="O94" i="42"/>
  <c r="P20" i="59"/>
  <c r="Q20" i="59"/>
  <c r="O20" i="59"/>
  <c r="R20" i="59"/>
  <c r="N20" i="59" l="1"/>
  <c r="U20" i="59" s="1"/>
  <c r="AA20" i="59" l="1"/>
  <c r="Z20" i="59"/>
  <c r="L47" i="58" l="1"/>
  <c r="N57" i="58" l="1"/>
  <c r="M57" i="58"/>
  <c r="M19" i="42" s="1"/>
  <c r="M20" i="42" s="1"/>
  <c r="N35" i="42" s="1"/>
  <c r="L57" i="58"/>
  <c r="K57" i="58"/>
  <c r="N16" i="59" l="1"/>
  <c r="Q16" i="59"/>
  <c r="O16" i="59"/>
  <c r="P16" i="59"/>
  <c r="R16" i="59"/>
  <c r="J57" i="58"/>
  <c r="W57" i="58"/>
  <c r="S1" i="58" s="1"/>
  <c r="G12" i="16" s="1"/>
  <c r="U16" i="59" l="1"/>
  <c r="Z16" i="59" l="1"/>
  <c r="AA16" i="59"/>
  <c r="T78" i="2" l="1"/>
  <c r="R78" i="2"/>
  <c r="Q78" i="2"/>
  <c r="T77" i="2"/>
  <c r="S77" i="2"/>
  <c r="P77" i="2"/>
  <c r="O72" i="2" l="1"/>
  <c r="R77" i="2"/>
  <c r="P78" i="2"/>
  <c r="Q77" i="2"/>
  <c r="S78" i="2"/>
  <c r="P72" i="2" l="1"/>
  <c r="Q76" i="2"/>
  <c r="P76" i="2"/>
  <c r="P108" i="2" l="1"/>
  <c r="P107" i="2"/>
  <c r="P106" i="2"/>
  <c r="O61" i="42" s="1"/>
  <c r="P109" i="2"/>
  <c r="Q106" i="2"/>
  <c r="Q107" i="2"/>
  <c r="Q108" i="2"/>
  <c r="Q109" i="2"/>
  <c r="R76" i="2"/>
  <c r="Q72" i="2"/>
  <c r="R72" i="2"/>
  <c r="P61" i="42" l="1"/>
  <c r="P70" i="42" s="1"/>
  <c r="O62" i="42" a="1"/>
  <c r="O62" i="42" s="1"/>
  <c r="O70" i="42"/>
  <c r="R106" i="2"/>
  <c r="R108" i="2"/>
  <c r="R107" i="2"/>
  <c r="R109" i="2"/>
  <c r="O71" i="42" l="1" a="1"/>
  <c r="O71" i="42" s="1"/>
  <c r="P71" i="42" a="1"/>
  <c r="P71" i="42" s="1"/>
  <c r="T72" i="2"/>
  <c r="W72" i="2" s="1"/>
  <c r="T1" i="2" s="1"/>
  <c r="G13" i="16" s="1"/>
  <c r="Q61" i="42"/>
  <c r="T76" i="2"/>
  <c r="S72" i="2"/>
  <c r="S76" i="2"/>
  <c r="P62" i="42" a="1"/>
  <c r="P62" i="42" s="1"/>
  <c r="T108" i="2" l="1"/>
  <c r="T107" i="2"/>
  <c r="T106" i="2"/>
  <c r="T109" i="2"/>
  <c r="S106" i="2"/>
  <c r="S107" i="2"/>
  <c r="S109" i="2"/>
  <c r="S108" i="2"/>
  <c r="Q70" i="42"/>
  <c r="Q62" i="42" a="1"/>
  <c r="Q62" i="42" s="1"/>
  <c r="R61" i="42" l="1"/>
  <c r="S61" i="42"/>
  <c r="S70" i="42" s="1"/>
  <c r="Q71" i="42" a="1"/>
  <c r="Q71" i="42" s="1"/>
  <c r="R70" i="42" l="1"/>
  <c r="S62" i="42" a="1"/>
  <c r="S62" i="42" s="1"/>
  <c r="R62" i="42" a="1"/>
  <c r="R62" i="42" s="1"/>
  <c r="S71" i="42" l="1" a="1"/>
  <c r="S71" i="42" s="1"/>
  <c r="R71" i="42" a="1"/>
  <c r="R71" i="42" s="1"/>
  <c r="M47" i="58" l="1"/>
  <c r="M12" i="42" s="1"/>
  <c r="M13" i="42" s="1"/>
  <c r="M26" i="42" s="1"/>
  <c r="N11" i="59" l="1"/>
  <c r="R11" i="59"/>
  <c r="P11" i="59"/>
  <c r="N33" i="42"/>
  <c r="O11" i="59"/>
  <c r="Q11" i="59"/>
  <c r="N47" i="58" l="1"/>
  <c r="N52" i="42"/>
  <c r="N54" i="42" s="1"/>
  <c r="U11" i="59"/>
  <c r="N19" i="59" l="1"/>
  <c r="N18" i="59"/>
  <c r="N17" i="59"/>
  <c r="O17" i="59"/>
  <c r="O18" i="59"/>
  <c r="O19" i="59"/>
  <c r="P113" i="42"/>
  <c r="P112" i="42"/>
  <c r="P13" i="44" s="1"/>
  <c r="O113" i="42"/>
  <c r="O112" i="42"/>
  <c r="O13" i="44" s="1"/>
  <c r="Q113" i="42"/>
  <c r="Q112" i="42"/>
  <c r="Q13" i="44" s="1"/>
  <c r="P18" i="59"/>
  <c r="P19" i="59"/>
  <c r="P17" i="59"/>
  <c r="Q18" i="59"/>
  <c r="R112" i="42"/>
  <c r="R13" i="44" s="1"/>
  <c r="R17" i="59"/>
  <c r="Q17" i="59"/>
  <c r="Q19" i="59"/>
  <c r="R19" i="59"/>
  <c r="S112" i="42"/>
  <c r="S13" i="44" s="1"/>
  <c r="S113" i="42"/>
  <c r="R18" i="59"/>
  <c r="R113" i="42"/>
  <c r="Y11" i="59"/>
  <c r="X13" i="59"/>
  <c r="P12" i="59"/>
  <c r="O12" i="59"/>
  <c r="R12" i="59"/>
  <c r="N12" i="59"/>
  <c r="U12" i="59" s="1"/>
  <c r="X15" i="59" s="1"/>
  <c r="Q12" i="59"/>
  <c r="AA12" i="59" l="1"/>
  <c r="X12" i="59" s="1"/>
  <c r="Z12" i="59"/>
  <c r="X16" i="59"/>
  <c r="U17" i="59"/>
  <c r="X14" i="59"/>
  <c r="U18" i="59"/>
  <c r="U19" i="59"/>
  <c r="Z17" i="59" l="1"/>
  <c r="AA17" i="59"/>
  <c r="X17" i="59" s="1"/>
  <c r="AA19" i="59"/>
  <c r="X19" i="59" s="1"/>
  <c r="Z19" i="59"/>
  <c r="X21" i="59"/>
  <c r="X20" i="59"/>
  <c r="Z18" i="59"/>
  <c r="AA18" i="59"/>
  <c r="X18" i="59" s="1"/>
  <c r="O49" i="53" l="1"/>
  <c r="O114" i="42"/>
  <c r="N23" i="59" s="1"/>
  <c r="N22" i="59"/>
  <c r="P114" i="42" l="1"/>
  <c r="O23" i="59" s="1"/>
  <c r="P49" i="53"/>
  <c r="O22" i="59"/>
  <c r="Q114" i="42" l="1"/>
  <c r="P23" i="59" s="1"/>
  <c r="Q49" i="53"/>
  <c r="P22" i="59"/>
  <c r="S49" i="53" l="1"/>
  <c r="R22" i="59"/>
  <c r="S114" i="42"/>
  <c r="R23" i="59" s="1"/>
  <c r="Q22" i="59"/>
  <c r="R49" i="53"/>
  <c r="R114" i="42"/>
  <c r="Q23" i="59" s="1"/>
  <c r="U23" i="59" l="1"/>
  <c r="U22" i="59"/>
  <c r="W49" i="53"/>
  <c r="S1" i="53" s="1"/>
  <c r="G14" i="16" s="1"/>
  <c r="S1" i="16" s="1"/>
  <c r="W1" i="2" l="1"/>
  <c r="V1" i="42"/>
  <c r="Y1" i="59"/>
  <c r="V1" i="58"/>
  <c r="V1" i="54"/>
  <c r="V1" i="53"/>
  <c r="Y1" i="55"/>
  <c r="V1" i="4"/>
  <c r="V1" i="44"/>
  <c r="V22" i="59"/>
  <c r="AA22" i="59"/>
  <c r="X22" i="59" s="1"/>
  <c r="Z22" i="59"/>
  <c r="V13" i="59"/>
  <c r="Y23" i="59"/>
  <c r="V16" i="59"/>
  <c r="V19" i="59"/>
  <c r="V17" i="59"/>
  <c r="V15" i="59"/>
  <c r="V20" i="59"/>
  <c r="V14" i="59"/>
  <c r="V18" i="59"/>
  <c r="V23" i="59"/>
  <c r="V12" i="59"/>
  <c r="V21" i="59"/>
</calcChain>
</file>

<file path=xl/sharedStrings.xml><?xml version="1.0" encoding="utf-8"?>
<sst xmlns="http://schemas.openxmlformats.org/spreadsheetml/2006/main" count="819" uniqueCount="246">
  <si>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</si>
  <si>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</si>
  <si>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</si>
  <si>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</si>
  <si>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</si>
  <si>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</si>
  <si>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</si>
  <si>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</si>
  <si>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</si>
  <si>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</si>
  <si>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</si>
  <si>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</si>
  <si>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</si>
  <si>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</si>
  <si>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</si>
  <si>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</si>
  <si>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</si>
  <si>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</si>
  <si>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</si>
  <si>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</si>
  <si>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</si>
  <si>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</si>
  <si>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</si>
  <si>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</si>
  <si>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</si>
  <si>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</si>
  <si>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</si>
  <si>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</si>
  <si>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</si>
  <si>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</si>
  <si>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</si>
  <si>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</si>
  <si>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</si>
  <si>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</si>
  <si>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</si>
  <si>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</si>
  <si>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</si>
  <si>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</si>
  <si>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</si>
  <si>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</si>
  <si>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</si>
  <si>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</si>
  <si>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</si>
  <si>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</si>
  <si>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</si>
  <si>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</si>
  <si>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</si>
  <si>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</si>
  <si>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</si>
  <si>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</si>
  <si>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</si>
  <si>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</si>
  <si>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</si>
  <si>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</si>
  <si>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</si>
  <si>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</si>
  <si>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</si>
  <si>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</si>
  <si>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</si>
  <si>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</si>
  <si>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</si>
  <si>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</si>
  <si>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</si>
  <si>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</si>
  <si>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</si>
  <si>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</si>
  <si>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</si>
  <si>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</si>
  <si>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</si>
  <si>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</si>
  <si>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</si>
  <si>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</si>
  <si>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</si>
  <si>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</si>
  <si>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</si>
  <si>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</si>
  <si>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</si>
  <si>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</si>
  <si>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</si>
  <si>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</si>
  <si>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</si>
  <si>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</si>
  <si>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</si>
  <si>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</si>
  <si>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</si>
  <si>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</si>
  <si>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</si>
  <si>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</si>
  <si>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</si>
  <si>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</si>
  <si>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</si>
  <si>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</si>
  <si>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</si>
  <si>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</si>
  <si>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</si>
  <si>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</si>
  <si>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</si>
  <si>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</si>
  <si>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</si>
  <si>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</si>
  <si>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</si>
  <si>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</si>
  <si>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</si>
  <si>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</si>
  <si>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</si>
  <si>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</si>
  <si>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</si>
  <si>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</si>
  <si>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</si>
  <si>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</si>
  <si>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</si>
  <si>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</si>
  <si>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</si>
  <si>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</si>
  <si>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</si>
  <si>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</si>
  <si>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</si>
  <si>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</si>
  <si>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</si>
  <si>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</si>
  <si>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</si>
  <si>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</si>
  <si>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</si>
  <si>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</si>
  <si>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</si>
  <si>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</si>
  <si>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</si>
  <si>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</si>
  <si>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</si>
  <si>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</si>
  <si>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</si>
  <si>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</si>
  <si>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</si>
  <si>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</si>
  <si>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</si>
  <si>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</si>
  <si>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</si>
  <si>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</si>
  <si>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</si>
  <si>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</si>
  <si>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</si>
  <si>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</si>
  <si>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</si>
  <si>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</si>
  <si>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</si>
  <si>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</si>
  <si>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</si>
  <si>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</si>
  <si>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</si>
  <si>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</si>
  <si>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</si>
  <si>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</si>
  <si>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</si>
  <si>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</si>
  <si>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</si>
  <si>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</si>
  <si>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</si>
  <si>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</si>
  <si>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</si>
  <si>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</si>
  <si>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</si>
  <si>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</si>
  <si>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</si>
  <si>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</si>
  <si>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</si>
  <si>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</si>
  <si>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</si>
  <si>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</si>
  <si>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</si>
  <si>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</si>
  <si>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</si>
  <si>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</si>
  <si>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</si>
  <si>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</si>
  <si>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</si>
  <si>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</si>
  <si>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</si>
  <si>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</si>
  <si>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</si>
  <si>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</si>
  <si>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</si>
  <si>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</si>
  <si>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</si>
  <si>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</si>
  <si>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</si>
  <si>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</si>
  <si>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</si>
  <si>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</si>
  <si>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</si>
  <si>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</si>
  <si>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Adjustment can be postive or negative.</t>
  </si>
  <si>
    <t>Categories of opex to be excluded from forecast opex (excluding category specific forecasts)</t>
  </si>
  <si>
    <t>GSL payments</t>
  </si>
  <si>
    <t>SFA TLG</t>
  </si>
  <si>
    <t>Pre-submission</t>
  </si>
  <si>
    <t>Forecast annual CPI growth</t>
  </si>
  <si>
    <t>Forecast and actual index value</t>
  </si>
  <si>
    <t>RBA</t>
  </si>
  <si>
    <t>Units</t>
  </si>
  <si>
    <t>Forecast output change, cumulative</t>
  </si>
  <si>
    <t>Forecast price change, cumulative</t>
  </si>
  <si>
    <t>Forecast productivity change, cumulative</t>
  </si>
  <si>
    <t>Stage</t>
  </si>
  <si>
    <t>Network</t>
  </si>
  <si>
    <t>Proposal</t>
  </si>
  <si>
    <t>Draft decision</t>
  </si>
  <si>
    <t>Revised proposal</t>
  </si>
  <si>
    <t>Final decision</t>
  </si>
  <si>
    <t>Output elasticities</t>
  </si>
  <si>
    <t>Citipower</t>
  </si>
  <si>
    <t>Licence fee</t>
  </si>
  <si>
    <t>Yarra trams pole relocation</t>
  </si>
  <si>
    <t>DMIA expenditure</t>
  </si>
  <si>
    <t>Forecast goal seek to equal total allowance</t>
  </si>
  <si>
    <t>Total</t>
  </si>
  <si>
    <t>Output|Decomposition</t>
  </si>
  <si>
    <t>Decomposition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</si>
  <si>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</si>
  <si>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</si>
  <si>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</si>
  <si>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</si>
  <si>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</si>
  <si>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</si>
  <si>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</si>
  <si>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</si>
  <si>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</si>
  <si>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</si>
  <si>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</si>
  <si>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</si>
  <si>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Inputs should be entered as a negative from the RIN</t>
  </si>
  <si>
    <t>Based on reported opex in 2024–25</t>
  </si>
  <si>
    <t>2024–25 to 2025–26 increment</t>
  </si>
  <si>
    <t>WPI - DAE (SAPN) placeholder</t>
  </si>
  <si>
    <t>WPI - BIS Oxford forecast</t>
  </si>
  <si>
    <t>WPI - average</t>
  </si>
  <si>
    <t>Superannuation guarantee increases</t>
  </si>
  <si>
    <t>WPI - average + super guarantee increases</t>
  </si>
  <si>
    <t>CPI</t>
  </si>
  <si>
    <t>Customer assistance package</t>
  </si>
  <si>
    <t>Vegetation management</t>
  </si>
  <si>
    <t>CER integration</t>
  </si>
  <si>
    <t>Cloud services</t>
  </si>
  <si>
    <t>ICT modernisation and new capability</t>
  </si>
  <si>
    <t>Network and community resilience</t>
  </si>
  <si>
    <t>Fleet electrification</t>
  </si>
  <si>
    <t>Network innovation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</si>
</sst>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\-mmm"/>
    <numFmt numFmtId="166" formatCode="dd/mmm"/>
    <numFmt numFmtId="167" formatCode="_(#,##0_);\(#,##0\);_(&quot;-&quot;_)"/>
    <numFmt numFmtId="168" formatCode="_(#,##0.00%_);\(#,##0.00%\);_(&quot;-&quot;_)"/>
    <numFmt numFmtId="169" formatCode="_(#,##0.000_);\(#,##0.000\);_(&quot;-&quot;_)"/>
    <numFmt numFmtId="170" formatCode="_(#,##0.00_);\(#,##0.00\);_(&quot;-&quot;_)"/>
    <numFmt numFmtId="171" formatCode="[$-C09]dd\-mmm\-yy;@"/>
    <numFmt numFmtId="172" formatCode="_-* #,##0.0000_-;\-* #,##0.0000_-;_-* &quot;-&quot;??_-;_-@_-"/>
    <numFmt numFmtId="173" formatCode="_(#,##0.0000_);\(#,##0.0000\);_(&quot;-&quot;_)"/>
    <numFmt numFmtId="174" formatCode="_-* #,##0.00_-;[Red]\(#,##0.00\)_-;_-* &quot;-&quot;??_-;_-@_-"/>
    <numFmt numFmtId="175" formatCode="_(* #,##0_);_(* \(#,##0\);_(* &quot;-&quot;_);_(@_)"/>
    <numFmt numFmtId="176" formatCode="_(* #,##0.00_);_(* \(#,##0.00\);_(* &quot;-&quot;??_);_(@_)"/>
    <numFmt numFmtId="177" formatCode="mm/dd/yy"/>
    <numFmt numFmtId="178" formatCode="_([$€-2]* #,##0.00_);_([$€-2]* \(#,##0.00\);_([$€-2]* &quot;-&quot;??_)"/>
    <numFmt numFmtId="179" formatCode="0_);[Red]\(0\)"/>
    <numFmt numFmtId="180" formatCode="0.0%"/>
    <numFmt numFmtId="181" formatCode="_(* #,##0_);_(* \(#,##0\);_(* &quot;-&quot;?_);_(@_)"/>
    <numFmt numFmtId="182" formatCode="#,##0.0_);\(#,##0.0\)"/>
    <numFmt numFmtId="183" formatCode="#,##0_ ;\-#,##0\ "/>
    <numFmt numFmtId="184" formatCode="#,##0;[Red]\(#,##0.0\)"/>
    <numFmt numFmtId="185" formatCode="#,##0_ ;[Red]\(#,##0\)\ "/>
    <numFmt numFmtId="186" formatCode="#,##0.00;\(#,##0.00\)"/>
    <numFmt numFmtId="187" formatCode="_)d\-mmm\-yy_)"/>
    <numFmt numFmtId="188" formatCode="_(#,##0.0_);\(#,##0.0\);_(&quot;-&quot;_)"/>
    <numFmt numFmtId="189" formatCode="_(###0_);\(###0\);_(###0_)"/>
    <numFmt numFmtId="190" formatCode="#,##0.0000_);[Red]\(#,##0.0000\)"/>
    <numFmt numFmtId="191" formatCode="0.0"/>
    <numFmt numFmtId="192" formatCode=";;_(&quot;-&quot;_)"/>
    <numFmt numFmtId="193" formatCode="_-* #,##0.0_-;\-* #,##0.0_-;_-* &quot;-&quot;??_-;_-@_-"/>
    <numFmt numFmtId="194" formatCode="0.00;\-0.00;_(&quot;-&quot;_)"/>
    <numFmt numFmtId="195" formatCode="[$-C09]mmm\-yyyy;@"/>
    <numFmt numFmtId="196" formatCode="_-* #\ ##0.00_-;\-* #\ ##0.00_-;_-* &quot;-&quot;??_-;_-@_-"/>
    <numFmt numFmtId="197" formatCode="_(#\ ##0.00_);\(#\ ##0.00\);_(&quot;-&quot;_)"/>
    <numFmt numFmtId="198" formatCode="#\ ##0.00_ ;\-#\ ##0.00\ ;&quot;-&quot;"/>
    <numFmt numFmtId="199" formatCode="#\ ##0.00;\-#\ ##0.00;&quot;-&quot;"/>
    <numFmt numFmtId="200" formatCode="&quot;Warning&quot;;&quot;Warning&quot;;&quot;OK&quot;"/>
    <numFmt numFmtId="201" formatCode="mmmm"/>
    <numFmt numFmtId="202" formatCode="mmm\ yyyy"/>
    <numFmt numFmtId="203" formatCode="0.00_ ;\-0.00\ "/>
    <numFmt numFmtId="204" formatCode="0_ ;\-0\ "/>
    <numFmt numFmtId="205" formatCode="_(&quot;$&quot;* #,##0.00_);_(&quot;$&quot;* \(#,##0.00\);_(&quot;$&quot;* &quot;-&quot;??_);_(@_)"/>
    <numFmt numFmtId="206" formatCode="0.000"/>
    <numFmt numFmtId="207" formatCode="_-* ###\ ##0.00_-;\-* ###\ ##0.00_-;_-* &quot;-&quot;??_-;_-@_-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2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6">
    <xf numFmtId="0" fontId="0" fillId="0" borderId="0"/>
    <xf numFmtId="166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7" fontId="13" fillId="0" borderId="5">
      <alignment horizontal="right" vertical="center"/>
      <protection locked="0"/>
    </xf>
    <xf numFmtId="43" fontId="1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13" fillId="0" borderId="0"/>
    <xf numFmtId="174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42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75" fontId="20" fillId="4" borderId="0" applyNumberFormat="0" applyFont="0" applyBorder="0" applyAlignment="0">
      <alignment horizontal="right"/>
    </xf>
    <xf numFmtId="175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41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8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75" fontId="20" fillId="36" borderId="0" applyFont="0" applyBorder="0" applyAlignment="0">
      <alignment horizontal="right"/>
      <protection locked="0"/>
    </xf>
    <xf numFmtId="175" fontId="20" fillId="36" borderId="0" applyFont="0" applyBorder="0" applyAlignment="0">
      <alignment horizontal="right"/>
      <protection locked="0"/>
    </xf>
    <xf numFmtId="181" fontId="20" fillId="6" borderId="0" applyFont="0" applyBorder="0">
      <alignment horizontal="right"/>
      <protection locked="0"/>
    </xf>
    <xf numFmtId="181" fontId="20" fillId="6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175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2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3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4" fontId="20" fillId="0" borderId="0" applyFill="0" applyBorder="0"/>
    <xf numFmtId="184" fontId="20" fillId="0" borderId="0" applyFill="0" applyBorder="0"/>
    <xf numFmtId="184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0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5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6" fontId="20" fillId="0" borderId="0"/>
    <xf numFmtId="186" fontId="20" fillId="0" borderId="0"/>
    <xf numFmtId="186" fontId="20" fillId="0" borderId="0"/>
    <xf numFmtId="187" fontId="13" fillId="0" borderId="0" applyFill="0" applyBorder="0">
      <alignment horizontal="right" vertical="center"/>
    </xf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2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190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42" borderId="0"/>
    <xf numFmtId="200" fontId="75" fillId="0" borderId="22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3" applyNumberFormat="0" applyFont="0" applyAlignment="0"/>
    <xf numFmtId="0" fontId="82" fillId="7" borderId="24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3" applyNumberFormat="0" applyAlignment="0"/>
    <xf numFmtId="0" fontId="75" fillId="0" borderId="0" applyNumberFormat="0" applyFill="0" applyBorder="0"/>
    <xf numFmtId="0" fontId="88" fillId="49" borderId="23" applyNumberFormat="0">
      <protection locked="0"/>
    </xf>
    <xf numFmtId="0" fontId="1" fillId="0" borderId="0"/>
    <xf numFmtId="176" fontId="11" fillId="0" borderId="0" applyFont="0" applyFill="0" applyBorder="0" applyAlignment="0" applyProtection="0"/>
  </cellStyleXfs>
  <cellXfs count="282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4" fontId="4" fillId="3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4" fontId="10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 indent="1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43" fontId="10" fillId="0" borderId="6" xfId="0" applyNumberFormat="1" applyFont="1" applyBorder="1" applyAlignment="1">
      <alignment horizontal="center"/>
    </xf>
    <xf numFmtId="164" fontId="15" fillId="0" borderId="0" xfId="3" applyNumberFormat="1" applyFont="1" applyAlignment="1" applyProtection="1"/>
    <xf numFmtId="164" fontId="5" fillId="3" borderId="0" xfId="0" applyNumberFormat="1" applyFont="1" applyFill="1"/>
    <xf numFmtId="164" fontId="16" fillId="0" borderId="0" xfId="0" applyNumberFormat="1" applyFont="1" applyAlignment="1">
      <alignment horizont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70" fontId="10" fillId="0" borderId="0" xfId="5" applyNumberFormat="1" applyFont="1" applyFill="1" applyBorder="1" applyAlignment="1" applyProtection="1">
      <alignment horizontal="center" vertical="center"/>
    </xf>
    <xf numFmtId="170" fontId="18" fillId="0" borderId="0" xfId="5" applyNumberFormat="1" applyFont="1" applyFill="1" applyBorder="1" applyAlignment="1" applyProtection="1">
      <alignment horizontal="center" vertical="center"/>
    </xf>
    <xf numFmtId="171" fontId="4" fillId="0" borderId="0" xfId="0" applyNumberFormat="1" applyFont="1"/>
    <xf numFmtId="173" fontId="13" fillId="0" borderId="0" xfId="5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Protection="1"/>
    <xf numFmtId="164" fontId="5" fillId="3" borderId="0" xfId="0" applyNumberFormat="1" applyFont="1" applyFill="1" applyAlignment="1" applyProtection="1">
      <alignment horizontal="center"/>
    </xf>
    <xf numFmtId="164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10" fillId="0" borderId="0" xfId="0" applyNumberFormat="1" applyFont="1" applyProtection="1"/>
    <xf numFmtId="164" fontId="1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5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4" fontId="16" fillId="0" borderId="0" xfId="0" applyNumberFormat="1" applyFont="1" applyAlignment="1" applyProtection="1">
      <alignment horizontal="center" wrapText="1"/>
    </xf>
    <xf numFmtId="191" fontId="4" fillId="41" borderId="3" xfId="0" applyNumberFormat="1" applyFont="1" applyFill="1" applyBorder="1" applyAlignment="1" applyProtection="1">
      <alignment horizontal="center"/>
      <protection locked="0"/>
    </xf>
    <xf numFmtId="195" fontId="4" fillId="0" borderId="0" xfId="0" applyNumberFormat="1" applyFont="1" applyAlignment="1" applyProtection="1">
      <alignment horizontal="left"/>
    </xf>
    <xf numFmtId="193" fontId="4" fillId="0" borderId="0" xfId="0" applyNumberFormat="1" applyFont="1" applyProtection="1"/>
    <xf numFmtId="164" fontId="5" fillId="0" borderId="0" xfId="0" applyNumberFormat="1" applyFont="1" applyAlignment="1" applyProtection="1">
      <alignment horizontal="center" wrapText="1"/>
    </xf>
    <xf numFmtId="164" fontId="6" fillId="0" borderId="0" xfId="0" applyNumberFormat="1" applyFont="1" applyProtection="1"/>
    <xf numFmtId="164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43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44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6" fillId="0" borderId="0" xfId="0" applyNumberFormat="1" applyFont="1" applyFill="1" applyBorder="1" applyProtection="1"/>
    <xf numFmtId="164" fontId="5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left" indent="1"/>
    </xf>
    <xf numFmtId="164" fontId="4" fillId="0" borderId="0" xfId="0" applyNumberFormat="1" applyFont="1" applyAlignment="1" applyProtection="1">
      <alignment horizontal="center"/>
    </xf>
    <xf numFmtId="164" fontId="15" fillId="0" borderId="0" xfId="3" applyNumberFormat="1" applyFont="1" applyFill="1" applyAlignment="1" applyProtection="1">
      <alignment horizontal="center"/>
    </xf>
    <xf numFmtId="196" fontId="4" fillId="0" borderId="0" xfId="0" applyNumberFormat="1" applyFont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left" indent="1"/>
    </xf>
    <xf numFmtId="164" fontId="5" fillId="0" borderId="7" xfId="0" applyNumberFormat="1" applyFont="1" applyBorder="1" applyAlignment="1" applyProtection="1">
      <alignment horizontal="center"/>
    </xf>
    <xf numFmtId="164" fontId="6" fillId="0" borderId="8" xfId="0" applyNumberFormat="1" applyFont="1" applyBorder="1" applyAlignment="1" applyProtection="1">
      <alignment horizontal="left" indent="1"/>
    </xf>
    <xf numFmtId="164" fontId="5" fillId="0" borderId="8" xfId="0" applyNumberFormat="1" applyFont="1" applyBorder="1" applyAlignment="1" applyProtection="1">
      <alignment horizontal="center"/>
    </xf>
    <xf numFmtId="196" fontId="6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4" fontId="6" fillId="0" borderId="8" xfId="0" applyNumberFormat="1" applyFont="1" applyBorder="1" applyProtection="1"/>
    <xf numFmtId="172" fontId="4" fillId="0" borderId="0" xfId="0" applyNumberFormat="1" applyFont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Fill="1" applyAlignment="1" applyProtection="1">
      <alignment horizontal="left" indent="2"/>
    </xf>
    <xf numFmtId="164" fontId="16" fillId="0" borderId="8" xfId="0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 indent="1"/>
    </xf>
    <xf numFmtId="164" fontId="6" fillId="0" borderId="0" xfId="0" applyNumberFormat="1" applyFont="1" applyBorder="1" applyProtection="1"/>
    <xf numFmtId="193" fontId="6" fillId="0" borderId="0" xfId="0" applyNumberFormat="1" applyFont="1" applyBorder="1" applyAlignment="1" applyProtection="1">
      <alignment horizontal="center"/>
    </xf>
    <xf numFmtId="164" fontId="16" fillId="0" borderId="0" xfId="0" applyNumberFormat="1" applyFont="1" applyBorder="1" applyAlignment="1" applyProtection="1">
      <alignment horizontal="center"/>
    </xf>
    <xf numFmtId="199" fontId="4" fillId="0" borderId="0" xfId="0" applyNumberFormat="1" applyFont="1" applyAlignment="1" applyProtection="1">
      <alignment horizontal="center"/>
    </xf>
    <xf numFmtId="199" fontId="6" fillId="0" borderId="0" xfId="0" applyNumberFormat="1" applyFont="1" applyAlignment="1" applyProtection="1">
      <alignment horizontal="center"/>
    </xf>
    <xf numFmtId="197" fontId="10" fillId="0" borderId="4" xfId="5" applyNumberFormat="1" applyFont="1" applyFill="1" applyBorder="1" applyAlignment="1" applyProtection="1">
      <alignment horizontal="center" vertical="center"/>
    </xf>
    <xf numFmtId="43" fontId="10" fillId="0" borderId="3" xfId="0" applyNumberFormat="1" applyFont="1" applyBorder="1" applyAlignment="1" applyProtection="1">
      <alignment horizontal="center"/>
    </xf>
    <xf numFmtId="43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4" fontId="6" fillId="0" borderId="7" xfId="0" applyNumberFormat="1" applyFont="1" applyBorder="1" applyProtection="1"/>
    <xf numFmtId="164" fontId="4" fillId="0" borderId="7" xfId="0" applyNumberFormat="1" applyFont="1" applyBorder="1" applyProtection="1"/>
    <xf numFmtId="164" fontId="6" fillId="0" borderId="4" xfId="0" applyNumberFormat="1" applyFont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43" fontId="4" fillId="0" borderId="0" xfId="0" applyNumberFormat="1" applyFont="1" applyProtection="1"/>
    <xf numFmtId="164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4" fontId="5" fillId="0" borderId="0" xfId="6" applyNumberFormat="1" applyFont="1" applyAlignment="1" applyProtection="1">
      <alignment horizontal="center"/>
    </xf>
    <xf numFmtId="168" fontId="13" fillId="0" borderId="0" xfId="2" applyNumberFormat="1" applyFont="1" applyFill="1" applyBorder="1" applyAlignment="1" applyProtection="1">
      <alignment horizontal="center" vertical="center"/>
    </xf>
    <xf numFmtId="172" fontId="4" fillId="0" borderId="0" xfId="0" applyNumberFormat="1" applyFont="1" applyProtection="1"/>
    <xf numFmtId="164" fontId="4" fillId="0" borderId="0" xfId="0" applyNumberFormat="1" applyFont="1" applyAlignment="1" applyProtection="1">
      <alignment horizontal="left"/>
    </xf>
    <xf numFmtId="192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8" fontId="6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Protection="1">
      <protection locked="0"/>
    </xf>
    <xf numFmtId="201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2" fontId="72" fillId="39" borderId="4" xfId="0" applyNumberFormat="1" applyFont="1" applyFill="1" applyBorder="1" applyAlignment="1" applyProtection="1">
      <alignment horizontal="center" wrapText="1"/>
    </xf>
    <xf numFmtId="202" fontId="89" fillId="38" borderId="2" xfId="0" applyNumberFormat="1" applyFont="1" applyFill="1" applyBorder="1" applyAlignment="1" applyProtection="1">
      <alignment horizontal="center"/>
    </xf>
    <xf numFmtId="202" fontId="72" fillId="38" borderId="2" xfId="0" applyNumberFormat="1" applyFont="1" applyFill="1" applyBorder="1" applyAlignment="1" applyProtection="1">
      <alignment horizontal="left"/>
    </xf>
    <xf numFmtId="202" fontId="6" fillId="0" borderId="7" xfId="0" applyNumberFormat="1" applyFont="1" applyBorder="1" applyAlignment="1" applyProtection="1">
      <alignment horizontal="center"/>
    </xf>
    <xf numFmtId="202" fontId="4" fillId="0" borderId="0" xfId="0" applyNumberFormat="1" applyFont="1" applyAlignment="1">
      <alignment horizontal="left" indent="1"/>
    </xf>
    <xf numFmtId="202" fontId="5" fillId="0" borderId="0" xfId="0" applyNumberFormat="1" applyFont="1" applyAlignment="1" applyProtection="1">
      <alignment horizontal="center"/>
    </xf>
    <xf numFmtId="202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Protection="1"/>
    <xf numFmtId="202" fontId="4" fillId="0" borderId="0" xfId="0" applyNumberFormat="1" applyFont="1" applyAlignment="1" applyProtection="1">
      <alignment horizontal="left" indent="1"/>
    </xf>
    <xf numFmtId="164" fontId="12" fillId="0" borderId="0" xfId="3" applyNumberFormat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4" fontId="4" fillId="0" borderId="0" xfId="2" applyNumberFormat="1" applyFont="1" applyFill="1" applyBorder="1" applyAlignment="1" applyProtection="1">
      <alignment horizontal="center"/>
      <protection locked="0"/>
    </xf>
    <xf numFmtId="0" fontId="72" fillId="38" borderId="26" xfId="0" applyNumberFormat="1" applyFont="1" applyFill="1" applyBorder="1" applyAlignment="1" applyProtection="1"/>
    <xf numFmtId="164" fontId="4" fillId="0" borderId="0" xfId="0" applyNumberFormat="1" applyFont="1" applyBorder="1" applyAlignment="1" applyProtection="1">
      <alignment horizontal="center"/>
    </xf>
    <xf numFmtId="202" fontId="16" fillId="0" borderId="0" xfId="0" applyNumberFormat="1" applyFont="1" applyAlignment="1" applyProtection="1">
      <alignment horizontal="center"/>
    </xf>
    <xf numFmtId="199" fontId="4" fillId="0" borderId="0" xfId="0" applyNumberFormat="1" applyFont="1" applyBorder="1" applyAlignment="1" applyProtection="1">
      <alignment horizontal="center"/>
    </xf>
    <xf numFmtId="199" fontId="6" fillId="0" borderId="0" xfId="0" applyNumberFormat="1" applyFont="1" applyBorder="1" applyAlignment="1" applyProtection="1">
      <alignment horizontal="center"/>
    </xf>
    <xf numFmtId="196" fontId="6" fillId="0" borderId="0" xfId="0" applyNumberFormat="1" applyFont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left" indent="1"/>
    </xf>
    <xf numFmtId="202" fontId="5" fillId="0" borderId="7" xfId="0" applyNumberFormat="1" applyFont="1" applyBorder="1" applyAlignment="1" applyProtection="1">
      <alignment horizontal="center"/>
    </xf>
    <xf numFmtId="203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2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3" fontId="4" fillId="0" borderId="0" xfId="0" applyNumberFormat="1" applyFont="1" applyProtection="1">
      <protection locked="0"/>
    </xf>
    <xf numFmtId="193" fontId="6" fillId="0" borderId="0" xfId="0" applyNumberFormat="1" applyFont="1" applyProtection="1">
      <protection locked="0"/>
    </xf>
    <xf numFmtId="10" fontId="4" fillId="0" borderId="0" xfId="2" applyNumberFormat="1" applyFont="1" applyFill="1" applyBorder="1" applyAlignment="1" applyProtection="1">
      <alignment horizontal="center"/>
    </xf>
    <xf numFmtId="180" fontId="4" fillId="0" borderId="0" xfId="2" applyNumberFormat="1" applyFont="1" applyAlignment="1" applyProtection="1">
      <alignment horizontal="center"/>
      <protection locked="0"/>
    </xf>
    <xf numFmtId="170" fontId="10" fillId="0" borderId="0" xfId="5" applyNumberFormat="1" applyFont="1" applyFill="1" applyBorder="1" applyAlignment="1" applyProtection="1">
      <alignment horizontal="center" vertical="center"/>
      <protection locked="0"/>
    </xf>
    <xf numFmtId="164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Fill="1" applyProtection="1"/>
    <xf numFmtId="202" fontId="4" fillId="0" borderId="0" xfId="2" applyNumberFormat="1" applyFont="1" applyFill="1" applyBorder="1" applyAlignment="1" applyProtection="1">
      <alignment horizontal="center"/>
      <protection locked="0"/>
    </xf>
    <xf numFmtId="164" fontId="16" fillId="0" borderId="0" xfId="0" applyNumberFormat="1" applyFont="1" applyFill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80" fontId="4" fillId="0" borderId="0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202" fontId="17" fillId="8" borderId="9" xfId="0" applyNumberFormat="1" applyFont="1" applyFill="1" applyBorder="1" applyAlignment="1" applyProtection="1">
      <alignment horizontal="center"/>
      <protection locked="0"/>
    </xf>
    <xf numFmtId="204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192" fontId="6" fillId="8" borderId="27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2" fontId="4" fillId="0" borderId="0" xfId="0" applyNumberFormat="1" applyFont="1" applyFill="1" applyBorder="1" applyAlignment="1" applyProtection="1">
      <alignment horizontal="center"/>
      <protection locked="0"/>
    </xf>
    <xf numFmtId="191" fontId="90" fillId="0" borderId="0" xfId="0" applyNumberFormat="1" applyFont="1" applyBorder="1" applyAlignment="1" applyProtection="1">
      <protection locked="0"/>
    </xf>
    <xf numFmtId="180" fontId="5" fillId="0" borderId="0" xfId="2" applyNumberFormat="1" applyFont="1" applyAlignment="1" applyProtection="1">
      <alignment horizontal="center"/>
      <protection locked="0"/>
    </xf>
    <xf numFmtId="0" fontId="12" fillId="0" borderId="0" xfId="3"/>
    <xf numFmtId="43" fontId="4" fillId="0" borderId="0" xfId="0" applyNumberFormat="1" applyFont="1" applyProtection="1">
      <protection locked="0"/>
    </xf>
    <xf numFmtId="10" fontId="4" fillId="0" borderId="0" xfId="2" applyNumberFormat="1" applyFont="1" applyAlignment="1" applyProtection="1">
      <alignment horizontal="center"/>
      <protection locked="0"/>
    </xf>
    <xf numFmtId="10" fontId="4" fillId="0" borderId="0" xfId="2" applyNumberFormat="1" applyFont="1" applyProtection="1"/>
    <xf numFmtId="164" fontId="16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93" fontId="18" fillId="0" borderId="0" xfId="0" applyNumberFormat="1" applyFont="1" applyProtection="1">
      <protection locked="0"/>
    </xf>
    <xf numFmtId="193" fontId="12" fillId="0" borderId="0" xfId="3" applyNumberFormat="1" applyProtection="1">
      <protection locked="0"/>
    </xf>
    <xf numFmtId="49" fontId="4" fillId="0" borderId="0" xfId="0" applyNumberFormat="1" applyFont="1" applyAlignment="1">
      <alignment horizontal="left" indent="1"/>
    </xf>
    <xf numFmtId="202" fontId="4" fillId="0" borderId="0" xfId="2" applyNumberFormat="1" applyFont="1" applyFill="1" applyBorder="1" applyAlignment="1" applyProtection="1">
      <alignment horizontal="center"/>
    </xf>
    <xf numFmtId="199" fontId="4" fillId="0" borderId="0" xfId="0" applyNumberFormat="1" applyFont="1" applyAlignment="1">
      <alignment horizontal="center"/>
    </xf>
    <xf numFmtId="205" fontId="22" fillId="39" borderId="4" xfId="0" applyNumberFormat="1" applyFont="1" applyFill="1" applyBorder="1" applyAlignment="1">
      <alignment horizontal="center" wrapText="1"/>
    </xf>
    <xf numFmtId="192" fontId="6" fillId="40" borderId="27" xfId="0" applyNumberFormat="1" applyFont="1" applyFill="1" applyBorder="1" applyAlignment="1" applyProtection="1">
      <alignment horizontal="center"/>
      <protection locked="0"/>
    </xf>
    <xf numFmtId="170" fontId="10" fillId="0" borderId="0" xfId="5" applyNumberFormat="1" applyFont="1" applyBorder="1" applyAlignment="1" applyProtection="1">
      <alignment horizontal="center" vertical="center"/>
    </xf>
    <xf numFmtId="192" fontId="4" fillId="8" borderId="3" xfId="0" applyNumberFormat="1" applyFont="1" applyFill="1" applyBorder="1" applyAlignment="1">
      <alignment horizontal="left" indent="1"/>
    </xf>
    <xf numFmtId="206" fontId="4" fillId="41" borderId="3" xfId="2" applyNumberFormat="1" applyFont="1" applyFill="1" applyBorder="1" applyAlignment="1" applyProtection="1">
      <alignment horizontal="center"/>
      <protection locked="0"/>
    </xf>
    <xf numFmtId="206" fontId="4" fillId="41" borderId="3" xfId="0" applyNumberFormat="1" applyFont="1" applyFill="1" applyBorder="1" applyAlignment="1" applyProtection="1">
      <alignment horizontal="left" indent="1"/>
      <protection locked="0"/>
    </xf>
    <xf numFmtId="10" fontId="4" fillId="8" borderId="3" xfId="2" applyNumberFormat="1" applyFont="1" applyFill="1" applyBorder="1" applyAlignment="1" applyProtection="1">
      <alignment horizontal="center"/>
      <protection locked="0"/>
    </xf>
    <xf numFmtId="43" fontId="4" fillId="8" borderId="3" xfId="6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</xf>
    <xf numFmtId="202" fontId="5" fillId="0" borderId="4" xfId="0" applyNumberFormat="1" applyFont="1" applyFill="1" applyBorder="1" applyAlignment="1" applyProtection="1">
      <alignment horizontal="center"/>
    </xf>
    <xf numFmtId="164" fontId="5" fillId="38" borderId="0" xfId="0" applyNumberFormat="1" applyFont="1" applyFill="1" applyBorder="1" applyAlignment="1" applyProtection="1">
      <alignment horizontal="center"/>
    </xf>
    <xf numFmtId="202" fontId="5" fillId="38" borderId="0" xfId="0" applyNumberFormat="1" applyFont="1" applyFill="1" applyBorder="1" applyAlignment="1" applyProtection="1">
      <alignment horizontal="center"/>
    </xf>
    <xf numFmtId="183" fontId="4" fillId="0" borderId="0" xfId="6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10" fontId="4" fillId="50" borderId="25" xfId="2" applyNumberFormat="1" applyFont="1" applyFill="1" applyBorder="1" applyAlignment="1" applyProtection="1">
      <alignment horizontal="center"/>
      <protection locked="0"/>
    </xf>
    <xf numFmtId="207" fontId="6" fillId="0" borderId="0" xfId="0" applyNumberFormat="1" applyFont="1" applyBorder="1" applyAlignment="1" applyProtection="1">
      <alignment horizontal="center"/>
    </xf>
    <xf numFmtId="202" fontId="5" fillId="0" borderId="0" xfId="0" applyNumberFormat="1" applyFont="1" applyAlignment="1">
      <alignment horizontal="center"/>
    </xf>
    <xf numFmtId="10" fontId="4" fillId="0" borderId="0" xfId="2" applyNumberFormat="1" applyFont="1" applyFill="1" applyProtection="1"/>
    <xf numFmtId="164" fontId="4" fillId="0" borderId="0" xfId="0" applyNumberFormat="1" applyFont="1" applyFill="1" applyProtection="1">
      <protection locked="0"/>
    </xf>
    <xf numFmtId="10" fontId="4" fillId="0" borderId="0" xfId="2" applyNumberFormat="1" applyFont="1" applyFill="1" applyAlignment="1" applyProtection="1">
      <alignment horizontal="center"/>
    </xf>
    <xf numFmtId="164" fontId="5" fillId="0" borderId="0" xfId="0" applyNumberFormat="1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43" fontId="4" fillId="0" borderId="0" xfId="0" applyNumberFormat="1" applyFont="1" applyFill="1" applyProtection="1"/>
    <xf numFmtId="0" fontId="0" fillId="38" borderId="0" xfId="0" applyFill="1"/>
    <xf numFmtId="0" fontId="69" fillId="38" borderId="0" xfId="0" applyFont="1" applyFill="1" applyAlignment="1">
      <alignment horizontal="left" vertical="center"/>
    </xf>
    <xf numFmtId="0" fontId="69" fillId="38" borderId="0" xfId="0" applyFont="1" applyFill="1" applyAlignment="1">
      <alignment horizontal="left" indent="9"/>
    </xf>
    <xf numFmtId="0" fontId="70" fillId="38" borderId="0" xfId="0" applyFont="1" applyFill="1" applyProtection="1">
      <protection locked="0"/>
    </xf>
    <xf numFmtId="0" fontId="0" fillId="38" borderId="0" xfId="0" applyFill="1" applyAlignment="1">
      <alignment horizontal="right"/>
    </xf>
    <xf numFmtId="0" fontId="4" fillId="40" borderId="0" xfId="0" applyFont="1" applyFill="1" applyAlignment="1">
      <alignment horizontal="center"/>
    </xf>
    <xf numFmtId="0" fontId="4" fillId="5" borderId="0" xfId="0" applyFont="1" applyFill="1"/>
    <xf numFmtId="0" fontId="4" fillId="6" borderId="0" xfId="0" applyFont="1" applyFill="1"/>
    <xf numFmtId="176" fontId="21" fillId="38" borderId="0" xfId="0" applyNumberFormat="1" applyFont="1" applyFill="1" applyAlignment="1">
      <alignment horizontal="center"/>
    </xf>
    <xf numFmtId="0" fontId="12" fillId="38" borderId="0" xfId="3" applyFill="1" applyBorder="1" applyAlignment="1" applyProtection="1">
      <alignment horizontal="right"/>
      <protection locked="0"/>
    </xf>
    <xf numFmtId="0" fontId="71" fillId="38" borderId="0" xfId="0" applyFont="1" applyFill="1" applyAlignment="1">
      <alignment horizontal="left"/>
    </xf>
    <xf numFmtId="0" fontId="72" fillId="38" borderId="2" xfId="0" applyFont="1" applyFill="1" applyBorder="1" applyAlignment="1">
      <alignment horizontal="center"/>
    </xf>
    <xf numFmtId="0" fontId="72" fillId="38" borderId="26" xfId="0" applyFont="1" applyFill="1" applyBorder="1"/>
    <xf numFmtId="0" fontId="72" fillId="38" borderId="2" xfId="0" applyFont="1" applyFill="1" applyBorder="1"/>
    <xf numFmtId="0" fontId="72" fillId="39" borderId="4" xfId="0" applyFont="1" applyFill="1" applyBorder="1" applyAlignment="1">
      <alignment horizontal="center"/>
    </xf>
    <xf numFmtId="0" fontId="17" fillId="39" borderId="4" xfId="0" applyFont="1" applyFill="1" applyBorder="1" applyAlignment="1">
      <alignment horizontal="center" vertical="center"/>
    </xf>
    <xf numFmtId="0" fontId="17" fillId="39" borderId="4" xfId="0" applyFont="1" applyFill="1" applyBorder="1" applyAlignment="1">
      <alignment vertical="center"/>
    </xf>
    <xf numFmtId="202" fontId="72" fillId="39" borderId="4" xfId="0" applyNumberFormat="1" applyFont="1" applyFill="1" applyBorder="1" applyAlignment="1">
      <alignment horizontal="center" wrapText="1"/>
    </xf>
    <xf numFmtId="0" fontId="72" fillId="39" borderId="4" xfId="0" applyFont="1" applyFill="1" applyBorder="1" applyAlignment="1">
      <alignment wrapText="1"/>
    </xf>
    <xf numFmtId="205" fontId="17" fillId="39" borderId="4" xfId="0" applyNumberFormat="1" applyFont="1" applyFill="1" applyBorder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0" fontId="1" fillId="0" borderId="0" xfId="264"/>
    <xf numFmtId="0" fontId="91" fillId="0" borderId="0" xfId="264" applyFont="1"/>
    <xf numFmtId="202" fontId="6" fillId="0" borderId="0" xfId="0" applyNumberFormat="1" applyFont="1" applyAlignment="1">
      <alignment horizontal="center"/>
    </xf>
    <xf numFmtId="0" fontId="91" fillId="0" borderId="0" xfId="264" applyFont="1" applyAlignment="1">
      <alignment horizontal="right"/>
    </xf>
    <xf numFmtId="0" fontId="10" fillId="0" borderId="0" xfId="264" applyFont="1" applyAlignment="1">
      <alignment horizontal="right"/>
    </xf>
    <xf numFmtId="196" fontId="4" fillId="0" borderId="0" xfId="0" applyNumberFormat="1" applyFont="1" applyAlignment="1">
      <alignment horizontal="center"/>
    </xf>
    <xf numFmtId="196" fontId="6" fillId="0" borderId="0" xfId="0" applyNumberFormat="1" applyFont="1" applyAlignment="1">
      <alignment horizontal="center"/>
    </xf>
    <xf numFmtId="10" fontId="6" fillId="0" borderId="0" xfId="2" applyNumberFormat="1" applyFont="1" applyAlignment="1" applyProtection="1">
      <alignment horizontal="center"/>
    </xf>
    <xf numFmtId="207" fontId="6" fillId="0" borderId="0" xfId="0" applyNumberFormat="1" applyFont="1" applyAlignment="1">
      <alignment horizontal="center"/>
    </xf>
    <xf numFmtId="0" fontId="92" fillId="0" borderId="0" xfId="264" applyFont="1" applyAlignment="1">
      <alignment horizontal="right"/>
    </xf>
    <xf numFmtId="176" fontId="10" fillId="0" borderId="3" xfId="0" applyNumberFormat="1" applyFont="1" applyBorder="1" applyAlignment="1">
      <alignment horizontal="center"/>
    </xf>
    <xf numFmtId="43" fontId="91" fillId="0" borderId="0" xfId="264" applyNumberFormat="1" applyFont="1" applyAlignment="1">
      <alignment horizontal="right"/>
    </xf>
    <xf numFmtId="0" fontId="13" fillId="0" borderId="0" xfId="264" applyFont="1"/>
    <xf numFmtId="176" fontId="1" fillId="0" borderId="0" xfId="265" applyFont="1"/>
    <xf numFmtId="43" fontId="1" fillId="0" borderId="0" xfId="264" applyNumberFormat="1"/>
    <xf numFmtId="0" fontId="93" fillId="0" borderId="0" xfId="264" applyFont="1"/>
    <xf numFmtId="202" fontId="72" fillId="51" borderId="4" xfId="0" applyNumberFormat="1" applyFont="1" applyFill="1" applyBorder="1" applyAlignment="1">
      <alignment horizontal="center" wrapText="1"/>
    </xf>
    <xf numFmtId="10" fontId="4" fillId="0" borderId="0" xfId="2" applyNumberFormat="1" applyFont="1" applyAlignment="1" applyProtection="1">
      <alignment horizontal="left"/>
    </xf>
    <xf numFmtId="196" fontId="6" fillId="0" borderId="0" xfId="0" applyNumberFormat="1" applyFont="1" applyFill="1" applyAlignment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0" fontId="72" fillId="38" borderId="2" xfId="0" applyFont="1" applyFill="1" applyBorder="1" applyAlignment="1">
      <alignment horizontal="center"/>
    </xf>
  </cellXfs>
  <cellStyles count="26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 9" xfId="265" xr:uid="{E82056F4-9303-4C4A-9AF9-C94B0B6E65C9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0 3" xfId="264" xr:uid="{09752432-48A0-402C-92A4-8F0533ECBEB7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1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33"/>
      <color rgb="FFFFFF99"/>
      <color rgb="FFFF3399"/>
      <color rgb="FFCCFFCC"/>
      <color rgb="FF00FFFF"/>
      <color rgb="FFC6EFCE"/>
      <color rgb="FFDBE5F1"/>
      <color rgb="FFDAEEF3"/>
      <color rgb="FF006100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'Output|Decomposition'!$X$11:$X$23</c:f>
              <c:numCache>
                <c:formatCode>_-* #\ ##0.00_-;\-* #\ ##0.00_-;_-* "-"??_-;_-@_-</c:formatCode>
                <c:ptCount val="13"/>
                <c:pt idx="1">
                  <c:v>474.11581084562488</c:v>
                </c:pt>
                <c:pt idx="2">
                  <c:v>474.11581084562488</c:v>
                </c:pt>
                <c:pt idx="3">
                  <c:v>474.11581084562488</c:v>
                </c:pt>
                <c:pt idx="4">
                  <c:v>474.11581084562488</c:v>
                </c:pt>
                <c:pt idx="5">
                  <c:v>479.04307569537502</c:v>
                </c:pt>
                <c:pt idx="6">
                  <c:v>479.04307569537502</c:v>
                </c:pt>
                <c:pt idx="7">
                  <c:v>498.32552958314824</c:v>
                </c:pt>
                <c:pt idx="8">
                  <c:v>501.17818690032573</c:v>
                </c:pt>
                <c:pt idx="9">
                  <c:v>501.17818690032573</c:v>
                </c:pt>
                <c:pt idx="10">
                  <c:v>576.51817386726793</c:v>
                </c:pt>
                <c:pt idx="11">
                  <c:v>579.63517824124233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AA9-B975-4B6D80D79203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218994561612946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8-4AA9-B975-4B6D80D79203}"/>
                </c:ext>
              </c:extLst>
            </c:dLbl>
            <c:dLbl>
              <c:idx val="12"/>
              <c:layout>
                <c:manualLayout>
                  <c:x val="2.0870623824589475E-3"/>
                  <c:y val="-0.25268603263032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8-4AA9-B975-4B6D80D792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'Output|Decomposition'!$Y$11:$Y$23</c:f>
              <c:numCache>
                <c:formatCode>_-* #\ ##0.00_-;\-* #\ ##0.00_-;_-* "-"??_-;_-@_-</c:formatCode>
                <c:ptCount val="13"/>
                <c:pt idx="0">
                  <c:v>474.11581084562488</c:v>
                </c:pt>
                <c:pt idx="12">
                  <c:v>586.11119192916567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8-4AA9-B975-4B6D80D79203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'Output|Decomposition'!$Z$11:$Z$23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5.5393107308216827</c:v>
                </c:pt>
                <c:pt idx="5">
                  <c:v>0</c:v>
                </c:pt>
                <c:pt idx="6">
                  <c:v>19.282453887773237</c:v>
                </c:pt>
                <c:pt idx="7">
                  <c:v>10.101003141051827</c:v>
                </c:pt>
                <c:pt idx="8">
                  <c:v>0</c:v>
                </c:pt>
                <c:pt idx="9">
                  <c:v>75.339986966942206</c:v>
                </c:pt>
                <c:pt idx="10">
                  <c:v>3.11700437397436</c:v>
                </c:pt>
                <c:pt idx="11">
                  <c:v>6.4760136879233361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8-4AA9-B975-4B6D80D79203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'Output|Decomposition'!$B$11:$B$23</c:f>
              <c:strCache>
                <c:ptCount val="13"/>
                <c:pt idx="0">
                  <c:v> Based on reported opex in 2024–25 </c:v>
                </c:pt>
                <c:pt idx="1">
                  <c:v> Efficiency adjustment </c:v>
                </c:pt>
                <c:pt idx="2">
                  <c:v> Base year non-recurrent efficiency gains </c:v>
                </c:pt>
                <c:pt idx="3">
                  <c:v> Base year adjustments </c:v>
                </c:pt>
                <c:pt idx="4">
                  <c:v> 2024–25 to 2025–26 increment </c:v>
                </c:pt>
                <c:pt idx="5">
                  <c:v> Remove category specific forecasts </c:v>
                </c:pt>
                <c:pt idx="6">
                  <c:v> Output growth </c:v>
                </c:pt>
                <c:pt idx="7">
                  <c:v> Price growth </c:v>
                </c:pt>
                <c:pt idx="8">
                  <c:v> Productivity growth </c:v>
                </c:pt>
                <c:pt idx="9">
                  <c:v> Step changes </c:v>
                </c:pt>
                <c:pt idx="10">
                  <c:v> Category specific forecasts </c:v>
                </c:pt>
                <c:pt idx="11">
                  <c:v> Debt raising costs </c:v>
                </c:pt>
                <c:pt idx="12">
                  <c:v> AER alternative estimate </c:v>
                </c:pt>
              </c:strCache>
            </c:strRef>
          </c:cat>
          <c:val>
            <c:numRef>
              <c:f>'Output|Decomposition'!$AA$11:$AA$23</c:f>
              <c:numCache>
                <c:formatCode>_-* #\ ##0.00_-;\-* #\ ##0.00_-;_-* "-"??_-;_-@_-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0.61204588107155011</c:v>
                </c:pt>
                <c:pt idx="6">
                  <c:v>0</c:v>
                </c:pt>
                <c:pt idx="7">
                  <c:v>0</c:v>
                </c:pt>
                <c:pt idx="8">
                  <c:v>7.2483458238743053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8-4AA9-B975-4B6D80D79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2025-26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D22603-4CCC-41F9-A555-D66AD2C5F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4%20Other%20DBs\NSW\Final%20Determination\AER%20-%20Final%20decision%20-%20Essential%20Energy%20distribution%20determination%202024-29%20-%20Opex%20model%20-%20April%202024%20-%20Public.xlsx" TargetMode="External"/><Relationship Id="rId1" Type="http://schemas.openxmlformats.org/officeDocument/2006/relationships/externalLinkPath" Target="/3%20Modelling/04%20Other%20DBs/NSW/Final%20Determination/AER%20-%20Final%20decision%20-%20Essential%20Energy%20distribution%20determination%202024-29%20-%20Opex%20model%20-%20April%202024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Output|Decomposition"/>
      <sheetName val="Lookup|Tables"/>
      <sheetName val="Check|List"/>
    </sheetNames>
    <sheetDataSet>
      <sheetData sheetId="0"/>
      <sheetData sheetId="1">
        <row r="9">
          <cell r="G9">
            <v>36678</v>
          </cell>
        </row>
        <row r="11">
          <cell r="G11">
            <v>2023</v>
          </cell>
        </row>
        <row r="13">
          <cell r="G13">
            <v>2025</v>
          </cell>
        </row>
        <row r="14">
          <cell r="G14">
            <v>2029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X9" t="str">
            <v>Padding</v>
          </cell>
        </row>
      </sheetData>
      <sheetData sheetId="9">
        <row r="21">
          <cell r="G21" t="str">
            <v>Per cent</v>
          </cell>
        </row>
        <row r="72">
          <cell r="H72">
            <v>43617</v>
          </cell>
        </row>
        <row r="73">
          <cell r="H73">
            <v>43983</v>
          </cell>
        </row>
        <row r="74">
          <cell r="H74">
            <v>44348</v>
          </cell>
        </row>
        <row r="75">
          <cell r="H75">
            <v>44713</v>
          </cell>
        </row>
        <row r="76">
          <cell r="H76">
            <v>45078</v>
          </cell>
        </row>
        <row r="77">
          <cell r="H77">
            <v>45444</v>
          </cell>
        </row>
        <row r="78">
          <cell r="H78" t="str">
            <v/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98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100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174</v>
      </c>
    </row>
    <row r="13" spans="1:47">
      <c r="C13" s="19" t="s">
        <v>55</v>
      </c>
      <c r="D13" s="7" t="s">
        <v>175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8"/>
  <sheetViews>
    <sheetView showGridLines="0" zoomScale="115" zoomScaleNormal="115" workbookViewId="0">
      <selection activeCell="G9" sqref="G9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27.6640625" style="30" customWidth="1"/>
    <col min="5" max="5" width="15.77734375" style="30" customWidth="1"/>
    <col min="6" max="6" width="10.66406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IF(COUNTA($S$5:$S$16)=COUNTIF($S5:$S17,"OK"),"OK","Check")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96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97</v>
      </c>
      <c r="D6" s="32" t="s">
        <v>7</v>
      </c>
      <c r="E6" s="32"/>
      <c r="F6" s="33"/>
      <c r="G6" s="33" t="s">
        <v>71</v>
      </c>
      <c r="H6" s="33"/>
      <c r="I6" s="29"/>
    </row>
    <row r="7" spans="1:47" ht="10.5">
      <c r="C7" s="29" t="s">
        <v>68</v>
      </c>
      <c r="D7" s="30" t="s">
        <v>72</v>
      </c>
      <c r="E7" s="29"/>
      <c r="F7" s="29"/>
      <c r="G7" s="52" t="s">
        <v>209</v>
      </c>
      <c r="H7" s="29"/>
      <c r="I7" s="29"/>
      <c r="S7" s="130" t="str">
        <f>IF(COUNTBLANK($G7),"Check","Ok")</f>
        <v>Ok</v>
      </c>
    </row>
    <row r="8" spans="1:47" ht="10.5">
      <c r="C8" s="29" t="s">
        <v>141</v>
      </c>
      <c r="D8" s="30" t="s">
        <v>73</v>
      </c>
      <c r="E8" s="29"/>
      <c r="F8" s="29"/>
      <c r="G8" s="52" t="s">
        <v>194</v>
      </c>
      <c r="H8" s="29"/>
      <c r="I8" s="29"/>
      <c r="S8" s="130" t="str">
        <f>IF(COUNTBLANK($G8),"Check","Ok")</f>
        <v>Ok</v>
      </c>
    </row>
    <row r="9" spans="1:47" ht="10.5">
      <c r="C9" s="29" t="s">
        <v>125</v>
      </c>
      <c r="D9" s="30" t="s">
        <v>72</v>
      </c>
      <c r="E9" s="29"/>
      <c r="F9" s="29"/>
      <c r="G9" s="151">
        <v>36678</v>
      </c>
      <c r="H9" s="29"/>
      <c r="I9" s="29"/>
      <c r="S9" s="130" t="str">
        <f>IF(COUNTBLANK($G9),"Check","Ok")</f>
        <v>Ok</v>
      </c>
    </row>
    <row r="10" spans="1:47" ht="10.5">
      <c r="C10" s="29" t="s">
        <v>155</v>
      </c>
      <c r="D10" s="30" t="s">
        <v>72</v>
      </c>
      <c r="E10" s="29"/>
      <c r="F10" s="29"/>
      <c r="G10" s="152">
        <v>2022</v>
      </c>
      <c r="H10" s="29"/>
      <c r="I10" s="29"/>
      <c r="S10" s="130" t="str">
        <f t="shared" ref="S10:S14" si="0">IF(COUNTBLANK($G10),"Check","Ok")</f>
        <v>Ok</v>
      </c>
    </row>
    <row r="11" spans="1:47" ht="10.5">
      <c r="C11" s="29" t="s">
        <v>75</v>
      </c>
      <c r="D11" s="30" t="s">
        <v>72</v>
      </c>
      <c r="E11" s="29"/>
      <c r="F11" s="29"/>
      <c r="G11" s="152">
        <v>2025</v>
      </c>
      <c r="H11" s="29"/>
      <c r="I11" s="29"/>
      <c r="S11" s="130" t="str">
        <f t="shared" si="0"/>
        <v>Ok</v>
      </c>
    </row>
    <row r="12" spans="1:47" ht="10.5">
      <c r="C12" s="29" t="s">
        <v>156</v>
      </c>
      <c r="D12" s="30" t="s">
        <v>72</v>
      </c>
      <c r="E12" s="29"/>
      <c r="F12" s="29"/>
      <c r="G12" s="152">
        <v>2026</v>
      </c>
      <c r="H12" s="29"/>
      <c r="I12" s="29"/>
      <c r="S12" s="130" t="str">
        <f t="shared" si="0"/>
        <v>Ok</v>
      </c>
    </row>
    <row r="13" spans="1:47" ht="10.5">
      <c r="C13" s="29" t="s">
        <v>69</v>
      </c>
      <c r="D13" s="30" t="s">
        <v>72</v>
      </c>
      <c r="E13" s="29"/>
      <c r="F13" s="29"/>
      <c r="G13" s="152">
        <v>2027</v>
      </c>
      <c r="H13" s="29"/>
      <c r="I13" s="29"/>
      <c r="S13" s="130" t="str">
        <f t="shared" si="0"/>
        <v>Ok</v>
      </c>
    </row>
    <row r="14" spans="1:47" ht="10.5">
      <c r="C14" s="29" t="s">
        <v>70</v>
      </c>
      <c r="D14" s="30" t="s">
        <v>72</v>
      </c>
      <c r="E14" s="29"/>
      <c r="F14" s="29"/>
      <c r="G14" s="152">
        <v>2031</v>
      </c>
      <c r="H14" s="29"/>
      <c r="I14" s="29"/>
      <c r="S14" s="130" t="str">
        <f t="shared" si="0"/>
        <v>Ok</v>
      </c>
    </row>
    <row r="15" spans="1:47" ht="10.5">
      <c r="C15" s="29" t="s">
        <v>198</v>
      </c>
      <c r="D15" s="30" t="s">
        <v>72</v>
      </c>
      <c r="E15" s="29"/>
      <c r="F15" s="29"/>
      <c r="G15" s="52" t="s">
        <v>15</v>
      </c>
      <c r="H15" s="29"/>
      <c r="I15" s="29"/>
      <c r="S15" s="131"/>
    </row>
    <row r="16" spans="1:47">
      <c r="D16" s="29"/>
      <c r="E16" s="29"/>
      <c r="F16" s="29"/>
      <c r="G16" s="29"/>
      <c r="H16" s="29"/>
      <c r="I16" s="29"/>
    </row>
    <row r="17" spans="1:47" s="103" customFormat="1" ht="13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/>
  </sheetData>
  <dataConsolidate/>
  <conditionalFormatting sqref="S1">
    <cfRule type="cellIs" dxfId="163" priority="1" operator="equal">
      <formula>"Check"</formula>
    </cfRule>
    <cfRule type="cellIs" dxfId="162" priority="2" operator="equal">
      <formula>"Ok"</formula>
    </cfRule>
  </conditionalFormatting>
  <conditionalFormatting sqref="S7:S15">
    <cfRule type="cellIs" dxfId="161" priority="5" operator="equal">
      <formula>"Check"</formula>
    </cfRule>
    <cfRule type="cellIs" dxfId="160" priority="6" operator="equal">
      <formula>"Ok"</formula>
    </cfRule>
  </conditionalFormatting>
  <conditionalFormatting sqref="V1">
    <cfRule type="cellIs" dxfId="159" priority="3" operator="equal">
      <formula>"Check"</formula>
    </cfRule>
    <cfRule type="cellIs" dxfId="158" priority="4" operator="equal">
      <formula>"Ok"</formula>
    </cfRule>
  </conditionalFormatting>
  <conditionalFormatting sqref="W14:W16">
    <cfRule type="cellIs" dxfId="157" priority="13" operator="equal">
      <formula>"Check"</formula>
    </cfRule>
    <cfRule type="cellIs" dxfId="156" priority="14" operator="equal">
      <formula>"Ok"</formula>
    </cfRule>
  </conditionalFormatting>
  <dataValidations count="3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1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'Lookup|Tables'!$G$48:$G$67</xm:f>
          </x14:formula1>
          <xm:sqref>G10:G13</xm:sqref>
        </x14:dataValidation>
        <x14:dataValidation type="list" allowBlank="1" showInputMessage="1" showErrorMessage="1" xr:uid="{17F635E3-4210-4E82-9290-8A0B8920616F}">
          <x14:formula1>
            <xm:f>'Lookup|Tables'!$G$48:$G$69</xm:f>
          </x14:formula1>
          <xm:sqref>G14</xm:sqref>
        </x14:dataValidation>
        <x14:dataValidation type="list" allowBlank="1" showInputMessage="1" showErrorMessage="1" xr:uid="{6C897470-CEFC-4113-A262-3320ABB6D92F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X98"/>
  <sheetViews>
    <sheetView showGridLines="0" topLeftCell="A40" workbookViewId="0">
      <selection activeCell="F84" sqref="F84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11" width="15" style="30" customWidth="1"/>
    <col min="12" max="12" width="3.33203125" style="30" customWidth="1"/>
    <col min="13" max="26" width="10.77734375" style="29" customWidth="1"/>
    <col min="27" max="41" width="10.44140625" style="29" hidden="1" customWidth="1"/>
    <col min="42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0"/>
      <c r="G1" s="70"/>
      <c r="H1" s="70"/>
      <c r="I1" s="71"/>
      <c r="J1" s="71"/>
      <c r="K1" s="71"/>
      <c r="L1" s="71"/>
      <c r="M1" s="37" t="s">
        <v>2</v>
      </c>
      <c r="O1" s="72" t="s">
        <v>3</v>
      </c>
      <c r="P1" s="73" t="s">
        <v>4</v>
      </c>
      <c r="Q1" s="74" t="s">
        <v>5</v>
      </c>
      <c r="R1" s="75" t="s">
        <v>6</v>
      </c>
      <c r="U1" s="72" t="s">
        <v>85</v>
      </c>
      <c r="V1" s="76" t="str">
        <f>IF(COUNTA($V$5:$V$87)=COUNTIF($V5:$V88,"OK"),"OK","Check")</f>
        <v>OK</v>
      </c>
      <c r="X1" s="182" t="s">
        <v>24</v>
      </c>
      <c r="Y1" s="76" t="str">
        <f>'Check|List'!$S$1</f>
        <v>Ok</v>
      </c>
    </row>
    <row r="2" spans="1:50" s="77" customFormat="1" ht="13.5" thickBot="1">
      <c r="B2" s="78" t="str">
        <f>Index!$C$7</f>
        <v>Input | General</v>
      </c>
      <c r="C2" s="78"/>
      <c r="D2" s="78"/>
      <c r="E2" s="78"/>
      <c r="F2" s="78"/>
      <c r="G2" s="78"/>
      <c r="H2" s="78"/>
      <c r="I2" s="79"/>
      <c r="J2" s="79"/>
      <c r="K2" s="79"/>
      <c r="L2" s="79"/>
    </row>
    <row r="3" spans="1:50" s="27" customFormat="1" ht="3" customHeight="1">
      <c r="D3" s="28"/>
      <c r="E3" s="28"/>
      <c r="F3" s="28"/>
      <c r="G3" s="28"/>
      <c r="H3" s="28"/>
      <c r="I3" s="28"/>
      <c r="J3" s="28"/>
      <c r="K3" s="28"/>
      <c r="L3" s="28"/>
    </row>
    <row r="4" spans="1:50" s="103" customFormat="1" ht="13">
      <c r="A4" s="94"/>
      <c r="B4" s="95" t="s">
        <v>96</v>
      </c>
      <c r="C4" s="94"/>
      <c r="D4" s="94"/>
      <c r="E4" s="94"/>
      <c r="F4" s="94"/>
      <c r="G4" s="94"/>
      <c r="H4" s="94"/>
      <c r="I4" s="96"/>
      <c r="J4" s="96"/>
      <c r="K4" s="96"/>
      <c r="L4" s="96"/>
      <c r="M4" s="97"/>
      <c r="N4" s="98"/>
      <c r="O4" s="97"/>
      <c r="P4" s="98"/>
      <c r="Q4" s="97"/>
      <c r="R4" s="97"/>
      <c r="S4" s="97"/>
      <c r="T4" s="97"/>
      <c r="U4" s="97"/>
      <c r="V4" s="97"/>
      <c r="W4" s="97"/>
      <c r="X4" s="97"/>
      <c r="Y4" s="98"/>
      <c r="Z4" s="98"/>
      <c r="AA4" s="99"/>
      <c r="AB4" s="99"/>
      <c r="AC4" s="99"/>
      <c r="AD4" s="99"/>
      <c r="AE4" s="100"/>
      <c r="AF4" s="101"/>
      <c r="AG4" s="101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</row>
    <row r="5" spans="1:50" ht="11.25" customHeight="1"/>
    <row r="6" spans="1:50" ht="50">
      <c r="D6" s="62" t="s">
        <v>101</v>
      </c>
      <c r="E6" s="62" t="s">
        <v>139</v>
      </c>
      <c r="F6" s="62" t="s">
        <v>101</v>
      </c>
      <c r="G6" s="210" t="s">
        <v>195</v>
      </c>
      <c r="H6" s="210" t="s">
        <v>196</v>
      </c>
      <c r="I6" s="62" t="s">
        <v>139</v>
      </c>
      <c r="J6" s="62"/>
      <c r="K6" s="29"/>
      <c r="L6" s="29"/>
    </row>
    <row r="7" spans="1:50" ht="10.5">
      <c r="C7" s="67" t="s">
        <v>7</v>
      </c>
      <c r="D7" s="66" t="s">
        <v>99</v>
      </c>
      <c r="E7" s="66" t="s">
        <v>30</v>
      </c>
      <c r="F7" s="66" t="s">
        <v>99</v>
      </c>
      <c r="G7" s="211" t="s">
        <v>197</v>
      </c>
      <c r="H7" s="211" t="s">
        <v>30</v>
      </c>
      <c r="I7" s="66" t="s">
        <v>30</v>
      </c>
      <c r="J7" s="66"/>
      <c r="K7" s="29"/>
      <c r="L7" s="29"/>
    </row>
    <row r="8" spans="1:50" ht="10.5">
      <c r="C8" s="67" t="s">
        <v>8</v>
      </c>
      <c r="D8" s="66" t="s">
        <v>86</v>
      </c>
      <c r="E8" s="66" t="s">
        <v>16</v>
      </c>
      <c r="F8" s="66" t="s">
        <v>86</v>
      </c>
      <c r="G8" s="211" t="s">
        <v>16</v>
      </c>
      <c r="H8" s="211" t="s">
        <v>86</v>
      </c>
      <c r="I8" s="66" t="s">
        <v>16</v>
      </c>
      <c r="J8" s="66"/>
      <c r="K8" s="29"/>
      <c r="L8" s="29"/>
    </row>
    <row r="9" spans="1:50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K9" s="29"/>
      <c r="L9" s="29"/>
      <c r="V9" s="130" t="str">
        <f>IF(C9&gt;EOMONTH(DATE('Input|General'!$G$12,MONTH('Input|General'!$G$9),1),0),"Ok",IF(D9="","Check","Ok"))</f>
        <v>Ok</v>
      </c>
    </row>
    <row r="10" spans="1:50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K10" s="29"/>
      <c r="L10" s="29"/>
      <c r="V10" s="130" t="str">
        <f>IF(C10&gt;EOMONTH(DATE('Input|General'!$G$12,MONTH('Input|General'!$G$9),1),0),"Ok",IF(D10="","Check","Ok"))</f>
        <v>Ok</v>
      </c>
    </row>
    <row r="11" spans="1:50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K11" s="29"/>
      <c r="L11" s="29"/>
      <c r="V11" s="130" t="str">
        <f>IF(C11&gt;EOMONTH(DATE('Input|General'!$G$12,MONTH('Input|General'!$G$9),1),0),"Ok",IF(D11="","Check","Ok"))</f>
        <v>Ok</v>
      </c>
    </row>
    <row r="12" spans="1:50" ht="10.5">
      <c r="C12" s="64">
        <v>39447</v>
      </c>
      <c r="D12" s="63">
        <v>160.1</v>
      </c>
      <c r="E12" s="29"/>
      <c r="F12" s="29"/>
      <c r="G12" s="29"/>
      <c r="H12" s="29"/>
      <c r="I12" s="65"/>
      <c r="J12" s="29"/>
      <c r="K12" s="29"/>
      <c r="L12" s="29"/>
      <c r="V12" s="130" t="str">
        <f>IF(C12&gt;EOMONTH(DATE('Input|General'!$G$12,MONTH('Input|General'!$G$9),1),0),"Ok",IF(D12="","Check","Ok"))</f>
        <v>Ok</v>
      </c>
    </row>
    <row r="13" spans="1:50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29"/>
      <c r="H13" s="29"/>
      <c r="I13" s="65"/>
      <c r="J13" s="29"/>
      <c r="K13" s="29"/>
      <c r="L13" s="29"/>
      <c r="V13" s="130" t="str">
        <f>IF(C13&gt;EOMONTH(DATE('Input|General'!$G$12,MONTH('Input|General'!$G$9),1),0),"Ok",IF(D13="","Check","Ok"))</f>
        <v>Ok</v>
      </c>
    </row>
    <row r="14" spans="1:50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29"/>
      <c r="H14" s="29"/>
      <c r="I14" s="65"/>
      <c r="J14" s="29"/>
      <c r="K14" s="29"/>
      <c r="L14" s="29"/>
      <c r="V14" s="130" t="str">
        <f>IF(C14&gt;EOMONTH(DATE('Input|General'!$G$12,MONTH('Input|General'!$G$9),1),0),"Ok",IF(D14="","Check","Ok"))</f>
        <v>Ok</v>
      </c>
    </row>
    <row r="15" spans="1:50" ht="10.5">
      <c r="C15" s="64">
        <v>39721</v>
      </c>
      <c r="D15" s="63">
        <v>166.5</v>
      </c>
      <c r="E15" s="117">
        <f t="shared" si="0"/>
        <v>4.9810844892812067E-2</v>
      </c>
      <c r="F15" s="29"/>
      <c r="G15" s="29"/>
      <c r="H15" s="29"/>
      <c r="I15" s="65"/>
      <c r="J15" s="29"/>
      <c r="K15" s="29"/>
      <c r="L15" s="29"/>
      <c r="V15" s="130" t="str">
        <f>IF(C15&gt;EOMONTH(DATE('Input|General'!$G$12,MONTH('Input|General'!$G$9),1),0),"Ok",IF(D15="","Check","Ok"))</f>
        <v>Ok</v>
      </c>
    </row>
    <row r="16" spans="1:50" ht="10.5">
      <c r="C16" s="64">
        <v>39813</v>
      </c>
      <c r="D16" s="63">
        <v>166</v>
      </c>
      <c r="E16" s="117">
        <f t="shared" si="0"/>
        <v>3.6851967520299844E-2</v>
      </c>
      <c r="F16" s="29"/>
      <c r="G16" s="29"/>
      <c r="H16" s="29"/>
      <c r="I16" s="65"/>
      <c r="J16" s="29"/>
      <c r="K16" s="29"/>
      <c r="L16" s="29"/>
      <c r="V16" s="130" t="str">
        <f>IF(C16&gt;EOMONTH(DATE('Input|General'!$G$12,MONTH('Input|General'!$G$9),1),0),"Ok",IF(D16="","Check","Ok"))</f>
        <v>Ok</v>
      </c>
    </row>
    <row r="17" spans="3:22" ht="10.5">
      <c r="C17" s="64">
        <v>39903</v>
      </c>
      <c r="D17" s="63">
        <v>166.2</v>
      </c>
      <c r="E17" s="117">
        <f t="shared" si="0"/>
        <v>2.4660912453760897E-2</v>
      </c>
      <c r="F17" s="29"/>
      <c r="G17" s="29"/>
      <c r="H17" s="29"/>
      <c r="I17" s="65"/>
      <c r="J17" s="29"/>
      <c r="K17" s="29"/>
      <c r="L17" s="29"/>
      <c r="V17" s="130" t="str">
        <f>IF(C17&gt;EOMONTH(DATE('Input|General'!$G$12,MONTH('Input|General'!$G$9),1),0),"Ok",IF(D17="","Check","Ok"))</f>
        <v>Ok</v>
      </c>
    </row>
    <row r="18" spans="3:22" ht="10.5">
      <c r="C18" s="64">
        <v>39994</v>
      </c>
      <c r="D18" s="63">
        <v>167</v>
      </c>
      <c r="E18" s="117">
        <f t="shared" si="0"/>
        <v>1.4580801944106936E-2</v>
      </c>
      <c r="F18" s="29"/>
      <c r="G18" s="29"/>
      <c r="H18" s="29"/>
      <c r="I18" s="65"/>
      <c r="J18" s="29"/>
      <c r="K18" s="29"/>
      <c r="L18" s="29"/>
      <c r="V18" s="130" t="str">
        <f>IF(C18&gt;EOMONTH(DATE('Input|General'!$G$12,MONTH('Input|General'!$G$9),1),0),"Ok",IF(D18="","Check","Ok"))</f>
        <v>Ok</v>
      </c>
    </row>
    <row r="19" spans="3:22" ht="10.5">
      <c r="C19" s="64">
        <v>40086</v>
      </c>
      <c r="D19" s="63">
        <v>168.6</v>
      </c>
      <c r="E19" s="117">
        <f t="shared" si="0"/>
        <v>1.2612612612612484E-2</v>
      </c>
      <c r="F19" s="29"/>
      <c r="G19" s="29"/>
      <c r="H19" s="29"/>
      <c r="I19" s="65"/>
      <c r="J19" s="29"/>
      <c r="K19" s="29"/>
      <c r="L19" s="29"/>
      <c r="V19" s="130" t="str">
        <f>IF(C19&gt;EOMONTH(DATE('Input|General'!$G$12,MONTH('Input|General'!$G$9),1),0),"Ok",IF(D19="","Check","Ok"))</f>
        <v>Ok</v>
      </c>
    </row>
    <row r="20" spans="3:22" ht="10.5">
      <c r="C20" s="64">
        <v>40178</v>
      </c>
      <c r="D20" s="63">
        <v>169.5</v>
      </c>
      <c r="E20" s="117">
        <f t="shared" si="0"/>
        <v>2.108433734939763E-2</v>
      </c>
      <c r="F20" s="29"/>
      <c r="G20" s="29"/>
      <c r="H20" s="29"/>
      <c r="I20" s="65"/>
      <c r="J20" s="29"/>
      <c r="K20" s="29"/>
      <c r="L20" s="29"/>
      <c r="V20" s="130" t="str">
        <f>IF(C20&gt;EOMONTH(DATE('Input|General'!$G$12,MONTH('Input|General'!$G$9),1),0),"Ok",IF(D20="","Check","Ok"))</f>
        <v>Ok</v>
      </c>
    </row>
    <row r="21" spans="3:22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29"/>
      <c r="H21" s="65">
        <f>IF(ISBLANK(F21),IF(COUNT(G21:G$84)=0,"",IF(ISBLANK(G21),AVERAGE(H20,H22),(1+G21)*H17)),F21)</f>
        <v>95.2</v>
      </c>
      <c r="I21" s="65"/>
      <c r="J21" s="183"/>
      <c r="K21" s="29"/>
      <c r="L21" s="29"/>
      <c r="V21" s="130" t="str">
        <f>IF(C21&gt;EOMONTH(DATE('Input|General'!$G$12,MONTH('Input|General'!$G$9),1),0),"Ok",IF(D21="","Check","Ok"))</f>
        <v>Ok</v>
      </c>
    </row>
    <row r="22" spans="3:22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29"/>
      <c r="H22" s="65">
        <f>IF(ISBLANK(F22),IF(COUNT(G22:G$84)=0,"",IF(ISBLANK(G22),AVERAGE(H21,H23),(1+G22)*H18)),F22)</f>
        <v>95.8</v>
      </c>
      <c r="I22" s="65"/>
      <c r="J22" s="183"/>
      <c r="K22" s="29"/>
      <c r="L22" s="29"/>
      <c r="V22" s="130" t="str">
        <f>IF(C22&gt;EOMONTH(DATE('Input|General'!$G$12,MONTH('Input|General'!$G$9),1),0),"Ok",IF(D22="","Check","Ok"))</f>
        <v>Ok</v>
      </c>
    </row>
    <row r="23" spans="3:22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29"/>
      <c r="H23" s="65">
        <f>IF(ISBLANK(F23),IF(COUNT(G23:G$84)=0,"",IF(ISBLANK(G23),AVERAGE(H22,H24),(1+G23)*H19)),F23)</f>
        <v>96.5</v>
      </c>
      <c r="I23" s="65"/>
      <c r="J23" s="183"/>
      <c r="K23" s="29"/>
      <c r="L23" s="29"/>
      <c r="V23" s="130" t="str">
        <f>IF(C23&gt;EOMONTH(DATE('Input|General'!$G$12,MONTH('Input|General'!$G$9),1),0),"Ok",IF(D23="","Check","Ok"))</f>
        <v>Ok</v>
      </c>
    </row>
    <row r="24" spans="3:22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29"/>
      <c r="H24" s="65">
        <f>IF(ISBLANK(F24),IF(COUNT(G24:G$84)=0,"",IF(ISBLANK(G24),AVERAGE(H23,H25),(1+G24)*H20)),F24)</f>
        <v>96.9</v>
      </c>
      <c r="I24" s="65"/>
      <c r="J24" s="183"/>
      <c r="K24" s="29"/>
      <c r="L24" s="29"/>
      <c r="V24" s="130" t="str">
        <f>IF(C24&gt;EOMONTH(DATE('Input|General'!$G$12,MONTH('Input|General'!$G$9),1),0),"Ok",IF(D24="","Check","Ok"))</f>
        <v>Ok</v>
      </c>
    </row>
    <row r="25" spans="3:22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29"/>
      <c r="H25" s="65">
        <f>IF(ISBLANK(F25),IF(COUNT(G25:G$84)=0,"",IF(ISBLANK(G25),AVERAGE(H24,H26),(1+G25)*H21)),F25)</f>
        <v>98.3</v>
      </c>
      <c r="I25" s="117">
        <f>IF(H25="","",H25/H21-1)</f>
        <v>3.2563025210083918E-2</v>
      </c>
      <c r="J25" s="183"/>
      <c r="K25" s="29"/>
      <c r="L25" s="29"/>
      <c r="V25" s="130" t="str">
        <f>IF(C25&gt;EOMONTH(DATE('Input|General'!$G$12,MONTH('Input|General'!$G$9),1),0),"Ok",IF(D25="","Check","Ok"))</f>
        <v>Ok</v>
      </c>
    </row>
    <row r="26" spans="3:22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29"/>
      <c r="H26" s="65">
        <f>IF(ISBLANK(F26),IF(COUNT(G26:G$84)=0,"",IF(ISBLANK(G26),AVERAGE(H25,H27),(1+G26)*H22)),F26)</f>
        <v>99.2</v>
      </c>
      <c r="I26" s="117">
        <f t="shared" ref="I26:I86" si="1">IF(H26="","",H26/H22-1)</f>
        <v>3.5490605427975108E-2</v>
      </c>
      <c r="J26" s="183"/>
      <c r="K26" s="29"/>
      <c r="L26" s="29"/>
      <c r="V26" s="130" t="str">
        <f>IF(C26&gt;EOMONTH(DATE('Input|General'!$G$12,MONTH('Input|General'!$G$9),1),0),"Ok",IF(D26="","Check","Ok"))</f>
        <v>Ok</v>
      </c>
    </row>
    <row r="27" spans="3:22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29"/>
      <c r="H27" s="65">
        <f>IF(ISBLANK(F27),IF(COUNT(G27:G$84)=0,"",IF(ISBLANK(G27),AVERAGE(H26,H28),(1+G27)*H23)),F27)</f>
        <v>99.8</v>
      </c>
      <c r="I27" s="117">
        <f t="shared" si="1"/>
        <v>3.4196891191709877E-2</v>
      </c>
      <c r="J27" s="183"/>
      <c r="K27" s="29"/>
      <c r="L27" s="29"/>
      <c r="V27" s="130" t="str">
        <f>IF(C27&gt;EOMONTH(DATE('Input|General'!$G$12,MONTH('Input|General'!$G$9),1),0),"Ok",IF(D27="","Check","Ok"))</f>
        <v>Ok</v>
      </c>
    </row>
    <row r="28" spans="3:22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29"/>
      <c r="H28" s="65">
        <f>IF(ISBLANK(F28),IF(COUNT(G28:G$84)=0,"",IF(ISBLANK(G28),AVERAGE(H27,H29),(1+G28)*H24)),F28)</f>
        <v>99.8</v>
      </c>
      <c r="I28" s="117">
        <f t="shared" si="1"/>
        <v>2.9927760577915352E-2</v>
      </c>
      <c r="J28" s="183"/>
      <c r="K28" s="29"/>
      <c r="L28" s="29"/>
      <c r="V28" s="130" t="str">
        <f>IF(C28&gt;EOMONTH(DATE('Input|General'!$G$12,MONTH('Input|General'!$G$9),1),0),"Ok",IF(D28="","Check","Ok"))</f>
        <v>Ok</v>
      </c>
    </row>
    <row r="29" spans="3:22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29"/>
      <c r="H29" s="65">
        <f>IF(ISBLANK(F29),IF(COUNT(G29:G$84)=0,"",IF(ISBLANK(G29),AVERAGE(H28,H30),(1+G29)*H25)),F29)</f>
        <v>99.9</v>
      </c>
      <c r="I29" s="117">
        <f t="shared" si="1"/>
        <v>1.6276703967446737E-2</v>
      </c>
      <c r="J29" s="183"/>
      <c r="K29" s="29"/>
      <c r="L29" s="29"/>
      <c r="V29" s="130" t="str">
        <f>IF(C29&gt;EOMONTH(DATE('Input|General'!$G$12,MONTH('Input|General'!$G$9),1),0),"Ok",IF(D29="","Check","Ok"))</f>
        <v>Ok</v>
      </c>
    </row>
    <row r="30" spans="3:22" ht="10.5">
      <c r="C30" s="64">
        <v>41090</v>
      </c>
      <c r="D30" s="29"/>
      <c r="E30" s="29"/>
      <c r="F30" s="63">
        <v>100.4</v>
      </c>
      <c r="G30" s="29"/>
      <c r="H30" s="65">
        <f>IF(ISBLANK(F30),IF(COUNT(G30:G$84)=0,"",IF(ISBLANK(G30),AVERAGE(H29,H31),(1+G30)*H26)),F30)</f>
        <v>100.4</v>
      </c>
      <c r="I30" s="117">
        <f t="shared" si="1"/>
        <v>1.2096774193548487E-2</v>
      </c>
      <c r="J30" s="183"/>
      <c r="K30" s="29"/>
      <c r="L30" s="29"/>
      <c r="V30" s="130" t="str">
        <f>IF(C30&gt;EOMONTH(DATE('Input|General'!$G$12,MONTH('Input|General'!$G$9),1),0),"Ok",IF(F30="","Check","Ok"))</f>
        <v>Ok</v>
      </c>
    </row>
    <row r="31" spans="3:22" ht="10.5">
      <c r="C31" s="64">
        <v>41182</v>
      </c>
      <c r="D31" s="29"/>
      <c r="E31" s="29"/>
      <c r="F31" s="63">
        <v>101.8</v>
      </c>
      <c r="G31" s="29"/>
      <c r="H31" s="65">
        <f>IF(ISBLANK(F31),IF(COUNT(G31:G$84)=0,"",IF(ISBLANK(G31),AVERAGE(H30,H32),(1+G31)*H27)),F31)</f>
        <v>101.8</v>
      </c>
      <c r="I31" s="117">
        <f t="shared" si="1"/>
        <v>2.0040080160320661E-2</v>
      </c>
      <c r="J31" s="183"/>
      <c r="K31" s="29"/>
      <c r="L31" s="29"/>
      <c r="V31" s="130" t="str">
        <f>IF(C31&gt;EOMONTH(DATE('Input|General'!$G$12,MONTH('Input|General'!$G$9),1),0),"Ok",IF(F31="","Check","Ok"))</f>
        <v>Ok</v>
      </c>
    </row>
    <row r="32" spans="3:22" ht="10.5">
      <c r="C32" s="64">
        <v>41274</v>
      </c>
      <c r="D32" s="29"/>
      <c r="E32" s="29"/>
      <c r="F32" s="63">
        <v>102</v>
      </c>
      <c r="G32" s="29"/>
      <c r="H32" s="65">
        <f>IF(ISBLANK(F32),IF(COUNT(G32:G$84)=0,"",IF(ISBLANK(G32),AVERAGE(H31,H33),(1+G32)*H28)),F32)</f>
        <v>102</v>
      </c>
      <c r="I32" s="117">
        <f t="shared" si="1"/>
        <v>2.2044088176352838E-2</v>
      </c>
      <c r="J32" s="183"/>
      <c r="K32" s="29"/>
      <c r="L32" s="29"/>
      <c r="V32" s="130" t="str">
        <f>IF(C32&gt;EOMONTH(DATE('Input|General'!$G$12,MONTH('Input|General'!$G$9),1),0),"Ok",IF(F32="","Check","Ok"))</f>
        <v>Ok</v>
      </c>
    </row>
    <row r="33" spans="3:22" ht="10.5">
      <c r="C33" s="64">
        <v>41364</v>
      </c>
      <c r="D33" s="29"/>
      <c r="E33" s="29"/>
      <c r="F33" s="63">
        <v>102.4</v>
      </c>
      <c r="G33" s="29"/>
      <c r="H33" s="65">
        <f>IF(ISBLANK(F33),IF(COUNT(G33:G$84)=0,"",IF(ISBLANK(G33),AVERAGE(H32,H34),(1+G33)*H29)),F33)</f>
        <v>102.4</v>
      </c>
      <c r="I33" s="117">
        <f t="shared" si="1"/>
        <v>2.5025025025025016E-2</v>
      </c>
      <c r="J33" s="183"/>
      <c r="K33" s="29"/>
      <c r="L33" s="29"/>
      <c r="V33" s="130" t="str">
        <f>IF(C33&gt;EOMONTH(DATE('Input|General'!$G$12,MONTH('Input|General'!$G$9),1),0),"Ok",IF(F33="","Check","Ok"))</f>
        <v>Ok</v>
      </c>
    </row>
    <row r="34" spans="3:22" ht="10.5">
      <c r="C34" s="64">
        <v>41455</v>
      </c>
      <c r="D34" s="29"/>
      <c r="E34" s="29"/>
      <c r="F34" s="63">
        <v>102.8</v>
      </c>
      <c r="G34" s="29"/>
      <c r="H34" s="65">
        <f>IF(ISBLANK(F34),IF(COUNT(G34:G$84)=0,"",IF(ISBLANK(G34),AVERAGE(H33,H35),(1+G34)*H30)),F34)</f>
        <v>102.8</v>
      </c>
      <c r="I34" s="117">
        <f t="shared" si="1"/>
        <v>2.3904382470119501E-2</v>
      </c>
      <c r="J34" s="183"/>
      <c r="K34" s="29"/>
      <c r="L34" s="29"/>
      <c r="V34" s="130" t="str">
        <f>IF(C34&gt;EOMONTH(DATE('Input|General'!$G$12,MONTH('Input|General'!$G$9),1),0),"Ok",IF(F34="","Check","Ok"))</f>
        <v>Ok</v>
      </c>
    </row>
    <row r="35" spans="3:22" ht="10.5">
      <c r="C35" s="64">
        <v>41547</v>
      </c>
      <c r="D35" s="29"/>
      <c r="E35" s="29"/>
      <c r="F35" s="63">
        <v>104</v>
      </c>
      <c r="G35" s="29"/>
      <c r="H35" s="65">
        <f>IF(ISBLANK(F35),IF(COUNT(G35:G$84)=0,"",IF(ISBLANK(G35),AVERAGE(H34,H36),(1+G35)*H31)),F35)</f>
        <v>104</v>
      </c>
      <c r="I35" s="117">
        <f t="shared" si="1"/>
        <v>2.16110019646365E-2</v>
      </c>
      <c r="J35" s="183"/>
      <c r="K35" s="29"/>
      <c r="L35" s="29"/>
      <c r="V35" s="130" t="str">
        <f>IF(C35&gt;EOMONTH(DATE('Input|General'!$G$12,MONTH('Input|General'!$G$9),1),0),"Ok",IF(F35="","Check","Ok"))</f>
        <v>Ok</v>
      </c>
    </row>
    <row r="36" spans="3:22" ht="10.5">
      <c r="C36" s="64">
        <v>41639</v>
      </c>
      <c r="D36" s="29"/>
      <c r="E36" s="29"/>
      <c r="F36" s="63">
        <v>104.8</v>
      </c>
      <c r="G36" s="29"/>
      <c r="H36" s="65">
        <f>IF(ISBLANK(F36),IF(COUNT(G36:G$84)=0,"",IF(ISBLANK(G36),AVERAGE(H35,H37),(1+G36)*H32)),F36)</f>
        <v>104.8</v>
      </c>
      <c r="I36" s="117">
        <f t="shared" si="1"/>
        <v>2.7450980392156765E-2</v>
      </c>
      <c r="J36" s="183"/>
      <c r="K36" s="29"/>
      <c r="L36" s="29"/>
      <c r="V36" s="130" t="str">
        <f>IF(C36&gt;EOMONTH(DATE('Input|General'!$G$12,MONTH('Input|General'!$G$9),1),0),"Ok",IF(F36="","Check","Ok"))</f>
        <v>Ok</v>
      </c>
    </row>
    <row r="37" spans="3:22" ht="10.5">
      <c r="C37" s="64">
        <v>41729</v>
      </c>
      <c r="D37" s="29"/>
      <c r="E37" s="29"/>
      <c r="F37" s="63">
        <v>105.4</v>
      </c>
      <c r="G37" s="29"/>
      <c r="H37" s="65">
        <f>IF(ISBLANK(F37),IF(COUNT(G37:G$84)=0,"",IF(ISBLANK(G37),AVERAGE(H36,H38),(1+G37)*H33)),F37)</f>
        <v>105.4</v>
      </c>
      <c r="I37" s="117">
        <f t="shared" si="1"/>
        <v>2.9296875E-2</v>
      </c>
      <c r="J37" s="183"/>
      <c r="K37" s="29"/>
      <c r="L37" s="29"/>
      <c r="V37" s="130" t="str">
        <f>IF(C37&gt;EOMONTH(DATE('Input|General'!$G$12,MONTH('Input|General'!$G$9),1),0),"Ok",IF(F37="","Check","Ok"))</f>
        <v>Ok</v>
      </c>
    </row>
    <row r="38" spans="3:22" ht="10.5">
      <c r="C38" s="64">
        <v>41820</v>
      </c>
      <c r="D38" s="29"/>
      <c r="E38" s="29"/>
      <c r="F38" s="63">
        <v>105.9</v>
      </c>
      <c r="G38" s="29"/>
      <c r="H38" s="65">
        <f>IF(ISBLANK(F38),IF(COUNT(G38:G$84)=0,"",IF(ISBLANK(G38),AVERAGE(H37,H39),(1+G38)*H34)),F38)</f>
        <v>105.9</v>
      </c>
      <c r="I38" s="117">
        <f t="shared" si="1"/>
        <v>3.0155642023346418E-2</v>
      </c>
      <c r="J38" s="183"/>
      <c r="K38" s="29"/>
      <c r="L38" s="29"/>
      <c r="V38" s="130" t="str">
        <f>IF(C38&gt;EOMONTH(DATE('Input|General'!$G$12,MONTH('Input|General'!$G$9),1),0),"Ok",IF(F38="","Check","Ok"))</f>
        <v>Ok</v>
      </c>
    </row>
    <row r="39" spans="3:22" ht="10.5">
      <c r="C39" s="64">
        <v>41912</v>
      </c>
      <c r="D39" s="29"/>
      <c r="E39" s="29"/>
      <c r="F39" s="63">
        <v>106.4</v>
      </c>
      <c r="G39" s="29"/>
      <c r="H39" s="65">
        <f>IF(ISBLANK(F39),IF(COUNT(G39:G$84)=0,"",IF(ISBLANK(G39),AVERAGE(H38,H40),(1+G39)*H35)),F39)</f>
        <v>106.4</v>
      </c>
      <c r="I39" s="117">
        <f t="shared" si="1"/>
        <v>2.3076923076923217E-2</v>
      </c>
      <c r="J39" s="183"/>
      <c r="K39" s="29"/>
      <c r="L39" s="29"/>
      <c r="V39" s="130" t="str">
        <f>IF(C39&gt;EOMONTH(DATE('Input|General'!$G$12,MONTH('Input|General'!$G$9),1),0),"Ok",IF(F39="","Check","Ok"))</f>
        <v>Ok</v>
      </c>
    </row>
    <row r="40" spans="3:22" ht="10.5">
      <c r="C40" s="64">
        <v>42004</v>
      </c>
      <c r="D40" s="29"/>
      <c r="E40" s="29"/>
      <c r="F40" s="63">
        <v>106.6</v>
      </c>
      <c r="G40" s="29"/>
      <c r="H40" s="65">
        <f>IF(ISBLANK(F40),IF(COUNT(G40:G$84)=0,"",IF(ISBLANK(G40),AVERAGE(H39,H41),(1+G40)*H36)),F40)</f>
        <v>106.6</v>
      </c>
      <c r="I40" s="117">
        <f t="shared" si="1"/>
        <v>1.7175572519083859E-2</v>
      </c>
      <c r="J40" s="183"/>
      <c r="K40" s="29"/>
      <c r="L40" s="29"/>
      <c r="V40" s="130" t="str">
        <f>IF(C40&gt;EOMONTH(DATE('Input|General'!$G$12,MONTH('Input|General'!$G$9),1),0),"Ok",IF(F40="","Check","Ok"))</f>
        <v>Ok</v>
      </c>
    </row>
    <row r="41" spans="3:22" ht="10.5">
      <c r="C41" s="64">
        <v>42094</v>
      </c>
      <c r="D41" s="29"/>
      <c r="E41" s="29"/>
      <c r="F41" s="63">
        <v>106.8</v>
      </c>
      <c r="G41" s="29"/>
      <c r="H41" s="65">
        <f>IF(ISBLANK(F41),IF(COUNT(G41:G$84)=0,"",IF(ISBLANK(G41),AVERAGE(H40,H42),(1+G41)*H37)),F41)</f>
        <v>106.8</v>
      </c>
      <c r="I41" s="117">
        <f t="shared" si="1"/>
        <v>1.3282732447817747E-2</v>
      </c>
      <c r="J41" s="183"/>
      <c r="K41" s="29"/>
      <c r="L41" s="29"/>
      <c r="V41" s="130" t="str">
        <f>IF(C41&gt;EOMONTH(DATE('Input|General'!$G$12,MONTH('Input|General'!$G$9),1),0),"Ok",IF(F41="","Check","Ok"))</f>
        <v>Ok</v>
      </c>
    </row>
    <row r="42" spans="3:22" ht="10.5">
      <c r="C42" s="64">
        <v>42185</v>
      </c>
      <c r="D42" s="29"/>
      <c r="E42" s="29"/>
      <c r="F42" s="63">
        <v>107.5</v>
      </c>
      <c r="G42" s="29"/>
      <c r="H42" s="65">
        <f>IF(ISBLANK(F42),IF(COUNT(G42:G$84)=0,"",IF(ISBLANK(G42),AVERAGE(H41,H43),(1+G42)*H38)),F42)</f>
        <v>107.5</v>
      </c>
      <c r="I42" s="117">
        <f t="shared" si="1"/>
        <v>1.5108593012275628E-2</v>
      </c>
      <c r="J42" s="183"/>
      <c r="K42" s="29"/>
      <c r="L42" s="29"/>
      <c r="V42" s="130" t="str">
        <f>IF(C42&gt;EOMONTH(DATE('Input|General'!$G$12,MONTH('Input|General'!$G$9),1),0),"Ok",IF(F42="","Check","Ok"))</f>
        <v>Ok</v>
      </c>
    </row>
    <row r="43" spans="3:22" ht="10.5">
      <c r="C43" s="64">
        <v>42277</v>
      </c>
      <c r="D43" s="29"/>
      <c r="E43" s="29"/>
      <c r="F43" s="63">
        <v>108</v>
      </c>
      <c r="G43" s="29"/>
      <c r="H43" s="65">
        <f>IF(ISBLANK(F43),IF(COUNT(G43:G$84)=0,"",IF(ISBLANK(G43),AVERAGE(H42,H44),(1+G43)*H39)),F43)</f>
        <v>108</v>
      </c>
      <c r="I43" s="117">
        <f t="shared" si="1"/>
        <v>1.5037593984962294E-2</v>
      </c>
      <c r="J43" s="183"/>
      <c r="K43" s="29"/>
      <c r="L43" s="29"/>
      <c r="V43" s="130" t="str">
        <f>IF(C43&gt;EOMONTH(DATE('Input|General'!$G$12,MONTH('Input|General'!$G$9),1),0),"Ok",IF(F43="","Check","Ok"))</f>
        <v>Ok</v>
      </c>
    </row>
    <row r="44" spans="3:22" ht="10.5">
      <c r="C44" s="64">
        <v>42369</v>
      </c>
      <c r="D44" s="29"/>
      <c r="E44" s="29"/>
      <c r="F44" s="63">
        <v>108.4</v>
      </c>
      <c r="G44" s="29"/>
      <c r="H44" s="65">
        <f>IF(ISBLANK(F44),IF(COUNT(G44:G$84)=0,"",IF(ISBLANK(G44),AVERAGE(H43,H45),(1+G44)*H40)),F44)</f>
        <v>108.4</v>
      </c>
      <c r="I44" s="117">
        <f t="shared" si="1"/>
        <v>1.6885553470919357E-2</v>
      </c>
      <c r="J44" s="183"/>
      <c r="K44" s="29"/>
      <c r="L44" s="29"/>
      <c r="V44" s="130" t="str">
        <f>IF(C44&gt;EOMONTH(DATE('Input|General'!$G$12,MONTH('Input|General'!$G$9),1),0),"Ok",IF(F44="","Check","Ok"))</f>
        <v>Ok</v>
      </c>
    </row>
    <row r="45" spans="3:22" ht="10.5">
      <c r="C45" s="64">
        <v>42460</v>
      </c>
      <c r="D45" s="29"/>
      <c r="E45" s="29"/>
      <c r="F45" s="63">
        <v>108.2</v>
      </c>
      <c r="G45" s="29"/>
      <c r="H45" s="65">
        <f>IF(ISBLANK(F45),IF(COUNT(G45:G$84)=0,"",IF(ISBLANK(G45),AVERAGE(H44,H46),(1+G45)*H41)),F45)</f>
        <v>108.2</v>
      </c>
      <c r="I45" s="117">
        <f t="shared" si="1"/>
        <v>1.3108614232209881E-2</v>
      </c>
      <c r="J45" s="183"/>
      <c r="K45" s="29"/>
      <c r="L45" s="29"/>
      <c r="V45" s="130" t="str">
        <f>IF(C45&gt;EOMONTH(DATE('Input|General'!$G$12,MONTH('Input|General'!$G$9),1),0),"Ok",IF(F45="","Check","Ok"))</f>
        <v>Ok</v>
      </c>
    </row>
    <row r="46" spans="3:22" ht="10.5">
      <c r="C46" s="64">
        <v>42551</v>
      </c>
      <c r="D46" s="29"/>
      <c r="E46" s="29"/>
      <c r="F46" s="63">
        <v>108.6</v>
      </c>
      <c r="G46" s="29"/>
      <c r="H46" s="65">
        <f>IF(ISBLANK(F46),IF(COUNT(G46:G$84)=0,"",IF(ISBLANK(G46),AVERAGE(H45,H47),(1+G46)*H42)),F46)</f>
        <v>108.6</v>
      </c>
      <c r="I46" s="117">
        <f t="shared" si="1"/>
        <v>1.0232558139534831E-2</v>
      </c>
      <c r="J46" s="183"/>
      <c r="K46" s="29"/>
      <c r="L46" s="29"/>
      <c r="V46" s="130" t="str">
        <f>IF(C46&gt;EOMONTH(DATE('Input|General'!$G$12,MONTH('Input|General'!$G$9),1),0),"Ok",IF(F46="","Check","Ok"))</f>
        <v>Ok</v>
      </c>
    </row>
    <row r="47" spans="3:22" ht="10.5">
      <c r="C47" s="64">
        <v>42643</v>
      </c>
      <c r="D47" s="29"/>
      <c r="E47" s="29"/>
      <c r="F47" s="63">
        <v>109.4</v>
      </c>
      <c r="G47" s="29"/>
      <c r="H47" s="65">
        <f>IF(ISBLANK(F47),IF(COUNT(G47:G$84)=0,"",IF(ISBLANK(G47),AVERAGE(H46,H48),(1+G47)*H43)),F47)</f>
        <v>109.4</v>
      </c>
      <c r="I47" s="117">
        <f t="shared" si="1"/>
        <v>1.2962962962963065E-2</v>
      </c>
      <c r="J47" s="183"/>
      <c r="K47" s="29"/>
      <c r="L47" s="29"/>
      <c r="V47" s="130" t="str">
        <f>IF(C47&gt;EOMONTH(DATE('Input|General'!$G$12,MONTH('Input|General'!$G$9),1),0),"Ok",IF(F47="","Check","Ok"))</f>
        <v>Ok</v>
      </c>
    </row>
    <row r="48" spans="3:22" ht="10.5">
      <c r="C48" s="64">
        <v>42735</v>
      </c>
      <c r="D48" s="29"/>
      <c r="E48" s="29"/>
      <c r="F48" s="63">
        <v>110</v>
      </c>
      <c r="G48" s="29"/>
      <c r="H48" s="65">
        <f>IF(ISBLANK(F48),IF(COUNT(G48:G$84)=0,"",IF(ISBLANK(G48),AVERAGE(H47,H49),(1+G48)*H44)),F48)</f>
        <v>110</v>
      </c>
      <c r="I48" s="117">
        <f t="shared" si="1"/>
        <v>1.4760147601476037E-2</v>
      </c>
      <c r="J48" s="183"/>
      <c r="K48" s="29"/>
      <c r="L48" s="29"/>
      <c r="V48" s="130" t="str">
        <f>IF(C48&gt;EOMONTH(DATE('Input|General'!$G$12,MONTH('Input|General'!$G$9),1),0),"Ok",IF(F48="","Check","Ok"))</f>
        <v>Ok</v>
      </c>
    </row>
    <row r="49" spans="3:22" ht="10.5">
      <c r="C49" s="64">
        <v>42825</v>
      </c>
      <c r="D49" s="29"/>
      <c r="E49" s="29"/>
      <c r="F49" s="63">
        <v>110.5</v>
      </c>
      <c r="G49" s="29"/>
      <c r="H49" s="65">
        <f>IF(ISBLANK(F49),IF(COUNT(G49:G$84)=0,"",IF(ISBLANK(G49),AVERAGE(H48,H50),(1+G49)*H45)),F49)</f>
        <v>110.5</v>
      </c>
      <c r="I49" s="117">
        <f t="shared" si="1"/>
        <v>2.1256931608133023E-2</v>
      </c>
      <c r="J49" s="183"/>
      <c r="K49" s="29"/>
      <c r="L49" s="29"/>
      <c r="V49" s="130" t="str">
        <f>IF(C49&gt;EOMONTH(DATE('Input|General'!$G$12,MONTH('Input|General'!$G$9),1),0),"Ok",IF(F49="","Check","Ok"))</f>
        <v>Ok</v>
      </c>
    </row>
    <row r="50" spans="3:22" ht="10.5">
      <c r="C50" s="64">
        <v>42916</v>
      </c>
      <c r="D50" s="29"/>
      <c r="E50" s="29"/>
      <c r="F50" s="63">
        <v>110.7</v>
      </c>
      <c r="G50" s="29"/>
      <c r="H50" s="65">
        <f>IF(ISBLANK(F50),IF(COUNT(G50:G$84)=0,"",IF(ISBLANK(G50),AVERAGE(H49,H51),(1+G50)*H46)),F50)</f>
        <v>110.7</v>
      </c>
      <c r="I50" s="117">
        <f t="shared" si="1"/>
        <v>1.9337016574585641E-2</v>
      </c>
      <c r="J50" s="184"/>
      <c r="K50" s="29"/>
      <c r="L50" s="29"/>
      <c r="V50" s="130" t="str">
        <f>IF(C50&gt;EOMONTH(DATE('Input|General'!$G$12,MONTH('Input|General'!$G$9),1),0),"Ok",IF(F50="","Check","Ok"))</f>
        <v>Ok</v>
      </c>
    </row>
    <row r="51" spans="3:22" ht="10.5">
      <c r="C51" s="64">
        <v>43008</v>
      </c>
      <c r="D51" s="29"/>
      <c r="E51" s="29"/>
      <c r="F51" s="63">
        <v>111.4</v>
      </c>
      <c r="G51" s="29"/>
      <c r="H51" s="65">
        <f>IF(ISBLANK(F51),IF(COUNT(G51:G$84)=0,"",IF(ISBLANK(G51),AVERAGE(H50,H52),(1+G51)*H47)),F51)</f>
        <v>111.4</v>
      </c>
      <c r="I51" s="117">
        <f t="shared" si="1"/>
        <v>1.8281535648994485E-2</v>
      </c>
      <c r="J51" s="183"/>
      <c r="K51" s="29"/>
      <c r="L51" s="29"/>
      <c r="V51" s="130" t="str">
        <f>IF(C51&gt;EOMONTH(DATE('Input|General'!$G$12,MONTH('Input|General'!$G$9),1),0),"Ok",IF(F51="","Check","Ok"))</f>
        <v>Ok</v>
      </c>
    </row>
    <row r="52" spans="3:22" ht="10.5">
      <c r="C52" s="64">
        <v>43100</v>
      </c>
      <c r="D52" s="29"/>
      <c r="E52" s="29"/>
      <c r="F52" s="63">
        <v>112.1</v>
      </c>
      <c r="G52" s="29"/>
      <c r="H52" s="65">
        <f>IF(ISBLANK(F52),IF(COUNT(G52:G$84)=0,"",IF(ISBLANK(G52),AVERAGE(H51,H53),(1+G52)*H48)),F52)</f>
        <v>112.1</v>
      </c>
      <c r="I52" s="117">
        <f t="shared" si="1"/>
        <v>1.9090909090909047E-2</v>
      </c>
      <c r="J52" s="183"/>
      <c r="K52" s="29"/>
      <c r="L52" s="29"/>
      <c r="V52" s="130" t="str">
        <f>IF(C52&gt;EOMONTH(DATE('Input|General'!$G$12,MONTH('Input|General'!$G$9),1),0),"Ok",IF(F52="","Check","Ok"))</f>
        <v>Ok</v>
      </c>
    </row>
    <row r="53" spans="3:22" ht="10.5">
      <c r="C53" s="64">
        <v>43190</v>
      </c>
      <c r="D53" s="29"/>
      <c r="E53" s="29"/>
      <c r="F53" s="63">
        <v>112.6</v>
      </c>
      <c r="G53" s="29"/>
      <c r="H53" s="65">
        <f>IF(ISBLANK(F53),IF(COUNT(G53:G$84)=0,"",IF(ISBLANK(G53),AVERAGE(H52,H54),(1+G53)*H49)),F53)</f>
        <v>112.6</v>
      </c>
      <c r="I53" s="117">
        <f t="shared" si="1"/>
        <v>1.9004524886877761E-2</v>
      </c>
      <c r="J53" s="183"/>
      <c r="K53" s="29"/>
      <c r="L53" s="29"/>
      <c r="V53" s="130" t="str">
        <f>IF(C53&gt;EOMONTH(DATE('Input|General'!$G$12,MONTH('Input|General'!$G$9),1),0),"Ok",IF(F53="","Check","Ok"))</f>
        <v>Ok</v>
      </c>
    </row>
    <row r="54" spans="3:22" ht="10.5">
      <c r="C54" s="64">
        <v>43281</v>
      </c>
      <c r="D54" s="29"/>
      <c r="E54" s="29"/>
      <c r="F54" s="63">
        <v>113</v>
      </c>
      <c r="G54" s="29"/>
      <c r="H54" s="65">
        <f>IF(ISBLANK(F54),IF(COUNT(G54:G$84)=0,"",IF(ISBLANK(G54),AVERAGE(H53,H55),(1+G54)*H50)),F54)</f>
        <v>113</v>
      </c>
      <c r="I54" s="117">
        <f t="shared" si="1"/>
        <v>2.0776874435411097E-2</v>
      </c>
      <c r="J54" s="183"/>
      <c r="K54" s="29"/>
      <c r="L54" s="29"/>
      <c r="V54" s="130" t="str">
        <f>IF(C54&gt;EOMONTH(DATE('Input|General'!$G$12,MONTH('Input|General'!$G$9),1),0),"Ok",IF(F54="","Check","Ok"))</f>
        <v>Ok</v>
      </c>
    </row>
    <row r="55" spans="3:22" ht="10.5">
      <c r="C55" s="64">
        <v>43373</v>
      </c>
      <c r="D55" s="29"/>
      <c r="E55" s="29"/>
      <c r="F55" s="63">
        <v>113.5</v>
      </c>
      <c r="G55" s="29"/>
      <c r="H55" s="65">
        <f>IF(ISBLANK(F55),IF(COUNT(G55:G$84)=0,"",IF(ISBLANK(G55),AVERAGE(H54,H56),(1+G55)*H51)),F55)</f>
        <v>113.5</v>
      </c>
      <c r="I55" s="117">
        <f t="shared" si="1"/>
        <v>1.8850987432674993E-2</v>
      </c>
      <c r="J55" s="183"/>
      <c r="K55" s="206"/>
      <c r="L55" s="29"/>
      <c r="V55" s="130" t="str">
        <f>IF(C55&gt;EOMONTH(DATE('Input|General'!$G$12,MONTH('Input|General'!$G$9),1),0),"Ok",IF(F55="","Check","Ok"))</f>
        <v>Ok</v>
      </c>
    </row>
    <row r="56" spans="3:22" ht="10.5">
      <c r="C56" s="64">
        <v>43465</v>
      </c>
      <c r="D56" s="29"/>
      <c r="E56" s="29"/>
      <c r="F56" s="63">
        <v>114.1</v>
      </c>
      <c r="G56" s="29"/>
      <c r="H56" s="65">
        <f>IF(ISBLANK(F56),IF(COUNT(G56:G$84)=0,"",IF(ISBLANK(G56),AVERAGE(H55,H57),(1+G56)*H52)),F56)</f>
        <v>114.1</v>
      </c>
      <c r="I56" s="117">
        <f t="shared" si="1"/>
        <v>1.7841213202497874E-2</v>
      </c>
      <c r="J56" s="183"/>
      <c r="L56" s="29"/>
      <c r="V56" s="130" t="str">
        <f>IF(C56&gt;EOMONTH(DATE('Input|General'!$G$12,MONTH('Input|General'!$G$9),1),0),"Ok",IF(F56="","Check","Ok"))</f>
        <v>Ok</v>
      </c>
    </row>
    <row r="57" spans="3:22" ht="10.5">
      <c r="C57" s="64">
        <v>43555</v>
      </c>
      <c r="D57" s="29"/>
      <c r="E57" s="29"/>
      <c r="F57" s="63">
        <v>114.1</v>
      </c>
      <c r="G57" s="29"/>
      <c r="H57" s="65">
        <f>IF(ISBLANK(F57),IF(COUNT(G57:G$84)=0,"",IF(ISBLANK(G57),AVERAGE(H56,H58),(1+G57)*H53)),F57)</f>
        <v>114.1</v>
      </c>
      <c r="I57" s="117">
        <f t="shared" si="1"/>
        <v>1.3321492007104752E-2</v>
      </c>
      <c r="J57" s="183"/>
      <c r="K57" s="29"/>
      <c r="L57" s="29"/>
      <c r="V57" s="130" t="str">
        <f>IF(C57&gt;EOMONTH(DATE('Input|General'!$G$12,MONTH('Input|General'!$G$9),1),0),"Ok",IF(F57="","Check","Ok"))</f>
        <v>Ok</v>
      </c>
    </row>
    <row r="58" spans="3:22" ht="10.5">
      <c r="C58" s="64">
        <v>43646</v>
      </c>
      <c r="D58" s="29"/>
      <c r="E58" s="29"/>
      <c r="F58" s="63">
        <v>114.8</v>
      </c>
      <c r="G58" s="29"/>
      <c r="H58" s="65">
        <f>IF(ISBLANK(F58),IF(COUNT(G58:G$84)=0,"",IF(ISBLANK(G58),AVERAGE(H57,H59),(1+G58)*H54)),F58)</f>
        <v>114.8</v>
      </c>
      <c r="I58" s="117">
        <f t="shared" si="1"/>
        <v>1.5929203539823078E-2</v>
      </c>
      <c r="K58" s="29"/>
      <c r="L58" s="29"/>
      <c r="V58" s="130" t="str">
        <f>IF(C58&gt;EOMONTH(DATE('Input|General'!$G$12,MONTH('Input|General'!$G$9),1),0),"Ok",IF(F58="","Check","Ok"))</f>
        <v>Ok</v>
      </c>
    </row>
    <row r="59" spans="3:22" ht="10.5">
      <c r="C59" s="64">
        <v>43738</v>
      </c>
      <c r="D59" s="29"/>
      <c r="E59" s="29"/>
      <c r="F59" s="63">
        <v>115.4</v>
      </c>
      <c r="G59" s="29"/>
      <c r="H59" s="65">
        <f>IF(ISBLANK(F59),IF(COUNT(G59:G$84)=0,"",IF(ISBLANK(G59),AVERAGE(H58,H60),(1+G59)*H55)),F59)</f>
        <v>115.4</v>
      </c>
      <c r="I59" s="117">
        <f t="shared" si="1"/>
        <v>1.6740088105726914E-2</v>
      </c>
      <c r="K59" s="29"/>
      <c r="L59" s="29"/>
      <c r="V59" s="130" t="str">
        <f>IF(C59&gt;EOMONTH(DATE('Input|General'!$G$12,MONTH('Input|General'!$G$9),1),0),"Ok",IF(F59="","Check","Ok"))</f>
        <v>Ok</v>
      </c>
    </row>
    <row r="60" spans="3:22" ht="10.5">
      <c r="C60" s="64">
        <v>43830</v>
      </c>
      <c r="D60" s="29"/>
      <c r="E60" s="29"/>
      <c r="F60" s="63">
        <v>116.2</v>
      </c>
      <c r="G60" s="29"/>
      <c r="H60" s="65">
        <f>IF(ISBLANK(F60),IF(COUNT(G60:G$84)=0,"",IF(ISBLANK(G60),AVERAGE(H59,H61),(1+G60)*H56)),F60)</f>
        <v>116.2</v>
      </c>
      <c r="I60" s="117">
        <f t="shared" si="1"/>
        <v>1.8404907975460238E-2</v>
      </c>
      <c r="K60" s="29"/>
      <c r="L60" s="29"/>
      <c r="P60" s="206"/>
      <c r="V60" s="130" t="str">
        <f>IF(C60&gt;EOMONTH(DATE('Input|General'!$G$12,MONTH('Input|General'!$G$9),1),0),"Ok",IF(F60="","Check","Ok"))</f>
        <v>Ok</v>
      </c>
    </row>
    <row r="61" spans="3:22" ht="10.5">
      <c r="C61" s="64">
        <v>43921</v>
      </c>
      <c r="D61" s="29"/>
      <c r="E61" s="29"/>
      <c r="F61" s="63">
        <v>116.6</v>
      </c>
      <c r="G61" s="29"/>
      <c r="H61" s="65">
        <f>IF(ISBLANK(F61),IF(COUNT(G61:G$84)=0,"",IF(ISBLANK(G61),AVERAGE(H60,H62),(1+G61)*H57)),F61)</f>
        <v>116.6</v>
      </c>
      <c r="I61" s="117">
        <f t="shared" si="1"/>
        <v>2.1910604732690686E-2</v>
      </c>
      <c r="K61" s="29"/>
      <c r="L61" s="29"/>
      <c r="V61" s="130" t="str">
        <f>IF(C61&gt;EOMONTH(DATE('Input|General'!$G$12,MONTH('Input|General'!$G$9),1),0),"Ok",IF(F61="","Check","Ok"))</f>
        <v>Ok</v>
      </c>
    </row>
    <row r="62" spans="3:22" ht="10.5">
      <c r="C62" s="64">
        <v>44012</v>
      </c>
      <c r="D62" s="29"/>
      <c r="E62" s="29"/>
      <c r="F62" s="63">
        <v>114.4</v>
      </c>
      <c r="G62" s="29"/>
      <c r="H62" s="65">
        <f>IF(ISBLANK(F62),IF(COUNT(G62:G$84)=0,"",IF(ISBLANK(G62),AVERAGE(H61,H63),(1+G62)*H58)),F62)</f>
        <v>114.4</v>
      </c>
      <c r="I62" s="117">
        <f t="shared" si="1"/>
        <v>-3.4843205574912606E-3</v>
      </c>
      <c r="K62" s="29"/>
      <c r="L62" s="29"/>
      <c r="V62" s="130" t="str">
        <f>IF(C62&gt;EOMONTH(DATE('Input|General'!$G$12,MONTH('Input|General'!$G$9),1),0),"Ok",IF(F62="","Check","Ok"))</f>
        <v>Ok</v>
      </c>
    </row>
    <row r="63" spans="3:22" ht="10.5">
      <c r="C63" s="64">
        <v>44104</v>
      </c>
      <c r="D63" s="29"/>
      <c r="E63" s="29"/>
      <c r="F63" s="63">
        <v>116.2</v>
      </c>
      <c r="G63" s="29"/>
      <c r="H63" s="65">
        <f>IF(ISBLANK(F63),IF(COUNT(G63:G$84)=0,"",IF(ISBLANK(G63),AVERAGE(H62,H64),(1+G63)*H59)),F63)</f>
        <v>116.2</v>
      </c>
      <c r="I63" s="117">
        <f t="shared" si="1"/>
        <v>6.9324090121316573E-3</v>
      </c>
      <c r="K63" s="29"/>
      <c r="L63" s="29"/>
      <c r="V63" s="130" t="str">
        <f>IF(C63&gt;EOMONTH(DATE('Input|General'!$G$12,MONTH('Input|General'!$G$9),1),0),"Ok",IF(F63="","Check","Ok"))</f>
        <v>Ok</v>
      </c>
    </row>
    <row r="64" spans="3:22" ht="10.5">
      <c r="C64" s="64">
        <v>44196</v>
      </c>
      <c r="D64" s="29"/>
      <c r="E64" s="29"/>
      <c r="F64" s="63">
        <v>117.2</v>
      </c>
      <c r="G64" s="29"/>
      <c r="H64" s="65">
        <f>IF(ISBLANK(F64),IF(COUNT(G64:G$84)=0,"",IF(ISBLANK(G64),AVERAGE(H63,H65),(1+G64)*H60)),F64)</f>
        <v>117.2</v>
      </c>
      <c r="I64" s="117">
        <f t="shared" si="1"/>
        <v>8.6058519793459354E-3</v>
      </c>
      <c r="K64" s="29"/>
      <c r="L64" s="29"/>
      <c r="V64" s="130" t="str">
        <f>IF(C64&gt;EOMONTH(DATE('Input|General'!$G$12,MONTH('Input|General'!$G$9),1),0),"Ok",IF(F64="","Check","Ok"))</f>
        <v>Ok</v>
      </c>
    </row>
    <row r="65" spans="3:22" ht="10.5">
      <c r="C65" s="64">
        <v>44286</v>
      </c>
      <c r="D65" s="29"/>
      <c r="E65" s="29"/>
      <c r="F65" s="63">
        <v>117.9</v>
      </c>
      <c r="G65" s="29"/>
      <c r="H65" s="65">
        <f>IF(ISBLANK(F65),IF(COUNT(G65:G$84)=0,"",IF(ISBLANK(G65),AVERAGE(H64,H66),(1+G65)*H61)),F65)</f>
        <v>117.9</v>
      </c>
      <c r="I65" s="117">
        <f t="shared" si="1"/>
        <v>1.1149228130360234E-2</v>
      </c>
      <c r="K65" s="29"/>
      <c r="L65" s="29"/>
      <c r="V65" s="130" t="str">
        <f>IF(C65&gt;EOMONTH(DATE('Input|General'!$G$12,MONTH('Input|General'!$G$9),1),0),"Ok",IF(F65="","Check","Ok"))</f>
        <v>Ok</v>
      </c>
    </row>
    <row r="66" spans="3:22" ht="10.5">
      <c r="C66" s="64">
        <v>44377</v>
      </c>
      <c r="D66" s="29"/>
      <c r="E66" s="29"/>
      <c r="F66" s="63">
        <v>118.8</v>
      </c>
      <c r="G66" s="29"/>
      <c r="H66" s="65">
        <f>IF(ISBLANK(F66),IF(COUNT(G66:G$84)=0,"",IF(ISBLANK(G66),AVERAGE(H65,H67),(1+G66)*H62)),F66)</f>
        <v>118.8</v>
      </c>
      <c r="I66" s="117">
        <f t="shared" si="1"/>
        <v>3.8461538461538325E-2</v>
      </c>
      <c r="J66" s="183"/>
      <c r="K66" s="29"/>
      <c r="L66" s="29"/>
      <c r="V66" s="130" t="str">
        <f>IF(C66&gt;EOMONTH(DATE('Input|General'!$G$12,MONTH('Input|General'!$G$9),1),0),"Ok",IF(F66="","Check","Ok"))</f>
        <v>Ok</v>
      </c>
    </row>
    <row r="67" spans="3:22" ht="10.5">
      <c r="C67" s="64">
        <v>44469</v>
      </c>
      <c r="D67" s="29"/>
      <c r="E67" s="29"/>
      <c r="F67" s="63">
        <v>119.7</v>
      </c>
      <c r="G67" s="29"/>
      <c r="H67" s="65">
        <f>IF(ISBLANK(F67),IF(COUNT(G67:G$84)=0,"",IF(ISBLANK(G67),AVERAGE(H66,H68),(1+G67)*H63)),F67)</f>
        <v>119.7</v>
      </c>
      <c r="I67" s="117">
        <f t="shared" si="1"/>
        <v>3.0120481927710774E-2</v>
      </c>
      <c r="J67" s="183"/>
      <c r="K67" s="29"/>
      <c r="L67" s="29"/>
      <c r="V67" s="130" t="str">
        <f>IF(C67&gt;EOMONTH(DATE('Input|General'!$G$12,MONTH('Input|General'!$G$9),1),0),"Ok",IF(F67="","Check","Ok"))</f>
        <v>Ok</v>
      </c>
    </row>
    <row r="68" spans="3:22" ht="10.5">
      <c r="C68" s="64">
        <v>44561</v>
      </c>
      <c r="D68" s="29"/>
      <c r="E68" s="29"/>
      <c r="F68" s="63">
        <v>121.3</v>
      </c>
      <c r="G68" s="29"/>
      <c r="H68" s="65">
        <f>IF(ISBLANK(F68),IF(COUNT(G68:G$84)=0,"",IF(ISBLANK(G68),AVERAGE(H67,H69),(1+G68)*H64)),F68)</f>
        <v>121.3</v>
      </c>
      <c r="I68" s="117">
        <f t="shared" si="1"/>
        <v>3.4982935153583528E-2</v>
      </c>
      <c r="J68" s="183"/>
      <c r="K68" s="29"/>
      <c r="L68" s="29"/>
      <c r="V68" s="130" t="str">
        <f>IF(C68&gt;EOMONTH(DATE('Input|General'!$G$12,MONTH('Input|General'!$G$9),1),0),"Ok",IF(F68="","Check","Ok"))</f>
        <v>Ok</v>
      </c>
    </row>
    <row r="69" spans="3:22" ht="10.5">
      <c r="C69" s="64">
        <v>44651</v>
      </c>
      <c r="D69" s="29"/>
      <c r="E69" s="29"/>
      <c r="F69" s="63">
        <v>123.9</v>
      </c>
      <c r="G69" s="29"/>
      <c r="H69" s="65">
        <f>IF(ISBLANK(F69),IF(COUNT(G69:G$84)=0,"",IF(ISBLANK(G69),AVERAGE(H68,H70),(1+G69)*H65)),F69)</f>
        <v>123.9</v>
      </c>
      <c r="I69" s="117">
        <f t="shared" si="1"/>
        <v>5.0890585241730291E-2</v>
      </c>
      <c r="J69" s="183"/>
      <c r="K69" s="29"/>
      <c r="L69" s="29"/>
      <c r="V69" s="130" t="str">
        <f>IF(C69&gt;EOMONTH(DATE('Input|General'!$G$12,MONTH('Input|General'!$G$9),1),0),"Ok",IF(F69="","Check","Ok"))</f>
        <v>Ok</v>
      </c>
    </row>
    <row r="70" spans="3:22" ht="10.5">
      <c r="C70" s="64">
        <v>44742</v>
      </c>
      <c r="D70" s="29"/>
      <c r="E70" s="29"/>
      <c r="F70" s="63">
        <v>126.1</v>
      </c>
      <c r="G70" s="29"/>
      <c r="H70" s="65">
        <f>IF(ISBLANK(F70),IF(COUNT(G70:G$84)=0,"",IF(ISBLANK(G70),AVERAGE(H69,H71),(1+G70)*H66)),F70)</f>
        <v>126.1</v>
      </c>
      <c r="I70" s="117">
        <f t="shared" si="1"/>
        <v>6.1447811447811418E-2</v>
      </c>
      <c r="J70" s="183"/>
      <c r="K70" s="29"/>
      <c r="L70" s="29"/>
      <c r="V70" s="130" t="str">
        <f>IF(C70&gt;EOMONTH(DATE('Input|General'!$G$12,MONTH('Input|General'!$G$9),1),0),"Ok",IF(F70="","Check","Ok"))</f>
        <v>Ok</v>
      </c>
    </row>
    <row r="71" spans="3:22" ht="10.5">
      <c r="C71" s="64">
        <v>44834</v>
      </c>
      <c r="D71" s="29"/>
      <c r="E71" s="29"/>
      <c r="F71" s="63">
        <v>128.4</v>
      </c>
      <c r="G71" s="29"/>
      <c r="H71" s="65">
        <f>IF(ISBLANK(F71),IF(COUNT(G71:G$84)=0,"",IF(ISBLANK(G71),AVERAGE(H70,H72),(1+G71)*H67)),F71)</f>
        <v>128.4</v>
      </c>
      <c r="I71" s="117">
        <f t="shared" si="1"/>
        <v>7.268170426065157E-2</v>
      </c>
      <c r="J71" s="212"/>
      <c r="K71" s="29"/>
      <c r="L71" s="29"/>
      <c r="V71" s="130" t="str">
        <f>IF(C71&gt;EOMONTH(DATE('Input|General'!$G$12,MONTH('Input|General'!$G$9),1),0),"Ok",IF(F71="","Check","Ok"))</f>
        <v>Ok</v>
      </c>
    </row>
    <row r="72" spans="3:22" ht="10.5">
      <c r="C72" s="64">
        <v>44926</v>
      </c>
      <c r="D72" s="29"/>
      <c r="E72" s="209"/>
      <c r="F72" s="63">
        <v>130.80000000000001</v>
      </c>
      <c r="G72" s="29"/>
      <c r="H72" s="65">
        <f>IF(ISBLANK(F72),IF(COUNT(G72:G$84)=0,"",IF(ISBLANK(G72),AVERAGE(H71,H73),(1+G72)*H68)),F72)</f>
        <v>130.80000000000001</v>
      </c>
      <c r="I72" s="117">
        <f t="shared" si="1"/>
        <v>7.8318219291014124E-2</v>
      </c>
      <c r="J72" s="213"/>
      <c r="K72" s="29"/>
      <c r="L72" s="29"/>
      <c r="V72" s="130" t="str">
        <f>IF(C72&gt;EOMONTH(DATE('Input|General'!$G$12,MONTH('Input|General'!$G$9),1),0),"Ok",IF(F72="","Check","Ok"))</f>
        <v>Ok</v>
      </c>
    </row>
    <row r="73" spans="3:22" ht="10.5">
      <c r="C73" s="64">
        <v>45016</v>
      </c>
      <c r="D73" s="29"/>
      <c r="E73" s="209"/>
      <c r="F73" s="63">
        <v>132.6</v>
      </c>
      <c r="G73" s="29"/>
      <c r="H73" s="65">
        <f>IF(ISBLANK(F73),IF(COUNT(G73:G$84)=0,"",IF(ISBLANK(G73),AVERAGE(H72,H74),(1+G73)*H69)),F73)</f>
        <v>132.6</v>
      </c>
      <c r="I73" s="117">
        <f t="shared" si="1"/>
        <v>7.0217917675544639E-2</v>
      </c>
      <c r="J73" s="183"/>
      <c r="K73" s="29"/>
      <c r="L73" s="29"/>
      <c r="V73" s="130" t="str">
        <f>IF(C73&gt;EOMONTH(DATE('Input|General'!$G$12,MONTH('Input|General'!$G$9),1),0),"Ok",IF(I73="","Check","Ok"))</f>
        <v>Ok</v>
      </c>
    </row>
    <row r="74" spans="3:22" ht="10.5">
      <c r="C74" s="64">
        <v>45107</v>
      </c>
      <c r="D74" s="29"/>
      <c r="E74" s="209"/>
      <c r="F74" s="63">
        <v>133.69999999999999</v>
      </c>
      <c r="G74" s="29"/>
      <c r="H74" s="65">
        <f>IF(ISBLANK(F74),IF(COUNT(G74:G$84)=0,"",IF(ISBLANK(G74),AVERAGE(H73,H75),(1+G74)*H70)),F74)</f>
        <v>133.69999999999999</v>
      </c>
      <c r="I74" s="117">
        <f t="shared" si="1"/>
        <v>6.0269627279936566E-2</v>
      </c>
      <c r="J74" s="213"/>
      <c r="K74" s="29"/>
      <c r="L74" s="29"/>
      <c r="V74" s="130" t="str">
        <f>IF(C74&gt;EOMONTH(DATE('Input|General'!$G$12,MONTH('Input|General'!$G$9),1),0),"Ok",IF(I74="","Check","Ok"))</f>
        <v>Ok</v>
      </c>
    </row>
    <row r="75" spans="3:22" ht="10.5">
      <c r="C75" s="64">
        <v>45199</v>
      </c>
      <c r="D75" s="29"/>
      <c r="E75" s="234"/>
      <c r="F75" s="63">
        <v>135.30000000000001</v>
      </c>
      <c r="G75" s="60"/>
      <c r="H75" s="65">
        <f>IF(ISBLANK(F75),IF(COUNT(G75:G$84)=0,"",IF(ISBLANK(G75),AVERAGE(H74,H76),(1+G75)*H71)),F75)</f>
        <v>135.30000000000001</v>
      </c>
      <c r="I75" s="117">
        <f t="shared" si="1"/>
        <v>5.3738317757009435E-2</v>
      </c>
      <c r="J75" s="183"/>
      <c r="K75" s="29"/>
      <c r="L75" s="29"/>
      <c r="V75" s="130" t="str">
        <f>IF(C75&gt;EOMONTH(DATE('Input|General'!$G$12,MONTH('Input|General'!$G$9),1),0),"Ok",IF(I75="","Check","Ok"))</f>
        <v>Ok</v>
      </c>
    </row>
    <row r="76" spans="3:22" ht="10.5">
      <c r="C76" s="64">
        <v>45291</v>
      </c>
      <c r="D76" s="29"/>
      <c r="E76" s="234"/>
      <c r="F76" s="63">
        <v>136.1</v>
      </c>
      <c r="G76" s="60">
        <f>I76</f>
        <v>4.0519877675840865E-2</v>
      </c>
      <c r="H76" s="65">
        <f>IF(ISBLANK(F76),IF(COUNT(G76:G$84)=0,"",IF(ISBLANK(G76),AVERAGE(H75,H77),(1+G76)*H72)),F76)</f>
        <v>136.1</v>
      </c>
      <c r="I76" s="117">
        <f t="shared" si="1"/>
        <v>4.0519877675840865E-2</v>
      </c>
      <c r="J76" s="213"/>
      <c r="K76" s="29"/>
      <c r="L76" s="29"/>
      <c r="V76" s="130" t="str">
        <f>IF(C76&gt;EOMONTH(DATE('Input|General'!$G$12,MONTH('Input|General'!$G$9),1),0),"Ok",IF(I76="","Check","Ok"))</f>
        <v>Ok</v>
      </c>
    </row>
    <row r="77" spans="3:22" ht="10.5">
      <c r="C77" s="64">
        <v>45382</v>
      </c>
      <c r="D77" s="29"/>
      <c r="E77" s="234"/>
      <c r="F77" s="63">
        <v>137.10946346894943</v>
      </c>
      <c r="G77" s="60"/>
      <c r="H77" s="65">
        <f>IF(ISBLANK(F77),IF(COUNT(G77:G$84)=0,"",IF(ISBLANK(G77),AVERAGE(H76,H78),(1+G77)*H73)),F77)</f>
        <v>137.10946346894943</v>
      </c>
      <c r="I77" s="117">
        <f t="shared" si="1"/>
        <v>3.400802012782389E-2</v>
      </c>
      <c r="J77" s="183"/>
      <c r="K77" s="29"/>
      <c r="L77" s="29"/>
      <c r="V77" s="130" t="str">
        <f>IF(C77&gt;EOMONTH(DATE('Input|General'!$G$12,MONTH('Input|General'!$G$9),1),0),"Ok",IF(I77="","Check","Ok"))</f>
        <v>Ok</v>
      </c>
    </row>
    <row r="78" spans="3:22" ht="10.5">
      <c r="C78" s="64">
        <v>45473</v>
      </c>
      <c r="D78" s="29"/>
      <c r="E78" s="234"/>
      <c r="F78" s="63">
        <v>138.12641420090506</v>
      </c>
      <c r="G78" s="60">
        <f>I78</f>
        <v>3.3107062086051409E-2</v>
      </c>
      <c r="H78" s="65">
        <f>IF(ISBLANK(F78),IF(COUNT(G78:G$84)=0,"",IF(ISBLANK(G78),AVERAGE(H77,H79),(1+G78)*H74)),F78)</f>
        <v>138.12641420090506</v>
      </c>
      <c r="I78" s="117">
        <f t="shared" si="1"/>
        <v>3.3107062086051409E-2</v>
      </c>
      <c r="J78" s="213"/>
      <c r="K78" s="29"/>
      <c r="L78" s="29"/>
      <c r="V78" s="130" t="str">
        <f>IF(C78&gt;EOMONTH(DATE('Input|General'!$G$12,MONTH('Input|General'!$G$9),1),0),"Ok",IF(I78="","Check","Ok"))</f>
        <v>Ok</v>
      </c>
    </row>
    <row r="79" spans="3:22" ht="10.5">
      <c r="C79" s="64">
        <v>45565</v>
      </c>
      <c r="D79" s="29"/>
      <c r="E79" s="234"/>
      <c r="F79" s="63">
        <v>139.15090772943404</v>
      </c>
      <c r="G79" s="60"/>
      <c r="H79" s="65">
        <f>IF(ISBLANK(F79),IF(COUNT(G79:G$84)=0,"",IF(ISBLANK(G79),AVERAGE(H78,H80),(1+G79)*H75)),F79)</f>
        <v>139.15090772943404</v>
      </c>
      <c r="I79" s="117">
        <f t="shared" si="1"/>
        <v>2.8461993565661592E-2</v>
      </c>
      <c r="J79" s="213"/>
      <c r="K79" s="29"/>
      <c r="L79" s="29"/>
      <c r="V79" s="130" t="str">
        <f>IF(C79&gt;EOMONTH(DATE('Input|General'!$G$12,MONTH('Input|General'!$G$9),1),0),"Ok",IF(I79="","Check","Ok"))</f>
        <v>Ok</v>
      </c>
    </row>
    <row r="80" spans="3:22" ht="10.5">
      <c r="C80" s="64">
        <v>45657</v>
      </c>
      <c r="D80" s="29"/>
      <c r="E80" s="234"/>
      <c r="F80" s="63">
        <v>140.18299999999994</v>
      </c>
      <c r="G80" s="60">
        <f>I80</f>
        <v>2.9999999999999583E-2</v>
      </c>
      <c r="H80" s="65">
        <f>IF(ISBLANK(F80),IF(COUNT(G80:G$84)=0,"",IF(ISBLANK(G80),AVERAGE(H79,H81),(1+G80)*H76)),F80)</f>
        <v>140.18299999999994</v>
      </c>
      <c r="I80" s="117">
        <f t="shared" si="1"/>
        <v>2.9999999999999583E-2</v>
      </c>
      <c r="J80" s="213"/>
      <c r="K80" s="29"/>
      <c r="L80" s="29"/>
      <c r="V80" s="130" t="str">
        <f>IF(C80&gt;EOMONTH(DATE('Input|General'!$G$12,MONTH('Input|General'!$G$9),1),0),"Ok",IF(I80="","Check","Ok"))</f>
        <v>Ok</v>
      </c>
    </row>
    <row r="81" spans="1:50" ht="10.5">
      <c r="C81" s="64">
        <v>45747</v>
      </c>
      <c r="D81" s="29"/>
      <c r="E81" s="190"/>
      <c r="F81" s="63">
        <v>141.13692362992532</v>
      </c>
      <c r="G81" s="60"/>
      <c r="H81" s="65">
        <f>IF(ISBLANK(F81),IF(COUNT(G81:G$84)=0,"",IF(ISBLANK(G81),AVERAGE(H80,H82),(1+G81)*H77)),F81)</f>
        <v>141.13692362992532</v>
      </c>
      <c r="I81" s="117">
        <f t="shared" si="1"/>
        <v>2.9374049457118412E-2</v>
      </c>
      <c r="J81" s="183"/>
      <c r="K81" s="29"/>
      <c r="L81" s="29"/>
      <c r="V81" s="130" t="str">
        <f>IF(C81&gt;EOMONTH(DATE('Input|General'!$G$12,MONTH('Input|General'!$G$9),1),0),"Ok",IF(I81="","Check","Ok"))</f>
        <v>Ok</v>
      </c>
    </row>
    <row r="82" spans="1:50" ht="10.5">
      <c r="C82" s="64">
        <v>45838</v>
      </c>
      <c r="D82" s="29"/>
      <c r="E82" s="190"/>
      <c r="F82" s="63">
        <v>142.09733856258879</v>
      </c>
      <c r="G82" s="60">
        <f>I82</f>
        <v>2.8748479316258901E-2</v>
      </c>
      <c r="H82" s="65">
        <f>IF(ISBLANK(F82),IF(COUNT(G82:G$84)=0,"",IF(ISBLANK(G82),AVERAGE(H81,H83),(1+G82)*H78)),F82)</f>
        <v>142.09733856258879</v>
      </c>
      <c r="I82" s="117">
        <f t="shared" si="1"/>
        <v>2.8748479316258901E-2</v>
      </c>
      <c r="J82" s="29"/>
      <c r="K82" s="29"/>
      <c r="L82" s="29"/>
      <c r="V82" s="130" t="str">
        <f>IF(C82&gt;EOMONTH(DATE('Input|General'!$G$12,MONTH('Input|General'!$G$9),1),0),"Ok",IF(I82="","Check","Ok"))</f>
        <v>Ok</v>
      </c>
    </row>
    <row r="83" spans="1:50" ht="10.5">
      <c r="C83" s="64">
        <v>45930</v>
      </c>
      <c r="D83" s="29"/>
      <c r="E83" s="190"/>
      <c r="F83" s="63">
        <v>143.06428897030131</v>
      </c>
      <c r="G83" s="60"/>
      <c r="H83" s="65">
        <f>IF(ISBLANK(F83),IF(COUNT(G83:G$84)=0,"",IF(ISBLANK(G83),AVERAGE(H82,H84),(1+G83)*H79)),F83)</f>
        <v>143.06428897030131</v>
      </c>
      <c r="I83" s="117">
        <f t="shared" si="1"/>
        <v>2.8123289346243308E-2</v>
      </c>
      <c r="J83" s="29"/>
      <c r="K83" s="29"/>
      <c r="L83" s="29"/>
      <c r="V83" s="130" t="str">
        <f>IF(C83&gt;EOMONTH(DATE('Input|General'!$G$12,MONTH('Input|General'!$G$9),1),0),"Ok",IF(I83="","Check","Ok"))</f>
        <v>Ok</v>
      </c>
    </row>
    <row r="84" spans="1:50" ht="10.5">
      <c r="C84" s="64">
        <v>46022</v>
      </c>
      <c r="D84" s="29"/>
      <c r="E84" s="190"/>
      <c r="F84" s="63">
        <v>144.03781932595959</v>
      </c>
      <c r="G84" s="60">
        <f>I84</f>
        <v>2.7498479316034441E-2</v>
      </c>
      <c r="H84" s="65">
        <f>IF(ISBLANK(F84),IF(COUNT(G84:G$84)=0,"",IF(ISBLANK(G84),AVERAGE(H83,H85),(1+G84)*H80)),F84)</f>
        <v>144.03781932595959</v>
      </c>
      <c r="I84" s="117">
        <f t="shared" si="1"/>
        <v>2.7498479316034441E-2</v>
      </c>
      <c r="J84" s="29"/>
      <c r="K84" s="29"/>
      <c r="L84" s="29"/>
      <c r="V84" s="130" t="str">
        <f>IF(C84&gt;EOMONTH(DATE('Input|General'!$G$12,MONTH('Input|General'!$G$9),1),0),"Ok",IF(I84="","Check","Ok"))</f>
        <v>Ok</v>
      </c>
    </row>
    <row r="85" spans="1:50" ht="10.5">
      <c r="C85" s="64">
        <v>46112</v>
      </c>
      <c r="D85" s="29"/>
      <c r="E85" s="190"/>
      <c r="F85" s="63">
        <v>145.01797440509156</v>
      </c>
      <c r="G85" s="60"/>
      <c r="H85" s="65">
        <f>IF(ISBLANK(F85),IF(COUNT(G$84:G85)=0,"",IF(ISBLANK(G85),AVERAGE(H84,H86),(1+G85)*H81)),F85)</f>
        <v>145.01797440509156</v>
      </c>
      <c r="I85" s="117">
        <f t="shared" si="1"/>
        <v>2.7498479316034441E-2</v>
      </c>
      <c r="J85" s="29"/>
      <c r="K85" s="29"/>
      <c r="L85" s="29"/>
      <c r="V85" s="130" t="str">
        <f>IF(C85&gt;EOMONTH(DATE('Input|General'!$G$12,MONTH('Input|General'!$G$9),1),0),"Ok",IF(I85="","Check","Ok"))</f>
        <v>Ok</v>
      </c>
    </row>
    <row r="86" spans="1:50" ht="10.5">
      <c r="C86" s="64">
        <v>46203</v>
      </c>
      <c r="D86" s="29"/>
      <c r="E86" s="190"/>
      <c r="F86" s="63">
        <v>146.00479928791569</v>
      </c>
      <c r="G86" s="60">
        <f>I86</f>
        <v>2.7498479316034441E-2</v>
      </c>
      <c r="H86" s="65">
        <f>IF(ISBLANK(F86),IF(COUNT(G$84:G86)=0,"",IF(ISBLANK(G86),AVERAGE(H85,H87),(1+G86)*H82)),F86)</f>
        <v>146.00479928791569</v>
      </c>
      <c r="I86" s="117">
        <f t="shared" si="1"/>
        <v>2.7498479316034441E-2</v>
      </c>
      <c r="J86" s="29"/>
      <c r="K86" s="29"/>
      <c r="L86" s="29"/>
      <c r="V86" s="130" t="str">
        <f>IF(C86&gt;EOMONTH(DATE('Input|General'!$G$12,MONTH('Input|General'!$G$9),1),0),"Ok",IF(I86="","Check","Ok"))</f>
        <v>Ok</v>
      </c>
    </row>
    <row r="87" spans="1:50" ht="10.5">
      <c r="F87" s="29"/>
      <c r="G87" s="29"/>
      <c r="H87" s="29"/>
      <c r="I87" s="29"/>
      <c r="J87" s="29"/>
      <c r="K87" s="29"/>
      <c r="L87" s="29"/>
      <c r="V87" s="131"/>
    </row>
    <row r="88" spans="1:50" s="103" customFormat="1" ht="13">
      <c r="A88" s="94"/>
      <c r="B88" s="95" t="s">
        <v>21</v>
      </c>
      <c r="C88" s="94"/>
      <c r="D88" s="94"/>
      <c r="E88" s="94"/>
      <c r="F88" s="94"/>
      <c r="G88" s="94"/>
      <c r="H88" s="94"/>
      <c r="I88" s="96"/>
      <c r="J88" s="96"/>
      <c r="K88" s="96"/>
      <c r="L88" s="96"/>
      <c r="M88" s="97"/>
      <c r="N88" s="98"/>
      <c r="O88" s="97"/>
      <c r="P88" s="98"/>
      <c r="Q88" s="97"/>
      <c r="R88" s="97"/>
      <c r="S88" s="97"/>
      <c r="T88" s="97"/>
      <c r="U88" s="97"/>
      <c r="V88" s="97"/>
      <c r="W88" s="97"/>
      <c r="X88" s="97"/>
      <c r="Y88" s="98"/>
      <c r="Z88" s="98"/>
      <c r="AA88" s="99"/>
      <c r="AB88" s="99"/>
      <c r="AC88" s="99"/>
      <c r="AD88" s="99"/>
      <c r="AE88" s="100"/>
      <c r="AF88" s="101"/>
      <c r="AG88" s="101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</row>
    <row r="89" spans="1:50" ht="10" hidden="1">
      <c r="J89" s="32"/>
      <c r="K89" s="32"/>
    </row>
    <row r="90" spans="1:50" ht="10" hidden="1">
      <c r="J90" s="32"/>
      <c r="K90" s="32"/>
    </row>
    <row r="91" spans="1:50" s="30" customFormat="1" ht="10" hidden="1">
      <c r="A91" s="29"/>
      <c r="B91" s="29"/>
      <c r="C91" s="29"/>
      <c r="J91" s="32"/>
      <c r="K91" s="32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s="30" customFormat="1" ht="10" hidden="1">
      <c r="A92" s="29"/>
      <c r="B92" s="29"/>
      <c r="C92" s="29"/>
      <c r="J92" s="32"/>
      <c r="K92" s="32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s="30" customFormat="1" ht="10" hidden="1">
      <c r="A93" s="29"/>
      <c r="B93" s="29"/>
      <c r="C93" s="29"/>
      <c r="J93" s="32"/>
      <c r="K93" s="32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s="30" customFormat="1" ht="10" hidden="1">
      <c r="A94" s="29"/>
      <c r="B94" s="29"/>
      <c r="C94" s="29"/>
      <c r="J94" s="32"/>
      <c r="K94" s="32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s="30" customFormat="1" ht="10" hidden="1">
      <c r="A95" s="29"/>
      <c r="B95" s="29"/>
      <c r="C95" s="29"/>
      <c r="J95" s="32"/>
      <c r="K95" s="32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s="30" customFormat="1" ht="10" hidden="1">
      <c r="A96" s="29"/>
      <c r="B96" s="29"/>
      <c r="C96" s="29"/>
      <c r="J96" s="32"/>
      <c r="K96" s="32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1:50" s="30" customFormat="1" ht="10" hidden="1">
      <c r="A97" s="29"/>
      <c r="B97" s="29"/>
      <c r="C97" s="29"/>
      <c r="J97" s="32"/>
      <c r="K97" s="32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1:50" s="30" customFormat="1" ht="10" hidden="1">
      <c r="A98" s="29"/>
      <c r="B98" s="29"/>
      <c r="C98" s="29"/>
      <c r="J98" s="32"/>
      <c r="K98" s="32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</row>
  </sheetData>
  <conditionalFormatting sqref="V1">
    <cfRule type="cellIs" dxfId="155" priority="6" operator="equal">
      <formula>"Check"</formula>
    </cfRule>
    <cfRule type="cellIs" dxfId="154" priority="7" operator="equal">
      <formula>"Ok"</formula>
    </cfRule>
  </conditionalFormatting>
  <conditionalFormatting sqref="V9:V87 Z14:Z87">
    <cfRule type="cellIs" dxfId="153" priority="2" operator="equal">
      <formula>"Check"</formula>
    </cfRule>
    <cfRule type="cellIs" dxfId="152" priority="3" operator="equal">
      <formula>"Ok"</formula>
    </cfRule>
  </conditionalFormatting>
  <conditionalFormatting sqref="Y1">
    <cfRule type="cellIs" dxfId="151" priority="8" operator="equal">
      <formula>"Check"</formula>
    </cfRule>
    <cfRule type="cellIs" dxfId="150" priority="9" operator="equal">
      <formula>"Ok"</formula>
    </cfRule>
  </conditionalFormatting>
  <dataValidations count="2">
    <dataValidation type="list" allowBlank="1" showInputMessage="1" showErrorMessage="1" sqref="I87" xr:uid="{00000000-0002-0000-0200-000000000000}">
      <formula1>"Real 2010,Real 2011,Real 2012,Real 2013,Real 2014,Real 2015,Nominal"</formula1>
    </dataValidation>
    <dataValidation type="list" allowBlank="1" showInputMessage="1" showErrorMessage="1" sqref="L12:L87" xr:uid="{00000000-0002-0000-0200-000001000000}">
      <formula1>#REF!</formula1>
    </dataValidation>
  </dataValidations>
  <hyperlinks>
    <hyperlink ref="M1" location="Index!A1" display="Back to Index" xr:uid="{00000000-0004-0000-0200-000000000000}"/>
    <hyperlink ref="X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3"/>
  <sheetViews>
    <sheetView showGridLines="0" topLeftCell="A24" zoomScale="115" zoomScaleNormal="115" workbookViewId="0">
      <selection activeCell="C53" sqref="C53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3" width="10.77734375" style="103" customWidth="1"/>
    <col min="24" max="16384" width="9.33203125" style="103" hidden="1"/>
  </cols>
  <sheetData>
    <row r="1" spans="1:23" ht="15.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3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85</v>
      </c>
      <c r="S1" s="76" t="str">
        <f>IF(COUNTA($W$29:$W$266)=COUNTIF($W$29:$W$266,"OK"),"OK","Check")</f>
        <v>OK</v>
      </c>
      <c r="T1" s="69"/>
      <c r="U1" s="182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ht="10.5">
      <c r="A3" s="132"/>
      <c r="B3" s="132"/>
      <c r="C3" s="133"/>
      <c r="D3" s="134"/>
      <c r="E3" s="134"/>
      <c r="F3" s="134"/>
      <c r="G3" s="134"/>
      <c r="H3" s="134"/>
      <c r="I3" s="134"/>
      <c r="J3" s="155" t="s">
        <v>125</v>
      </c>
      <c r="K3" s="154"/>
      <c r="L3" s="154"/>
      <c r="M3" s="154"/>
      <c r="N3" s="154"/>
      <c r="O3" s="154"/>
      <c r="P3" s="154"/>
      <c r="Q3" s="154"/>
      <c r="R3" s="154"/>
      <c r="S3" s="154"/>
      <c r="T3" s="135"/>
      <c r="U3" s="135"/>
      <c r="V3" s="135"/>
      <c r="W3" s="135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3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10.5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S10" si="0">IF(YEAR(J$4)&lt;=PPLastYear,J$4,"")</f>
        <v>44713</v>
      </c>
      <c r="K10" s="156">
        <f t="shared" si="0"/>
        <v>45078</v>
      </c>
      <c r="L10" s="156">
        <f t="shared" si="0"/>
        <v>45444</v>
      </c>
      <c r="M10" s="156">
        <f t="shared" si="0"/>
        <v>45809</v>
      </c>
      <c r="N10" s="156">
        <f t="shared" si="0"/>
        <v>46174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36" t="s">
        <v>57</v>
      </c>
      <c r="U10" s="137"/>
      <c r="V10" s="137"/>
      <c r="W10" s="29"/>
    </row>
    <row r="11" spans="1:23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227" t="str">
        <f>units</f>
        <v>$millions</v>
      </c>
      <c r="F13" s="191">
        <v>44348</v>
      </c>
      <c r="G13" s="32"/>
      <c r="H13" s="32"/>
      <c r="I13" s="30"/>
      <c r="J13" s="230">
        <v>94.860171040059456</v>
      </c>
      <c r="K13" s="230">
        <v>93.675820439874371</v>
      </c>
      <c r="L13" s="230">
        <v>96.066952196434087</v>
      </c>
      <c r="M13" s="230">
        <v>95.618723790251948</v>
      </c>
      <c r="N13" s="230">
        <v>96.520160069101834</v>
      </c>
      <c r="O13" s="150"/>
      <c r="P13" s="150"/>
      <c r="Q13" s="150"/>
      <c r="R13" s="150"/>
      <c r="S13" s="150"/>
      <c r="T13" s="29" t="s">
        <v>176</v>
      </c>
      <c r="U13" s="29"/>
      <c r="V13" s="29"/>
      <c r="W13" s="29"/>
    </row>
    <row r="14" spans="1:23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10.5">
      <c r="A15" s="29"/>
      <c r="B15" s="29"/>
      <c r="C15" s="138" t="s">
        <v>77</v>
      </c>
      <c r="D15" s="139" t="str">
        <f>D13</f>
        <v>AER</v>
      </c>
      <c r="E15" s="225" t="str">
        <f>E13</f>
        <v>$millions</v>
      </c>
      <c r="F15" s="226">
        <f>$F$13</f>
        <v>44348</v>
      </c>
      <c r="G15" s="32"/>
      <c r="H15" s="32"/>
      <c r="I15" s="30"/>
      <c r="J15" s="129">
        <f>J13</f>
        <v>94.860171040059456</v>
      </c>
      <c r="K15" s="129">
        <f t="shared" ref="K15:S15" si="1">K13</f>
        <v>93.675820439874371</v>
      </c>
      <c r="L15" s="129">
        <f t="shared" si="1"/>
        <v>96.066952196434087</v>
      </c>
      <c r="M15" s="129">
        <f t="shared" si="1"/>
        <v>95.618723790251948</v>
      </c>
      <c r="N15" s="129">
        <f t="shared" si="1"/>
        <v>96.520160069101834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10.5">
      <c r="A17" s="29"/>
      <c r="B17" s="29"/>
      <c r="C17" s="67" t="s">
        <v>165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 t="shared" ref="E19:E27" si="2">units</f>
        <v>$millions</v>
      </c>
      <c r="F19" s="158">
        <f>$F$13</f>
        <v>44348</v>
      </c>
      <c r="G19" s="32"/>
      <c r="H19" s="32"/>
      <c r="I19" s="30"/>
      <c r="J19" s="230">
        <v>0.96120197597728219</v>
      </c>
      <c r="K19" s="230">
        <v>0.98049372817257308</v>
      </c>
      <c r="L19" s="230">
        <v>0.99170523587454384</v>
      </c>
      <c r="M19" s="230">
        <v>0.99612030972142207</v>
      </c>
      <c r="N19" s="230">
        <v>0.99261470845399169</v>
      </c>
      <c r="O19" s="150"/>
      <c r="P19" s="150"/>
      <c r="Q19" s="150"/>
      <c r="R19" s="150"/>
      <c r="S19" s="150"/>
      <c r="T19" s="29" t="s">
        <v>186</v>
      </c>
      <c r="U19" s="29"/>
      <c r="V19" s="29"/>
      <c r="W19" s="29"/>
    </row>
    <row r="20" spans="1:23">
      <c r="A20" s="29"/>
      <c r="B20" s="29"/>
      <c r="C20" s="61" t="s">
        <v>192</v>
      </c>
      <c r="D20" s="30" t="s">
        <v>73</v>
      </c>
      <c r="E20" s="30" t="str">
        <f t="shared" si="2"/>
        <v>$millions</v>
      </c>
      <c r="F20" s="158">
        <f t="shared" ref="F20:F27" si="3">$F$13</f>
        <v>44348</v>
      </c>
      <c r="G20" s="32"/>
      <c r="H20" s="32"/>
      <c r="I20" s="30"/>
      <c r="J20" s="230">
        <v>2.279415353678681E-2</v>
      </c>
      <c r="K20" s="230">
        <v>2.279415353678681E-2</v>
      </c>
      <c r="L20" s="230">
        <v>2.279415353678681E-2</v>
      </c>
      <c r="M20" s="230">
        <v>2.279415353678681E-2</v>
      </c>
      <c r="N20" s="230">
        <v>2.279415353678681E-2</v>
      </c>
      <c r="O20" s="150"/>
      <c r="P20" s="150"/>
      <c r="Q20" s="150"/>
      <c r="R20" s="150"/>
      <c r="S20" s="150"/>
      <c r="T20" s="29"/>
      <c r="U20" s="29"/>
      <c r="V20" s="29"/>
      <c r="W20" s="29"/>
    </row>
    <row r="21" spans="1:23">
      <c r="A21" s="29"/>
      <c r="B21" s="29"/>
      <c r="C21" s="61" t="s">
        <v>211</v>
      </c>
      <c r="D21" s="30" t="s">
        <v>73</v>
      </c>
      <c r="E21" s="30" t="str">
        <f t="shared" si="2"/>
        <v>$millions</v>
      </c>
      <c r="F21" s="158">
        <f t="shared" si="3"/>
        <v>44348</v>
      </c>
      <c r="G21" s="32"/>
      <c r="H21" s="32"/>
      <c r="I21" s="30"/>
      <c r="J21" s="230">
        <v>1.4913873274760623</v>
      </c>
      <c r="K21" s="230">
        <v>0.4422514431889551</v>
      </c>
      <c r="L21" s="230">
        <v>1.8847144600925432</v>
      </c>
      <c r="M21" s="230">
        <v>0.6315758384931115</v>
      </c>
      <c r="N21" s="230">
        <v>0.40341419837997139</v>
      </c>
      <c r="O21" s="150"/>
      <c r="P21" s="150"/>
      <c r="Q21" s="150"/>
      <c r="R21" s="150"/>
      <c r="S21" s="150"/>
      <c r="T21" s="29"/>
      <c r="U21" s="29"/>
      <c r="V21" s="29"/>
      <c r="W21" s="29"/>
    </row>
    <row r="22" spans="1:23">
      <c r="A22" s="29"/>
      <c r="B22" s="29"/>
      <c r="C22" s="61"/>
      <c r="D22" s="30" t="s">
        <v>73</v>
      </c>
      <c r="E22" s="30" t="str">
        <f t="shared" si="2"/>
        <v>$millions</v>
      </c>
      <c r="F22" s="158">
        <f t="shared" si="3"/>
        <v>44348</v>
      </c>
      <c r="G22" s="32"/>
      <c r="H22" s="32"/>
      <c r="I22" s="30"/>
      <c r="J22" s="160"/>
      <c r="K22" s="160"/>
      <c r="L22" s="160"/>
      <c r="M22" s="160"/>
      <c r="N22" s="160"/>
      <c r="O22" s="150"/>
      <c r="P22" s="150"/>
      <c r="Q22" s="150"/>
      <c r="R22" s="150"/>
      <c r="S22" s="150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2"/>
        <v>$millions</v>
      </c>
      <c r="F23" s="158">
        <f t="shared" si="3"/>
        <v>44348</v>
      </c>
      <c r="G23" s="32"/>
      <c r="H23" s="32"/>
      <c r="I23" s="30"/>
      <c r="J23" s="160"/>
      <c r="K23" s="160"/>
      <c r="L23" s="160"/>
      <c r="M23" s="160"/>
      <c r="N23" s="160"/>
      <c r="O23" s="150"/>
      <c r="P23" s="150"/>
      <c r="Q23" s="150"/>
      <c r="R23" s="150"/>
      <c r="S23" s="150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2"/>
        <v>$millions</v>
      </c>
      <c r="F24" s="158">
        <f t="shared" si="3"/>
        <v>44348</v>
      </c>
      <c r="G24" s="32"/>
      <c r="H24" s="32"/>
      <c r="I24" s="30"/>
      <c r="J24" s="160"/>
      <c r="K24" s="160"/>
      <c r="L24" s="160"/>
      <c r="M24" s="160"/>
      <c r="N24" s="160"/>
      <c r="O24" s="150"/>
      <c r="P24" s="150"/>
      <c r="Q24" s="150"/>
      <c r="R24" s="150"/>
      <c r="S24" s="150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2"/>
        <v>$millions</v>
      </c>
      <c r="F25" s="158">
        <f t="shared" si="3"/>
        <v>44348</v>
      </c>
      <c r="G25" s="32"/>
      <c r="H25" s="32"/>
      <c r="I25" s="30"/>
      <c r="J25" s="160"/>
      <c r="K25" s="160"/>
      <c r="L25" s="160"/>
      <c r="M25" s="160"/>
      <c r="N25" s="160"/>
      <c r="O25" s="150"/>
      <c r="P25" s="150"/>
      <c r="Q25" s="150"/>
      <c r="R25" s="150"/>
      <c r="S25" s="150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2"/>
        <v>$millions</v>
      </c>
      <c r="F26" s="158">
        <f t="shared" si="3"/>
        <v>44348</v>
      </c>
      <c r="G26" s="32"/>
      <c r="H26" s="32"/>
      <c r="I26" s="30"/>
      <c r="J26" s="160"/>
      <c r="K26" s="160"/>
      <c r="L26" s="160"/>
      <c r="M26" s="160"/>
      <c r="N26" s="160"/>
      <c r="O26" s="150"/>
      <c r="P26" s="150"/>
      <c r="Q26" s="150"/>
      <c r="R26" s="150"/>
      <c r="S26" s="150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2"/>
        <v>$millions</v>
      </c>
      <c r="F27" s="158">
        <f t="shared" si="3"/>
        <v>44348</v>
      </c>
      <c r="G27" s="32"/>
      <c r="H27" s="32"/>
      <c r="I27" s="30"/>
      <c r="J27" s="160"/>
      <c r="K27" s="160"/>
      <c r="L27" s="160"/>
      <c r="M27" s="160"/>
      <c r="N27" s="160"/>
      <c r="O27" s="150"/>
      <c r="P27" s="150"/>
      <c r="Q27" s="150"/>
      <c r="R27" s="150"/>
      <c r="S27" s="150"/>
      <c r="T27" s="29"/>
      <c r="U27" s="29"/>
      <c r="V27" s="29"/>
      <c r="W27" s="29"/>
    </row>
    <row r="28" spans="1:23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 ht="10.5">
      <c r="A29" s="29"/>
      <c r="B29" s="29"/>
      <c r="C29" s="138" t="s">
        <v>163</v>
      </c>
      <c r="D29" s="139" t="s">
        <v>30</v>
      </c>
      <c r="E29" s="225" t="str">
        <f>$E$57</f>
        <v>$millions</v>
      </c>
      <c r="F29" s="226">
        <f>$F$13</f>
        <v>44348</v>
      </c>
      <c r="G29" s="32"/>
      <c r="H29" s="32"/>
      <c r="I29" s="30"/>
      <c r="J29" s="129">
        <f>SUM(J19:J27)</f>
        <v>2.4753834569901314</v>
      </c>
      <c r="K29" s="129">
        <f t="shared" ref="K29:S29" si="4">SUM(K19:K27)</f>
        <v>1.4455393248983148</v>
      </c>
      <c r="L29" s="129">
        <f t="shared" si="4"/>
        <v>2.899213849503874</v>
      </c>
      <c r="M29" s="129">
        <f t="shared" si="4"/>
        <v>1.6504903017513204</v>
      </c>
      <c r="N29" s="129">
        <f t="shared" si="4"/>
        <v>1.4188230603707499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3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0" t="s">
        <v>23</v>
      </c>
      <c r="K33" s="160" t="s">
        <v>23</v>
      </c>
      <c r="L33" s="160" t="s">
        <v>23</v>
      </c>
      <c r="M33" s="160" t="s">
        <v>78</v>
      </c>
      <c r="N33" s="160" t="s">
        <v>78</v>
      </c>
      <c r="O33" s="160"/>
      <c r="P33" s="160"/>
      <c r="Q33" s="160"/>
      <c r="R33" s="160"/>
      <c r="S33" s="160"/>
      <c r="T33" s="29"/>
      <c r="U33" s="29"/>
      <c r="V33" s="29"/>
      <c r="W33" s="29"/>
    </row>
    <row r="34" spans="1:23" ht="10.5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6">
        <f t="shared" ref="J34:S34" si="5">IF(YEAR(J$4)&lt;=PPLastYear,J$4,"")</f>
        <v>44713</v>
      </c>
      <c r="K34" s="156">
        <f t="shared" si="5"/>
        <v>45078</v>
      </c>
      <c r="L34" s="156">
        <f t="shared" si="5"/>
        <v>45444</v>
      </c>
      <c r="M34" s="156">
        <f t="shared" si="5"/>
        <v>45809</v>
      </c>
      <c r="N34" s="156">
        <f t="shared" si="5"/>
        <v>46174</v>
      </c>
      <c r="O34" s="156" t="str">
        <f t="shared" si="5"/>
        <v/>
      </c>
      <c r="P34" s="156" t="str">
        <f t="shared" si="5"/>
        <v/>
      </c>
      <c r="Q34" s="156" t="str">
        <f t="shared" si="5"/>
        <v/>
      </c>
      <c r="R34" s="156" t="str">
        <f t="shared" si="5"/>
        <v/>
      </c>
      <c r="S34" s="156" t="str">
        <f t="shared" si="5"/>
        <v/>
      </c>
      <c r="T34" s="136" t="s">
        <v>57</v>
      </c>
      <c r="U34" s="137"/>
      <c r="V34" s="137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190"/>
      <c r="L36" s="190"/>
      <c r="M36" s="190"/>
      <c r="N36" s="190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27" t="str">
        <f>units</f>
        <v>$millions</v>
      </c>
      <c r="F37" s="228" t="s">
        <v>104</v>
      </c>
      <c r="G37" s="32"/>
      <c r="H37" s="32"/>
      <c r="I37" s="30"/>
      <c r="J37" s="230">
        <v>74.324523810000002</v>
      </c>
      <c r="K37" s="230">
        <v>81.809777800000006</v>
      </c>
      <c r="L37" s="230">
        <v>90.854254880000013</v>
      </c>
      <c r="M37" s="230">
        <v>90.98685279351001</v>
      </c>
      <c r="N37" s="230">
        <v>96.377823286962453</v>
      </c>
      <c r="O37" s="207"/>
      <c r="P37" s="150"/>
      <c r="Q37" s="150"/>
      <c r="R37" s="150"/>
      <c r="S37" s="150"/>
      <c r="T37" s="29" t="s">
        <v>177</v>
      </c>
      <c r="U37" s="29"/>
      <c r="V37" s="29"/>
      <c r="W37" s="29"/>
    </row>
    <row r="38" spans="1:23">
      <c r="A38" s="29"/>
      <c r="B38" s="29"/>
      <c r="C38" s="111"/>
      <c r="D38" s="30"/>
      <c r="E38" s="30"/>
      <c r="F38" s="158"/>
      <c r="G38" s="32"/>
      <c r="H38" s="32"/>
      <c r="I38" s="30"/>
      <c r="J38" s="160"/>
      <c r="K38" s="160"/>
      <c r="L38" s="160"/>
      <c r="M38" s="160"/>
      <c r="N38" s="160"/>
      <c r="O38" s="150"/>
      <c r="P38" s="150"/>
      <c r="Q38" s="150"/>
      <c r="R38" s="150"/>
      <c r="S38" s="150"/>
      <c r="T38" s="29"/>
      <c r="U38" s="29"/>
      <c r="V38" s="29"/>
      <c r="W38" s="29"/>
    </row>
    <row r="39" spans="1:23" ht="10.5">
      <c r="A39" s="29"/>
      <c r="B39" s="29"/>
      <c r="C39" s="67" t="s">
        <v>191</v>
      </c>
      <c r="D39" s="30"/>
      <c r="E39" s="30"/>
      <c r="F39" s="158"/>
      <c r="G39" s="32"/>
      <c r="H39" s="32"/>
      <c r="I39" s="30"/>
      <c r="J39" s="160"/>
      <c r="K39" s="160"/>
      <c r="L39" s="160"/>
      <c r="M39" s="160"/>
      <c r="N39" s="160"/>
      <c r="O39" s="150"/>
      <c r="P39" s="150"/>
      <c r="Q39" s="150"/>
      <c r="R39" s="150"/>
      <c r="S39" s="150"/>
      <c r="T39" s="29"/>
      <c r="U39" s="29"/>
      <c r="V39" s="29"/>
      <c r="W39" s="29"/>
    </row>
    <row r="40" spans="1:23" ht="10.5">
      <c r="A40" s="29"/>
      <c r="B40" s="29"/>
      <c r="C40" s="67"/>
      <c r="D40" s="30"/>
      <c r="E40" s="30"/>
      <c r="F40" s="158"/>
      <c r="G40" s="32"/>
      <c r="H40" s="32"/>
      <c r="I40" s="30"/>
      <c r="J40" s="160"/>
      <c r="K40" s="160"/>
      <c r="L40" s="160"/>
      <c r="M40" s="160"/>
      <c r="N40" s="160"/>
      <c r="O40" s="150"/>
      <c r="P40" s="150"/>
      <c r="Q40" s="150"/>
      <c r="R40" s="150"/>
      <c r="S40" s="150"/>
      <c r="T40" s="29"/>
      <c r="U40" s="29"/>
      <c r="V40" s="29"/>
      <c r="W40" s="29"/>
    </row>
    <row r="41" spans="1:23">
      <c r="A41" s="29"/>
      <c r="B41" s="29"/>
      <c r="C41" s="61" t="s">
        <v>187</v>
      </c>
      <c r="D41" s="30" t="s">
        <v>79</v>
      </c>
      <c r="E41" s="30" t="str">
        <f>units</f>
        <v>$millions</v>
      </c>
      <c r="F41" s="158" t="str">
        <f>$F$37</f>
        <v>nominal</v>
      </c>
      <c r="G41" s="32"/>
      <c r="H41" s="32"/>
      <c r="I41" s="105"/>
      <c r="J41" s="230">
        <v>-0.77278391000000113</v>
      </c>
      <c r="K41" s="230">
        <v>-0.95883685000000007</v>
      </c>
      <c r="L41" s="230">
        <v>-0.98280777124999885</v>
      </c>
      <c r="M41" s="230">
        <v>0</v>
      </c>
      <c r="N41" s="230">
        <v>0</v>
      </c>
      <c r="O41" s="235"/>
      <c r="P41" s="150"/>
      <c r="Q41" s="150"/>
      <c r="R41" s="150"/>
      <c r="S41" s="150"/>
      <c r="T41" s="8" t="s">
        <v>229</v>
      </c>
      <c r="U41" s="29"/>
      <c r="V41" s="29"/>
      <c r="W41" s="29"/>
    </row>
    <row r="42" spans="1:23">
      <c r="A42" s="29"/>
      <c r="B42" s="29"/>
      <c r="C42" s="61" t="s">
        <v>212</v>
      </c>
      <c r="D42" s="30" t="s">
        <v>79</v>
      </c>
      <c r="E42" s="30" t="str">
        <f>units</f>
        <v>$millions</v>
      </c>
      <c r="F42" s="158" t="str">
        <f t="shared" ref="F42:F45" si="6">$F$37</f>
        <v>nominal</v>
      </c>
      <c r="G42" s="32"/>
      <c r="H42" s="32"/>
      <c r="I42" s="105"/>
      <c r="J42" s="230">
        <v>8.2926920000000001E-2</v>
      </c>
      <c r="K42" s="160">
        <v>0</v>
      </c>
      <c r="L42" s="230">
        <v>0</v>
      </c>
      <c r="M42" s="230">
        <v>0</v>
      </c>
      <c r="N42" s="230">
        <v>0</v>
      </c>
      <c r="O42" s="235"/>
      <c r="P42" s="150"/>
      <c r="Q42" s="150"/>
      <c r="R42" s="150"/>
      <c r="S42" s="150"/>
      <c r="T42" s="8" t="s">
        <v>213</v>
      </c>
      <c r="U42" s="29"/>
      <c r="V42" s="29"/>
      <c r="W42" s="29"/>
    </row>
    <row r="43" spans="1:23">
      <c r="A43" s="29"/>
      <c r="B43" s="29"/>
      <c r="C43" s="61"/>
      <c r="D43" s="30" t="s">
        <v>79</v>
      </c>
      <c r="E43" s="30" t="str">
        <f>units</f>
        <v>$millions</v>
      </c>
      <c r="F43" s="158" t="str">
        <f t="shared" si="6"/>
        <v>nominal</v>
      </c>
      <c r="G43" s="32"/>
      <c r="H43" s="32"/>
      <c r="I43" s="105"/>
      <c r="J43" s="160"/>
      <c r="K43" s="160"/>
      <c r="L43" s="160"/>
      <c r="M43" s="160"/>
      <c r="N43" s="160"/>
      <c r="O43" s="235"/>
      <c r="P43" s="150"/>
      <c r="Q43" s="150"/>
      <c r="R43" s="150"/>
      <c r="S43" s="150"/>
      <c r="T43" s="29"/>
      <c r="U43" s="29"/>
      <c r="V43" s="29"/>
      <c r="W43" s="29"/>
    </row>
    <row r="44" spans="1:23">
      <c r="A44" s="29"/>
      <c r="B44" s="29"/>
      <c r="C44" s="61"/>
      <c r="D44" s="30" t="s">
        <v>79</v>
      </c>
      <c r="E44" s="30" t="str">
        <f>units</f>
        <v>$millions</v>
      </c>
      <c r="F44" s="158" t="str">
        <f t="shared" si="6"/>
        <v>nominal</v>
      </c>
      <c r="G44" s="32"/>
      <c r="H44" s="32"/>
      <c r="I44" s="105"/>
      <c r="J44" s="160"/>
      <c r="K44" s="160"/>
      <c r="L44" s="160"/>
      <c r="M44" s="160"/>
      <c r="N44" s="160"/>
      <c r="O44" s="150"/>
      <c r="P44" s="150"/>
      <c r="Q44" s="150"/>
      <c r="R44" s="150"/>
      <c r="S44" s="150"/>
      <c r="T44" s="29"/>
      <c r="U44" s="29"/>
      <c r="V44" s="29"/>
      <c r="W44" s="29"/>
    </row>
    <row r="45" spans="1:23">
      <c r="A45" s="29"/>
      <c r="B45" s="29"/>
      <c r="C45" s="61"/>
      <c r="D45" s="30" t="s">
        <v>79</v>
      </c>
      <c r="E45" s="30" t="str">
        <f>units</f>
        <v>$millions</v>
      </c>
      <c r="F45" s="158" t="str">
        <f t="shared" si="6"/>
        <v>nominal</v>
      </c>
      <c r="G45" s="32"/>
      <c r="H45" s="32"/>
      <c r="I45" s="105"/>
      <c r="J45" s="160"/>
      <c r="K45" s="160"/>
      <c r="L45" s="160"/>
      <c r="M45" s="160"/>
      <c r="N45" s="160"/>
      <c r="O45" s="150"/>
      <c r="P45" s="150"/>
      <c r="Q45" s="150"/>
      <c r="R45" s="150"/>
      <c r="S45" s="150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105"/>
      <c r="J46" s="29"/>
      <c r="K46" s="29"/>
      <c r="L46" s="29"/>
      <c r="M46" s="29"/>
      <c r="N46" s="140"/>
      <c r="O46" s="29"/>
      <c r="P46" s="29"/>
      <c r="Q46" s="29"/>
      <c r="R46" s="29"/>
      <c r="S46" s="29"/>
      <c r="T46" s="29"/>
      <c r="U46" s="29"/>
      <c r="V46" s="29"/>
      <c r="W46" s="29"/>
    </row>
    <row r="47" spans="1:23" ht="10.5">
      <c r="A47" s="29"/>
      <c r="B47" s="29"/>
      <c r="C47" s="138" t="s">
        <v>188</v>
      </c>
      <c r="D47" s="139" t="s">
        <v>30</v>
      </c>
      <c r="E47" s="225" t="str">
        <f>$E$57</f>
        <v>$millions</v>
      </c>
      <c r="F47" s="226" t="str">
        <f>$F$37</f>
        <v>nominal</v>
      </c>
      <c r="G47" s="32"/>
      <c r="H47" s="32"/>
      <c r="I47" s="105"/>
      <c r="J47" s="129">
        <f>J37-SUM(J41:J45)</f>
        <v>75.014380799999998</v>
      </c>
      <c r="K47" s="129">
        <f t="shared" ref="K47:S47" si="7">K37-SUM(K41:K45)</f>
        <v>82.768614650000004</v>
      </c>
      <c r="L47" s="129">
        <f t="shared" si="7"/>
        <v>91.837062651250008</v>
      </c>
      <c r="M47" s="129">
        <f t="shared" si="7"/>
        <v>90.98685279351001</v>
      </c>
      <c r="N47" s="129">
        <f t="shared" si="7"/>
        <v>96.377823286962453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105"/>
      <c r="J48" s="161"/>
      <c r="K48" s="161"/>
      <c r="L48" s="161"/>
      <c r="M48" s="161"/>
      <c r="N48" s="161"/>
      <c r="O48" s="29"/>
      <c r="P48" s="29"/>
      <c r="Q48" s="29"/>
      <c r="R48" s="29"/>
      <c r="S48" s="29"/>
      <c r="T48" s="29"/>
      <c r="U48" s="29"/>
      <c r="V48" s="29"/>
      <c r="W48" s="29"/>
    </row>
    <row r="49" spans="1:23" ht="10.5">
      <c r="A49" s="29"/>
      <c r="B49" s="29"/>
      <c r="C49" s="67" t="s">
        <v>114</v>
      </c>
      <c r="D49" s="30"/>
      <c r="E49" s="30"/>
      <c r="F49" s="30"/>
      <c r="G49" s="30"/>
      <c r="H49" s="30"/>
      <c r="I49" s="105"/>
      <c r="J49" s="161"/>
      <c r="K49" s="161"/>
      <c r="L49" s="161"/>
      <c r="M49" s="161"/>
      <c r="N49" s="161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105"/>
      <c r="J50" s="161"/>
      <c r="K50" s="161"/>
      <c r="L50" s="161"/>
      <c r="M50" s="161"/>
      <c r="N50" s="161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units</f>
        <v>$millions</v>
      </c>
      <c r="F51" s="158" t="str">
        <f>$F$37</f>
        <v>nominal</v>
      </c>
      <c r="G51" s="32"/>
      <c r="H51" s="32"/>
      <c r="I51" s="105"/>
      <c r="J51" s="230">
        <v>0</v>
      </c>
      <c r="K51" s="230">
        <v>0</v>
      </c>
      <c r="L51" s="230">
        <v>0</v>
      </c>
      <c r="M51" s="230">
        <v>0</v>
      </c>
      <c r="N51" s="230">
        <v>0</v>
      </c>
      <c r="O51" s="235"/>
      <c r="P51" s="150"/>
      <c r="Q51" s="150"/>
      <c r="R51" s="150"/>
      <c r="S51" s="150"/>
      <c r="T51" s="29" t="s">
        <v>186</v>
      </c>
      <c r="U51" s="29"/>
      <c r="V51" s="29"/>
      <c r="W51" s="29"/>
    </row>
    <row r="52" spans="1:23">
      <c r="A52" s="29"/>
      <c r="B52" s="29"/>
      <c r="C52" s="61" t="s">
        <v>192</v>
      </c>
      <c r="D52" s="30" t="s">
        <v>79</v>
      </c>
      <c r="E52" s="30" t="str">
        <f>units</f>
        <v>$millions</v>
      </c>
      <c r="F52" s="158" t="str">
        <f t="shared" ref="F52:F55" si="8">$F$37</f>
        <v>nominal</v>
      </c>
      <c r="G52" s="32"/>
      <c r="H52" s="32"/>
      <c r="I52" s="105"/>
      <c r="J52" s="230">
        <v>8.8270000000000001E-2</v>
      </c>
      <c r="K52" s="230">
        <v>2.4074999999999999E-2</v>
      </c>
      <c r="L52" s="230">
        <v>3.8460000000000001E-2</v>
      </c>
      <c r="M52" s="230">
        <v>5.0335519480519474E-2</v>
      </c>
      <c r="N52" s="230">
        <v>5.0335519480519474E-2</v>
      </c>
      <c r="O52" s="235"/>
      <c r="P52" s="150"/>
      <c r="Q52" s="150"/>
      <c r="R52" s="150"/>
      <c r="S52" s="150"/>
      <c r="T52" s="29"/>
      <c r="U52" s="29"/>
      <c r="V52" s="29"/>
      <c r="W52" s="29"/>
    </row>
    <row r="53" spans="1:23">
      <c r="A53" s="29"/>
      <c r="B53" s="29"/>
      <c r="C53" s="61" t="s">
        <v>210</v>
      </c>
      <c r="D53" s="30" t="s">
        <v>79</v>
      </c>
      <c r="E53" s="30" t="str">
        <f>units</f>
        <v>$millions</v>
      </c>
      <c r="F53" s="158" t="str">
        <f t="shared" si="8"/>
        <v>nominal</v>
      </c>
      <c r="G53" s="32"/>
      <c r="H53" s="32"/>
      <c r="I53" s="105"/>
      <c r="J53" s="230">
        <v>0.33149600000000001</v>
      </c>
      <c r="K53" s="230">
        <v>0.32392199999999999</v>
      </c>
      <c r="L53" s="230">
        <v>0.33202005000000001</v>
      </c>
      <c r="M53" s="230">
        <v>0.34032055124999999</v>
      </c>
      <c r="N53" s="230">
        <v>0.34882856503124998</v>
      </c>
      <c r="O53" s="235"/>
      <c r="P53" s="150"/>
      <c r="Q53" s="150"/>
      <c r="R53" s="150"/>
      <c r="S53" s="150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units</f>
        <v>$millions</v>
      </c>
      <c r="F54" s="158" t="str">
        <f t="shared" si="8"/>
        <v>nominal</v>
      </c>
      <c r="G54" s="32"/>
      <c r="H54" s="32"/>
      <c r="I54" s="105"/>
      <c r="J54" s="230"/>
      <c r="K54" s="230"/>
      <c r="L54" s="230"/>
      <c r="M54" s="230"/>
      <c r="N54" s="230"/>
      <c r="O54" s="235"/>
      <c r="P54" s="150"/>
      <c r="Q54" s="150"/>
      <c r="R54" s="150"/>
      <c r="S54" s="150"/>
      <c r="T54" s="29"/>
      <c r="U54" s="29"/>
      <c r="V54" s="29"/>
      <c r="W54" s="29"/>
    </row>
    <row r="55" spans="1:23">
      <c r="A55" s="29"/>
      <c r="B55" s="29"/>
      <c r="C55" s="61"/>
      <c r="D55" s="30" t="s">
        <v>79</v>
      </c>
      <c r="E55" s="30" t="str">
        <f>units</f>
        <v>$millions</v>
      </c>
      <c r="F55" s="158" t="str">
        <f t="shared" si="8"/>
        <v>nominal</v>
      </c>
      <c r="G55" s="32"/>
      <c r="H55" s="32"/>
      <c r="I55" s="105"/>
      <c r="J55" s="160"/>
      <c r="K55" s="160"/>
      <c r="L55" s="160"/>
      <c r="M55" s="160"/>
      <c r="N55" s="160"/>
      <c r="O55" s="150"/>
      <c r="P55" s="150"/>
      <c r="Q55" s="150"/>
      <c r="R55" s="150"/>
      <c r="S55" s="150"/>
      <c r="T55" s="29"/>
      <c r="U55" s="29"/>
      <c r="V55" s="29"/>
      <c r="W55" s="29"/>
    </row>
    <row r="56" spans="1:23">
      <c r="A56" s="29"/>
      <c r="B56" s="29"/>
      <c r="C56" s="111"/>
      <c r="D56" s="30"/>
      <c r="E56" s="30"/>
      <c r="F56" s="30"/>
      <c r="G56" s="32"/>
      <c r="H56" s="32"/>
      <c r="I56" s="30"/>
      <c r="J56" s="29"/>
      <c r="K56" s="29"/>
      <c r="L56" s="29"/>
      <c r="M56" s="29"/>
      <c r="N56" s="140"/>
      <c r="O56" s="29"/>
      <c r="P56" s="29"/>
      <c r="Q56" s="29"/>
      <c r="R56" s="29"/>
      <c r="S56" s="29"/>
      <c r="T56" s="29"/>
      <c r="U56" s="29"/>
      <c r="V56" s="29"/>
      <c r="W56" s="29"/>
    </row>
    <row r="57" spans="1:23" ht="10.5">
      <c r="A57" s="29"/>
      <c r="B57" s="29"/>
      <c r="C57" s="138" t="s">
        <v>163</v>
      </c>
      <c r="D57" s="139" t="s">
        <v>30</v>
      </c>
      <c r="E57" s="225" t="str">
        <f>units</f>
        <v>$millions</v>
      </c>
      <c r="F57" s="226" t="str">
        <f>$F$37</f>
        <v>nominal</v>
      </c>
      <c r="G57" s="32"/>
      <c r="H57" s="32"/>
      <c r="I57" s="30"/>
      <c r="J57" s="181">
        <f>SUM(J51:J55)</f>
        <v>0.41976600000000003</v>
      </c>
      <c r="K57" s="181">
        <f t="shared" ref="K57:N57" si="9">SUM(K51:K55)</f>
        <v>0.347997</v>
      </c>
      <c r="L57" s="181">
        <f t="shared" si="9"/>
        <v>0.37048005000000001</v>
      </c>
      <c r="M57" s="181">
        <f t="shared" si="9"/>
        <v>0.39065607073051944</v>
      </c>
      <c r="N57" s="181">
        <f t="shared" si="9"/>
        <v>0.39916408451176943</v>
      </c>
      <c r="O57" s="181">
        <f t="shared" ref="O57:S57" si="10">SUM(O51:O55)</f>
        <v>0</v>
      </c>
      <c r="P57" s="181">
        <f t="shared" si="10"/>
        <v>0</v>
      </c>
      <c r="Q57" s="181">
        <f t="shared" si="10"/>
        <v>0</v>
      </c>
      <c r="R57" s="181">
        <f t="shared" si="10"/>
        <v>0</v>
      </c>
      <c r="S57" s="181">
        <f t="shared" si="10"/>
        <v>0</v>
      </c>
      <c r="T57" s="29"/>
      <c r="U57" s="29"/>
      <c r="V57" s="29"/>
      <c r="W57" s="29" t="str">
        <f>IF(COUNTIF(J51:S55,"&lt;0")&gt;0,"Check","Ok")</f>
        <v>Ok</v>
      </c>
    </row>
    <row r="58" spans="1:23">
      <c r="A58" s="29"/>
      <c r="B58" s="29"/>
      <c r="C58" s="29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13">
      <c r="A59" s="94"/>
      <c r="B59" s="95" t="s">
        <v>115</v>
      </c>
      <c r="C59" s="94"/>
      <c r="D59" s="94"/>
      <c r="E59" s="94"/>
      <c r="F59" s="96"/>
      <c r="G59" s="96"/>
      <c r="H59" s="96"/>
      <c r="I59" s="96"/>
      <c r="J59" s="97"/>
      <c r="K59" s="98"/>
      <c r="L59" s="97"/>
      <c r="M59" s="98"/>
      <c r="N59" s="97"/>
      <c r="O59" s="97"/>
      <c r="P59" s="97"/>
      <c r="Q59" s="97"/>
      <c r="R59" s="97"/>
      <c r="S59" s="97"/>
      <c r="T59" s="97"/>
      <c r="U59" s="97"/>
      <c r="V59" s="98"/>
      <c r="W59" s="98"/>
    </row>
    <row r="60" spans="1:23">
      <c r="A60" s="29"/>
      <c r="B60" s="29"/>
      <c r="C60" s="29"/>
      <c r="D60" s="30"/>
      <c r="E60" s="30"/>
      <c r="F60" s="30"/>
      <c r="G60" s="30"/>
      <c r="H60" s="30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ht="10.5">
      <c r="A61" s="29"/>
      <c r="B61" s="29"/>
      <c r="C61" s="67" t="s">
        <v>116</v>
      </c>
      <c r="D61" s="32" t="s">
        <v>7</v>
      </c>
      <c r="E61" s="32" t="s">
        <v>8</v>
      </c>
      <c r="F61" s="32" t="s">
        <v>22</v>
      </c>
      <c r="G61" s="32"/>
      <c r="H61" s="32"/>
      <c r="I61" s="32"/>
      <c r="J61" s="156" t="str">
        <f t="shared" ref="J61:S61" si="11">IF(YEAR(J$4)=PPLastYear,J$4,"")</f>
        <v/>
      </c>
      <c r="K61" s="156" t="str">
        <f t="shared" si="11"/>
        <v/>
      </c>
      <c r="L61" s="156" t="str">
        <f t="shared" si="11"/>
        <v/>
      </c>
      <c r="M61" s="156" t="str">
        <f t="shared" si="11"/>
        <v/>
      </c>
      <c r="N61" s="156">
        <f t="shared" si="11"/>
        <v>46174</v>
      </c>
      <c r="O61" s="156" t="str">
        <f t="shared" si="11"/>
        <v/>
      </c>
      <c r="P61" s="156" t="str">
        <f t="shared" si="11"/>
        <v/>
      </c>
      <c r="Q61" s="156" t="str">
        <f t="shared" si="11"/>
        <v/>
      </c>
      <c r="R61" s="156" t="str">
        <f t="shared" si="11"/>
        <v/>
      </c>
      <c r="S61" s="156" t="str">
        <f t="shared" si="11"/>
        <v/>
      </c>
      <c r="T61" s="29"/>
      <c r="U61" s="29"/>
      <c r="V61" s="29"/>
      <c r="W61" s="29"/>
    </row>
    <row r="62" spans="1:23" ht="10.5">
      <c r="A62" s="29"/>
      <c r="B62" s="29"/>
      <c r="C62" s="67"/>
      <c r="D62" s="32"/>
      <c r="E62" s="32"/>
      <c r="F62" s="32"/>
      <c r="G62" s="32"/>
      <c r="H62" s="32"/>
      <c r="I62" s="32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29"/>
      <c r="U62" s="29"/>
      <c r="V62" s="29"/>
      <c r="W62" s="29"/>
    </row>
    <row r="63" spans="1:23">
      <c r="A63" s="29"/>
      <c r="B63" s="29"/>
      <c r="C63" s="61" t="s">
        <v>117</v>
      </c>
      <c r="D63" s="30" t="s">
        <v>34</v>
      </c>
      <c r="E63" s="30" t="str">
        <f>units</f>
        <v>$millions</v>
      </c>
      <c r="F63" s="191">
        <v>46174</v>
      </c>
      <c r="G63" s="32"/>
      <c r="H63" s="32"/>
      <c r="I63" s="32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29" t="s">
        <v>190</v>
      </c>
      <c r="U63" s="141"/>
      <c r="V63" s="141"/>
      <c r="W63" s="29"/>
    </row>
    <row r="64" spans="1:23" ht="10.5">
      <c r="A64" s="29"/>
      <c r="B64" s="29"/>
      <c r="C64" s="61" t="s">
        <v>118</v>
      </c>
      <c r="D64" s="30" t="s">
        <v>34</v>
      </c>
      <c r="E64" s="30" t="str">
        <f>units</f>
        <v>$millions</v>
      </c>
      <c r="F64" s="191">
        <v>46174</v>
      </c>
      <c r="G64" s="32"/>
      <c r="H64" s="32"/>
      <c r="I64" s="32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24"/>
      <c r="U64" s="141"/>
      <c r="V64" s="141"/>
      <c r="W64" s="29"/>
    </row>
    <row r="65" spans="1:23" ht="10.5">
      <c r="A65" s="29"/>
      <c r="B65" s="29"/>
      <c r="C65" s="61" t="s">
        <v>119</v>
      </c>
      <c r="D65" s="30" t="s">
        <v>34</v>
      </c>
      <c r="E65" s="30" t="str">
        <f>units</f>
        <v>$millions</v>
      </c>
      <c r="F65" s="191">
        <v>46174</v>
      </c>
      <c r="G65" s="32"/>
      <c r="H65" s="32"/>
      <c r="I65" s="32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24"/>
      <c r="U65" s="141"/>
      <c r="V65" s="141"/>
      <c r="W65" s="29"/>
    </row>
    <row r="66" spans="1:23" ht="10.5">
      <c r="A66" s="29"/>
      <c r="B66" s="29"/>
      <c r="C66" s="61" t="s">
        <v>120</v>
      </c>
      <c r="D66" s="30" t="s">
        <v>34</v>
      </c>
      <c r="E66" s="30" t="str">
        <f>units</f>
        <v>$millions</v>
      </c>
      <c r="F66" s="191">
        <v>46174</v>
      </c>
      <c r="G66" s="32"/>
      <c r="H66" s="32"/>
      <c r="I66" s="32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24"/>
      <c r="U66" s="141"/>
      <c r="V66" s="141"/>
      <c r="W66" s="29"/>
    </row>
    <row r="67" spans="1:23" ht="10.5">
      <c r="A67" s="29"/>
      <c r="B67" s="29"/>
      <c r="C67" s="61" t="s">
        <v>121</v>
      </c>
      <c r="D67" s="30" t="s">
        <v>34</v>
      </c>
      <c r="E67" s="30" t="str">
        <f>units</f>
        <v>$millions</v>
      </c>
      <c r="F67" s="191">
        <v>46174</v>
      </c>
      <c r="G67" s="32"/>
      <c r="H67" s="32"/>
      <c r="I67" s="32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24"/>
      <c r="U67" s="141"/>
      <c r="V67" s="141"/>
      <c r="W67" s="29"/>
    </row>
    <row r="68" spans="1:23" s="102" customFormat="1" ht="10.5">
      <c r="A68" s="190"/>
      <c r="B68" s="190"/>
      <c r="C68" s="214"/>
      <c r="D68" s="105"/>
      <c r="E68" s="105"/>
      <c r="F68" s="191"/>
      <c r="G68" s="192"/>
      <c r="H68" s="192"/>
      <c r="I68" s="192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04"/>
      <c r="U68" s="161"/>
      <c r="V68" s="161"/>
      <c r="W68" s="190"/>
    </row>
    <row r="69" spans="1:23" ht="10.5">
      <c r="A69" s="29"/>
      <c r="B69" s="29"/>
      <c r="C69" s="214" t="s">
        <v>189</v>
      </c>
      <c r="D69" s="30" t="s">
        <v>34</v>
      </c>
      <c r="E69" s="30" t="str">
        <f>units</f>
        <v>$millions</v>
      </c>
      <c r="F69" s="191">
        <v>46174</v>
      </c>
      <c r="G69" s="32"/>
      <c r="H69" s="32"/>
      <c r="I69" s="32"/>
      <c r="J69" s="160"/>
      <c r="K69" s="160"/>
      <c r="L69" s="160"/>
      <c r="M69" s="160"/>
      <c r="N69" s="160">
        <v>0</v>
      </c>
      <c r="O69" s="160"/>
      <c r="P69" s="160"/>
      <c r="Q69" s="160"/>
      <c r="R69" s="160"/>
      <c r="S69" s="160"/>
      <c r="T69" s="124"/>
      <c r="U69" s="141"/>
      <c r="V69" s="141"/>
      <c r="W69" s="29"/>
    </row>
    <row r="70" spans="1:23" s="102" customFormat="1" ht="10.5">
      <c r="A70" s="190"/>
      <c r="B70" s="190"/>
      <c r="C70" s="214"/>
      <c r="D70" s="105"/>
      <c r="E70" s="105"/>
      <c r="F70" s="191"/>
      <c r="G70" s="192"/>
      <c r="H70" s="192"/>
      <c r="I70" s="192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04"/>
      <c r="U70" s="161"/>
      <c r="V70" s="161"/>
      <c r="W70" s="190"/>
    </row>
    <row r="71" spans="1:23" ht="10.5">
      <c r="A71" s="29"/>
      <c r="B71" s="29"/>
      <c r="C71" s="214" t="s">
        <v>92</v>
      </c>
      <c r="D71" s="30" t="s">
        <v>34</v>
      </c>
      <c r="E71" s="30" t="s">
        <v>31</v>
      </c>
      <c r="F71" s="32"/>
      <c r="G71" s="32"/>
      <c r="H71" s="32"/>
      <c r="I71" s="32"/>
      <c r="J71" s="194"/>
      <c r="K71" s="194"/>
      <c r="L71" s="194"/>
      <c r="M71" s="194"/>
      <c r="N71" s="194">
        <v>0</v>
      </c>
      <c r="O71" s="194"/>
      <c r="P71" s="194"/>
      <c r="Q71" s="194"/>
      <c r="R71" s="194"/>
      <c r="S71" s="194"/>
      <c r="T71" s="124"/>
      <c r="U71" s="141"/>
      <c r="V71" s="141"/>
      <c r="W71" s="29"/>
    </row>
    <row r="72" spans="1:23">
      <c r="A72" s="29"/>
      <c r="B72" s="29"/>
      <c r="C72" s="111"/>
      <c r="D72" s="30"/>
      <c r="E72" s="30"/>
      <c r="F72" s="30"/>
      <c r="G72" s="32"/>
      <c r="H72" s="32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ht="13">
      <c r="A73" s="94"/>
      <c r="B73" s="95" t="s">
        <v>21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</row>
  </sheetData>
  <conditionalFormatting sqref="J19:N21">
    <cfRule type="expression" dxfId="149" priority="6">
      <formula>J$10=J$4</formula>
    </cfRule>
  </conditionalFormatting>
  <conditionalFormatting sqref="J37:N37">
    <cfRule type="expression" dxfId="148" priority="11">
      <formula>J$10=J$4</formula>
    </cfRule>
  </conditionalFormatting>
  <conditionalFormatting sqref="J41:N41">
    <cfRule type="expression" dxfId="147" priority="4">
      <formula>J$10=J$4</formula>
    </cfRule>
  </conditionalFormatting>
  <conditionalFormatting sqref="J51:N54">
    <cfRule type="expression" dxfId="146" priority="7">
      <formula>J$10=J$4</formula>
    </cfRule>
  </conditionalFormatting>
  <conditionalFormatting sqref="J13:S13">
    <cfRule type="expression" dxfId="145" priority="14">
      <formula>J$10=J$4</formula>
    </cfRule>
  </conditionalFormatting>
  <conditionalFormatting sqref="J15:S15">
    <cfRule type="cellIs" dxfId="144" priority="36" operator="equal">
      <formula>0</formula>
    </cfRule>
  </conditionalFormatting>
  <conditionalFormatting sqref="J29:S29">
    <cfRule type="cellIs" dxfId="143" priority="17" operator="equal">
      <formula>0</formula>
    </cfRule>
  </conditionalFormatting>
  <conditionalFormatting sqref="J33:S33 O51:S54 J55:S55">
    <cfRule type="expression" dxfId="142" priority="31">
      <formula>J$34=J$4</formula>
    </cfRule>
  </conditionalFormatting>
  <conditionalFormatting sqref="J42:S45">
    <cfRule type="expression" dxfId="141" priority="3">
      <formula>J$34=J$4</formula>
    </cfRule>
  </conditionalFormatting>
  <conditionalFormatting sqref="J47:S47">
    <cfRule type="cellIs" dxfId="140" priority="23" operator="equal">
      <formula>0</formula>
    </cfRule>
  </conditionalFormatting>
  <conditionalFormatting sqref="J57:S57">
    <cfRule type="cellIs" dxfId="139" priority="35" operator="equal">
      <formula>0</formula>
    </cfRule>
  </conditionalFormatting>
  <conditionalFormatting sqref="J63:S67 J69:S69 J71:S71">
    <cfRule type="expression" dxfId="138" priority="22">
      <formula>J$61=J$4</formula>
    </cfRule>
  </conditionalFormatting>
  <conditionalFormatting sqref="K51:N53">
    <cfRule type="expression" dxfId="137" priority="10">
      <formula>K$34=K$4</formula>
    </cfRule>
  </conditionalFormatting>
  <conditionalFormatting sqref="L42:N42">
    <cfRule type="expression" dxfId="136" priority="2">
      <formula>L$10=L$4</formula>
    </cfRule>
  </conditionalFormatting>
  <conditionalFormatting sqref="N37:S37">
    <cfRule type="expression" dxfId="135" priority="12">
      <formula>N$34=N$4</formula>
    </cfRule>
  </conditionalFormatting>
  <conditionalFormatting sqref="O19:S20 K21:S21 J22:S27">
    <cfRule type="expression" dxfId="134" priority="30">
      <formula>J$10=J$4</formula>
    </cfRule>
  </conditionalFormatting>
  <conditionalFormatting sqref="O41:S41">
    <cfRule type="expression" dxfId="133" priority="1">
      <formula>O$34=O$4</formula>
    </cfRule>
  </conditionalFormatting>
  <conditionalFormatting sqref="S1">
    <cfRule type="cellIs" dxfId="132" priority="37" operator="equal">
      <formula>"Check"</formula>
    </cfRule>
    <cfRule type="cellIs" dxfId="131" priority="38" operator="equal">
      <formula>"Ok"</formula>
    </cfRule>
  </conditionalFormatting>
  <conditionalFormatting sqref="V1">
    <cfRule type="cellIs" dxfId="130" priority="39" operator="equal">
      <formula>"Check"</formula>
    </cfRule>
    <cfRule type="cellIs" dxfId="129" priority="40" operator="equal">
      <formula>"Ok"</formula>
    </cfRule>
  </conditionalFormatting>
  <conditionalFormatting sqref="W15">
    <cfRule type="cellIs" dxfId="128" priority="41" operator="equal">
      <formula>"Check"</formula>
    </cfRule>
    <cfRule type="cellIs" dxfId="127" priority="42" operator="equal">
      <formula>"Ok"</formula>
    </cfRule>
  </conditionalFormatting>
  <conditionalFormatting sqref="W29">
    <cfRule type="cellIs" dxfId="126" priority="18" operator="equal">
      <formula>"Check"</formula>
    </cfRule>
    <cfRule type="cellIs" dxfId="125" priority="19" operator="equal">
      <formula>"Ok"</formula>
    </cfRule>
  </conditionalFormatting>
  <conditionalFormatting sqref="W37 W41:W45">
    <cfRule type="cellIs" dxfId="124" priority="46" operator="equal">
      <formula>"Ok"</formula>
    </cfRule>
    <cfRule type="cellIs" dxfId="123" priority="45" operator="equal">
      <formula>"Check"</formula>
    </cfRule>
  </conditionalFormatting>
  <conditionalFormatting sqref="W47">
    <cfRule type="cellIs" dxfId="122" priority="25" operator="equal">
      <formula>"Check"</formula>
    </cfRule>
    <cfRule type="cellIs" dxfId="121" priority="26" operator="equal">
      <formula>"Ok"</formula>
    </cfRule>
  </conditionalFormatting>
  <conditionalFormatting sqref="W48:W55">
    <cfRule type="cellIs" dxfId="120" priority="33" operator="equal">
      <formula>"Check"</formula>
    </cfRule>
    <cfRule type="cellIs" dxfId="119" priority="34" operator="equal">
      <formula>"Ok"</formula>
    </cfRule>
  </conditionalFormatting>
  <conditionalFormatting sqref="W57">
    <cfRule type="cellIs" dxfId="118" priority="43" operator="equal">
      <formula>"Check"</formula>
    </cfRule>
    <cfRule type="cellIs" dxfId="117" priority="44" operator="equal">
      <formula>"Ok"</formula>
    </cfRule>
  </conditionalFormatting>
  <dataValidations disablePrompts="1"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1000000}">
          <x14:formula1>
            <xm:f>'Lookup|Tables'!$H$48:$H$67</xm:f>
          </x14:formula1>
          <xm:sqref>F15 F63:F70 F29</xm:sqref>
        </x14:dataValidation>
        <x14:dataValidation type="list" allowBlank="1" showInputMessage="1" showErrorMessage="1" xr:uid="{00000000-0002-0000-0300-000003000000}">
          <x14:formula1>
            <xm:f>'Lookup|Tables'!$H$48:$H$70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20"/>
  <sheetViews>
    <sheetView showGridLines="0" topLeftCell="A25" workbookViewId="0">
      <selection activeCell="U50" sqref="U50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85</v>
      </c>
      <c r="T1" s="76" t="str">
        <f>IF(COUNTIF(W5:W118,"Check")=0,"Ok","Check")</f>
        <v>Ok</v>
      </c>
      <c r="V1" s="182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280"/>
      <c r="L3" s="280"/>
      <c r="M3" s="280"/>
      <c r="N3" s="177"/>
      <c r="O3" s="280"/>
      <c r="P3" s="280"/>
      <c r="Q3" s="280"/>
      <c r="R3" s="280"/>
      <c r="S3" s="280"/>
      <c r="T3" s="28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44348</v>
      </c>
      <c r="K4" s="153">
        <f>DATE(PPFirstYear,MONTH('Input|General'!$G$9),1)</f>
        <v>44713</v>
      </c>
      <c r="L4" s="153">
        <f>DATE(PPFirstYear+1,MONTH('Input|General'!$G$9),1)</f>
        <v>45078</v>
      </c>
      <c r="M4" s="153">
        <f>DATE(PPFirstYear+2,MONTH('Input|General'!$G$9),1)</f>
        <v>45444</v>
      </c>
      <c r="N4" s="153">
        <f>DATE(PPFirstYear+3,MONTH('Input|General'!$G$9),1)</f>
        <v>45809</v>
      </c>
      <c r="O4" s="153">
        <f>DATE(PPFirstYear+4,MONTH('Input|General'!$G$9),1)</f>
        <v>46174</v>
      </c>
      <c r="P4" s="153">
        <f>DATE(PPFirstYear+5,MONTH('Input|General'!$G$9),1)</f>
        <v>46539</v>
      </c>
      <c r="Q4" s="153">
        <f>DATE(PPFirstYear+6,MONTH('Input|General'!$G$9),1)</f>
        <v>46905</v>
      </c>
      <c r="R4" s="153">
        <f>DATE(PPFirstYear+7,MONTH('Input|General'!$G$9),1)</f>
        <v>47270</v>
      </c>
      <c r="S4" s="153">
        <f>DATE(PPFirstYear+8,MONTH('Input|General'!$G$9),1)</f>
        <v>47635</v>
      </c>
      <c r="T4" s="153">
        <f>DATE(PPFirstYear+9,MONTH('Input|General'!$G$9),1)</f>
        <v>48000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 t="shared" ref="J10:T10" si="0">IF(YEAR(J$4)&lt;=PPLastYear,J$4,"")</f>
        <v>44348</v>
      </c>
      <c r="K10" s="156">
        <f t="shared" si="0"/>
        <v>44713</v>
      </c>
      <c r="L10" s="156">
        <f t="shared" si="0"/>
        <v>45078</v>
      </c>
      <c r="M10" s="156">
        <f t="shared" si="0"/>
        <v>45444</v>
      </c>
      <c r="N10" s="156">
        <f t="shared" si="0"/>
        <v>45809</v>
      </c>
      <c r="O10" s="156">
        <f t="shared" si="0"/>
        <v>46174</v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</row>
    <row r="11" spans="1:50" ht="11.25" customHeight="1" outlineLevel="1">
      <c r="C11" s="67"/>
      <c r="J11" s="29"/>
      <c r="P11" s="142"/>
      <c r="Q11" s="142"/>
      <c r="R11" s="142"/>
      <c r="S11" s="142"/>
      <c r="T11" s="142"/>
      <c r="U11" s="120"/>
      <c r="V11" s="120"/>
      <c r="W11" s="120"/>
    </row>
    <row r="12" spans="1:50" ht="11.25" customHeight="1" outlineLevel="1">
      <c r="C12" s="111" t="s">
        <v>33</v>
      </c>
      <c r="D12" s="143" t="s">
        <v>102</v>
      </c>
      <c r="E12" s="30" t="str">
        <f>percent</f>
        <v>Per cent</v>
      </c>
      <c r="J12" s="142">
        <f>IF(J10=J4,LOOKUP(EOMONTH(J4,0),'Input|Inflation'!$C$9:$C$86,'Input|Inflation'!$I$9:$I$86),"")</f>
        <v>3.8461538461538325E-2</v>
      </c>
      <c r="K12" s="142">
        <f>IF(K10=K4,LOOKUP(EOMONTH(K4,0),'Input|Inflation'!$C$9:$C$86,'Input|Inflation'!$I$9:$I$86),"")</f>
        <v>6.1447811447811418E-2</v>
      </c>
      <c r="L12" s="142">
        <f>IF(L10=L4,LOOKUP(EOMONTH(L4,0),'Input|Inflation'!$C$9:$C$86,'Input|Inflation'!$I$9:$I$86),"")</f>
        <v>6.0269627279936566E-2</v>
      </c>
      <c r="M12" s="142">
        <f>IF(M10=M4,LOOKUP(EOMONTH(M4,0),'Input|Inflation'!$C$9:$C$86,'Input|Inflation'!$I$9:$I$86),"")</f>
        <v>3.3107062086051409E-2</v>
      </c>
      <c r="N12" s="142">
        <f>IF(N10=N4,LOOKUP(EOMONTH(N4,0),'Input|Inflation'!$C$9:$C$86,'Input|Inflation'!$I$9:$I$86),"")</f>
        <v>2.8748479316258901E-2</v>
      </c>
      <c r="O12" s="142">
        <f>IF(O10=O4,LOOKUP(EOMONTH(O4,0),'Input|Inflation'!$C$9:$C$86,'Input|Inflation'!$I$9:$I$86),"")</f>
        <v>2.7498479316034441E-2</v>
      </c>
      <c r="P12" s="142" t="str">
        <f>IF(P10=P4,LOOKUP(EOMONTH(P4,0),'Input|Inflation'!$C$9:$C$64,'Input|Inflation'!$I$9:$I$64),"")</f>
        <v/>
      </c>
      <c r="Q12" s="142" t="str">
        <f>IF(Q10=Q4,LOOKUP(EOMONTH(Q4,0),'Input|Inflation'!$C$9:$C$64,'Input|Inflation'!$I$9:$I$64),"")</f>
        <v/>
      </c>
      <c r="R12" s="142" t="str">
        <f>IF(R10=R4,LOOKUP(EOMONTH(R4,0),'Input|Inflation'!$C$9:$C$64,'Input|Inflation'!$I$9:$I$64),"")</f>
        <v/>
      </c>
      <c r="S12" s="142" t="str">
        <f>IF(S10=S4,LOOKUP(EOMONTH(S4,0),'Input|Inflation'!$C$9:$C$64,'Input|Inflation'!$I$9:$I$64),"")</f>
        <v/>
      </c>
      <c r="T12" s="142" t="str">
        <f>IF(T10=T4,LOOKUP(EOMONTH(T4,0),'Input|Inflation'!$C$9:$C$64,'Input|Inflation'!$I$9:$I$64),"")</f>
        <v/>
      </c>
      <c r="U12" s="144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103</v>
      </c>
      <c r="I14" s="29"/>
      <c r="J14" s="156">
        <f t="shared" ref="J14:T14" si="1">IF(YEAR(J$4)&lt;=PPLastYear,J$4,"")</f>
        <v>44348</v>
      </c>
      <c r="K14" s="156">
        <f t="shared" si="1"/>
        <v>44713</v>
      </c>
      <c r="L14" s="156">
        <f t="shared" si="1"/>
        <v>45078</v>
      </c>
      <c r="M14" s="156">
        <f t="shared" si="1"/>
        <v>45444</v>
      </c>
      <c r="N14" s="156">
        <f t="shared" si="1"/>
        <v>45809</v>
      </c>
      <c r="O14" s="156">
        <f t="shared" si="1"/>
        <v>46174</v>
      </c>
      <c r="P14" s="156" t="str">
        <f t="shared" si="1"/>
        <v/>
      </c>
      <c r="Q14" s="156" t="str">
        <f t="shared" si="1"/>
        <v/>
      </c>
      <c r="R14" s="156" t="str">
        <f t="shared" si="1"/>
        <v/>
      </c>
      <c r="S14" s="156" t="str">
        <f t="shared" si="1"/>
        <v/>
      </c>
      <c r="T14" s="156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2">
        <f t="array" ref="C16:C21">TRANSPOSE(J10:O10)</f>
        <v>44348</v>
      </c>
      <c r="D16" s="143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1.0614478114478114</v>
      </c>
      <c r="L16" s="22">
        <f t="shared" si="3"/>
        <v>1.1254208754208754</v>
      </c>
      <c r="M16" s="22">
        <f t="shared" si="3"/>
        <v>1.1626802542163728</v>
      </c>
      <c r="N16" s="22">
        <f t="shared" si="3"/>
        <v>1.1961055434561347</v>
      </c>
      <c r="O16" s="22">
        <f t="shared" ref="O16" si="4">IF(AND($C16&gt;O$14,ISNONTEXT($C16)),P16/(1+O$12),IF(AND($C16=O$14,O$14=O$4),1,IF(AND($C16&lt;O$14,O$14=O$4),N16*(1+O$12),0)))</f>
        <v>1.2289966270026573</v>
      </c>
      <c r="P16" s="199"/>
      <c r="Q16" s="199"/>
      <c r="R16" s="199"/>
      <c r="S16" s="199"/>
      <c r="T16" s="199"/>
    </row>
    <row r="17" spans="3:22" ht="11.25" customHeight="1" outlineLevel="1">
      <c r="C17" s="162">
        <v>44713</v>
      </c>
      <c r="D17" s="143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0.94210943695479776</v>
      </c>
      <c r="K17" s="22">
        <f t="shared" si="6"/>
        <v>1</v>
      </c>
      <c r="L17" s="22">
        <f t="shared" si="6"/>
        <v>1.0602696272799366</v>
      </c>
      <c r="M17" s="22">
        <f t="shared" si="6"/>
        <v>1.095372039658248</v>
      </c>
      <c r="N17" s="22">
        <f t="shared" si="6"/>
        <v>1.1268623200839716</v>
      </c>
      <c r="O17" s="22">
        <f t="shared" ref="O17" si="7">IF(AND($C17&gt;O$14,ISNONTEXT($C17)),P17/(1+O$12),IF(AND($C17=O$14,O$14=O$4),1,IF(AND($C17&lt;O$14,O$14=O$4),N17*(1+O$12),0)))</f>
        <v>1.1578493202848192</v>
      </c>
      <c r="P17" s="199"/>
      <c r="Q17" s="199"/>
      <c r="R17" s="199"/>
      <c r="S17" s="199"/>
      <c r="T17" s="199"/>
    </row>
    <row r="18" spans="3:22" ht="11.25" customHeight="1" outlineLevel="1">
      <c r="C18" s="162">
        <v>45078</v>
      </c>
      <c r="D18" s="143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0.88855646970830215</v>
      </c>
      <c r="K18" s="22">
        <f t="shared" si="8"/>
        <v>0.94315632011967088</v>
      </c>
      <c r="L18" s="22">
        <f t="shared" si="8"/>
        <v>1</v>
      </c>
      <c r="M18" s="22">
        <f t="shared" si="8"/>
        <v>1.0331070620860514</v>
      </c>
      <c r="N18" s="22">
        <f t="shared" si="8"/>
        <v>1.0628073190919132</v>
      </c>
      <c r="O18" s="22">
        <f t="shared" ref="O18" si="9">IF(AND($C18&gt;O$14,ISNONTEXT($C18)),P18/(1+O$12),IF(AND($C18=O$14,O$14=O$4),1,IF(AND($C18&lt;O$14,O$14=O$4),N18*(1+O$12),0)))</f>
        <v>1.0920329041728922</v>
      </c>
      <c r="P18" s="199"/>
      <c r="Q18" s="199"/>
      <c r="R18" s="199"/>
      <c r="S18" s="199"/>
      <c r="T18" s="199"/>
    </row>
    <row r="19" spans="3:22" ht="11.25" customHeight="1" outlineLevel="1">
      <c r="C19" s="162">
        <v>45444</v>
      </c>
      <c r="D19" s="143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0.86008169174076454</v>
      </c>
      <c r="K19" s="22">
        <f t="shared" si="10"/>
        <v>0.91293182936456574</v>
      </c>
      <c r="L19" s="22">
        <f t="shared" si="10"/>
        <v>0.9679538904523588</v>
      </c>
      <c r="M19" s="22">
        <f t="shared" si="10"/>
        <v>1</v>
      </c>
      <c r="N19" s="22">
        <f t="shared" si="10"/>
        <v>1.0287484793162589</v>
      </c>
      <c r="O19" s="22">
        <f t="shared" ref="O19" si="11">IF(AND($C19&gt;O$14,ISNONTEXT($C19)),P19/(1+O$12),IF(AND($C19=O$14,O$14=O$4),1,IF(AND($C19&lt;O$14,O$14=O$4),N19*(1+O$12),0)))</f>
        <v>1.057037498096139</v>
      </c>
      <c r="P19" s="199"/>
      <c r="Q19" s="199"/>
      <c r="R19" s="199"/>
      <c r="S19" s="199"/>
      <c r="T19" s="199"/>
    </row>
    <row r="20" spans="3:22" ht="11.25" customHeight="1" outlineLevel="1">
      <c r="C20" s="162">
        <v>45809</v>
      </c>
      <c r="D20" s="143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0.83604662270062746</v>
      </c>
      <c r="K20" s="22">
        <f t="shared" ref="K20:N20" si="12">IF(AND($C20&gt;K$14,ISNONTEXT($C20)),L20/(1+L$12),IF(AND($C20=K$14,K$14=K$4),1,IF(AND($C20&lt;K$14,K$14=K$4),J20*(1+K$12),0)))</f>
        <v>0.8874198579339152</v>
      </c>
      <c r="L20" s="22">
        <f t="shared" si="12"/>
        <v>0.94090432201240648</v>
      </c>
      <c r="M20" s="22">
        <f t="shared" si="12"/>
        <v>0.97205489981830528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1.0274984793160344</v>
      </c>
      <c r="P20" s="199"/>
      <c r="Q20" s="199"/>
      <c r="R20" s="199"/>
      <c r="S20" s="199"/>
      <c r="T20" s="199"/>
    </row>
    <row r="21" spans="3:22" ht="11.25" customHeight="1" outlineLevel="1">
      <c r="C21" s="162">
        <v>46174</v>
      </c>
      <c r="D21" s="143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0.81367188324906436</v>
      </c>
      <c r="K21" s="22">
        <f t="shared" ref="K21" si="14">IF(AND($C21&gt;K$14,ISNONTEXT($C21)),L21/(1+L$12),IF(AND($C21=K$14,K$14=K$4),1,IF(AND($C21&lt;K$14,K$14=K$4),J21*(1+K$12),0)))</f>
        <v>0.86367023971133849</v>
      </c>
      <c r="L21" s="22">
        <f t="shared" ref="L21" si="15">IF(AND($C21&gt;L$14,ISNONTEXT($C21)),M21/(1+M$12),IF(AND($C21=L$14,L$14=L$4),1,IF(AND($C21&lt;L$14,L$14=L$4),K21*(1+L$12),0)))</f>
        <v>0.91572332315151428</v>
      </c>
      <c r="M21" s="22">
        <f t="shared" ref="M21" si="16">IF(AND($C21&gt;M$14,ISNONTEXT($C21)),N21/(1+N$12),IF(AND($C21=M$14,M$14=M$4),1,IF(AND($C21&lt;M$14,M$14=M$4),L21*(1+M$12),0)))</f>
        <v>0.94604023206473675</v>
      </c>
      <c r="N21" s="22">
        <f t="shared" ref="N21" si="17">IF(AND($C21&gt;N$14,ISNONTEXT($C21)),O21/(1+O$12),IF(AND($C21=N$14,N$14=N$4),1,IF(AND($C21&lt;N$14,N$14=N$4),M21*(1+N$12),0)))</f>
        <v>0.97323745010859863</v>
      </c>
      <c r="O21" s="22">
        <f t="shared" ref="O21" si="18">IF(AND($C21&gt;O$14,ISNONTEXT($C21)),P21/(1+O$12),IF(AND($C21=O$14,O$14=O$4),1,IF(AND($C21&lt;O$14,O$14=O$4),N21*(1+O$12),0)))</f>
        <v>1</v>
      </c>
      <c r="P21" s="199"/>
      <c r="Q21" s="199"/>
      <c r="R21" s="199"/>
      <c r="S21" s="199"/>
      <c r="T21" s="199"/>
    </row>
    <row r="22" spans="3:22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3:22" ht="11.25" customHeight="1" outlineLevel="1">
      <c r="C24" s="67" t="s">
        <v>47</v>
      </c>
      <c r="J24" s="156">
        <f t="shared" ref="J24:T24" si="19">IF(YEAR(J$4)&lt;=PPLastYear,J$4,"")</f>
        <v>44348</v>
      </c>
      <c r="K24" s="156">
        <f t="shared" si="19"/>
        <v>44713</v>
      </c>
      <c r="L24" s="156">
        <f t="shared" si="19"/>
        <v>45078</v>
      </c>
      <c r="M24" s="156">
        <f t="shared" si="19"/>
        <v>45444</v>
      </c>
      <c r="N24" s="156">
        <f t="shared" si="19"/>
        <v>45809</v>
      </c>
      <c r="O24" s="156">
        <f t="shared" si="19"/>
        <v>46174</v>
      </c>
      <c r="P24" s="156" t="str">
        <f t="shared" si="19"/>
        <v/>
      </c>
      <c r="Q24" s="156" t="str">
        <f t="shared" si="19"/>
        <v/>
      </c>
      <c r="R24" s="156" t="str">
        <f t="shared" si="19"/>
        <v/>
      </c>
      <c r="S24" s="156" t="str">
        <f t="shared" si="19"/>
        <v/>
      </c>
      <c r="T24" s="156" t="str">
        <f t="shared" si="19"/>
        <v/>
      </c>
    </row>
    <row r="25" spans="3:22" ht="11.25" customHeight="1" outlineLevel="1">
      <c r="C25" s="111"/>
      <c r="J25" s="29"/>
      <c r="P25" s="141"/>
      <c r="Q25" s="22"/>
      <c r="R25" s="22"/>
      <c r="S25" s="22"/>
      <c r="T25" s="22"/>
    </row>
    <row r="26" spans="3:22" ht="11.25" customHeight="1" outlineLevel="1">
      <c r="C26" s="162">
        <f t="array" ref="C26:C31">TRANSPOSE(J10:O10)</f>
        <v>44348</v>
      </c>
      <c r="D26" s="143" t="str">
        <f t="shared" ref="D26:D31" si="20">IF(ISNONTEXT($C26),"calculated","")</f>
        <v>calculated</v>
      </c>
      <c r="E26" s="30" t="str">
        <f>IF(ISNONTEXT($C26),"index","")</f>
        <v>index</v>
      </c>
      <c r="I26" s="22"/>
      <c r="J26" s="22">
        <f t="shared" ref="J26:T26" si="21">IF(AND(J$24=J$4,ISNONTEXT($C26)),1/J16*(1+J$12)^0.5,0)</f>
        <v>1.019049330730136</v>
      </c>
      <c r="K26" s="22">
        <f t="shared" si="21"/>
        <v>0.970623220902322</v>
      </c>
      <c r="L26" s="22">
        <f t="shared" si="21"/>
        <v>0.9149412196307648</v>
      </c>
      <c r="M26" s="22">
        <f t="shared" si="21"/>
        <v>0.87420315240447266</v>
      </c>
      <c r="N26" s="22">
        <f t="shared" si="21"/>
        <v>0.84797900541611781</v>
      </c>
      <c r="O26" s="22">
        <f t="shared" si="21"/>
        <v>0.82478338366921489</v>
      </c>
      <c r="P26" s="22">
        <f t="shared" si="21"/>
        <v>0</v>
      </c>
      <c r="Q26" s="22">
        <f t="shared" si="21"/>
        <v>0</v>
      </c>
      <c r="R26" s="22">
        <f t="shared" si="21"/>
        <v>0</v>
      </c>
      <c r="S26" s="22">
        <f t="shared" si="21"/>
        <v>0</v>
      </c>
      <c r="T26" s="22">
        <f t="shared" si="21"/>
        <v>0</v>
      </c>
      <c r="U26" s="145"/>
      <c r="V26" s="145"/>
    </row>
    <row r="27" spans="3:22" ht="11.25" customHeight="1" outlineLevel="1">
      <c r="C27" s="162">
        <v>44713</v>
      </c>
      <c r="D27" s="143" t="str">
        <f t="shared" si="20"/>
        <v>calculated</v>
      </c>
      <c r="E27" s="30" t="str">
        <f t="shared" ref="E27:E31" si="22">IF(ISNONTEXT($C27),"index","")</f>
        <v>index</v>
      </c>
      <c r="I27" s="22"/>
      <c r="J27" s="22">
        <f t="shared" ref="J27:T27" si="23">IF(AND(J$24=J$4,ISNONTEXT($C27)),1/J17*(1+J$12)^0.5,0)</f>
        <v>1.0816676818608599</v>
      </c>
      <c r="K27" s="22">
        <f t="shared" si="23"/>
        <v>1.0302658935671953</v>
      </c>
      <c r="L27" s="22">
        <f t="shared" si="23"/>
        <v>0.97116235518046667</v>
      </c>
      <c r="M27" s="22">
        <f t="shared" si="23"/>
        <v>0.92792102288050515</v>
      </c>
      <c r="N27" s="22">
        <f t="shared" si="23"/>
        <v>0.90008545945262997</v>
      </c>
      <c r="O27" s="22">
        <f t="shared" si="23"/>
        <v>0.87546451751420873</v>
      </c>
      <c r="P27" s="22">
        <f t="shared" si="23"/>
        <v>0</v>
      </c>
      <c r="Q27" s="22">
        <f t="shared" si="23"/>
        <v>0</v>
      </c>
      <c r="R27" s="22">
        <f t="shared" si="23"/>
        <v>0</v>
      </c>
      <c r="S27" s="22">
        <f t="shared" si="23"/>
        <v>0</v>
      </c>
      <c r="T27" s="22">
        <f t="shared" si="23"/>
        <v>0</v>
      </c>
      <c r="U27" s="145"/>
      <c r="V27" s="145"/>
    </row>
    <row r="28" spans="3:22" ht="11.25" customHeight="1" outlineLevel="1">
      <c r="C28" s="162">
        <v>45078</v>
      </c>
      <c r="D28" s="143" t="str">
        <f t="shared" si="20"/>
        <v>calculated</v>
      </c>
      <c r="E28" s="30" t="str">
        <f t="shared" si="22"/>
        <v>index</v>
      </c>
      <c r="I28" s="22"/>
      <c r="J28" s="22">
        <f t="shared" ref="J28:T28" si="24">IF(AND(J$24=J$4,ISNONTEXT($C28)),1/J18*(1+J$12)^0.5,0)</f>
        <v>1.1468593898873669</v>
      </c>
      <c r="K28" s="22">
        <f t="shared" si="24"/>
        <v>1.0923596349717211</v>
      </c>
      <c r="L28" s="22">
        <f t="shared" si="24"/>
        <v>1.0296939483554988</v>
      </c>
      <c r="M28" s="22">
        <f t="shared" si="24"/>
        <v>0.98384647707473072</v>
      </c>
      <c r="N28" s="22">
        <f t="shared" si="24"/>
        <v>0.95433327461393069</v>
      </c>
      <c r="O28" s="22">
        <f t="shared" si="24"/>
        <v>0.92822843768159968</v>
      </c>
      <c r="P28" s="22">
        <f t="shared" si="24"/>
        <v>0</v>
      </c>
      <c r="Q28" s="22">
        <f t="shared" si="24"/>
        <v>0</v>
      </c>
      <c r="R28" s="22">
        <f t="shared" si="24"/>
        <v>0</v>
      </c>
      <c r="S28" s="22">
        <f t="shared" si="24"/>
        <v>0</v>
      </c>
      <c r="T28" s="22">
        <f t="shared" si="24"/>
        <v>0</v>
      </c>
      <c r="U28" s="145"/>
      <c r="V28" s="145"/>
    </row>
    <row r="29" spans="3:22" ht="11.25" customHeight="1" outlineLevel="1">
      <c r="C29" s="162">
        <v>45444</v>
      </c>
      <c r="D29" s="143" t="str">
        <f t="shared" si="20"/>
        <v>calculated</v>
      </c>
      <c r="E29" s="30" t="str">
        <f t="shared" si="22"/>
        <v>index</v>
      </c>
      <c r="I29" s="22"/>
      <c r="J29" s="22">
        <f t="shared" ref="J29:T29" si="25">IF(AND(J$24=J$4,ISNONTEXT($C29)),1/J19*(1+J$12)^0.5,0)</f>
        <v>1.1848285349123391</v>
      </c>
      <c r="K29" s="22">
        <f t="shared" si="25"/>
        <v>1.1285244532270262</v>
      </c>
      <c r="L29" s="22">
        <f t="shared" si="25"/>
        <v>1.0637840898333357</v>
      </c>
      <c r="M29" s="22">
        <f t="shared" si="25"/>
        <v>1.0164187434743868</v>
      </c>
      <c r="N29" s="22">
        <f t="shared" si="25"/>
        <v>0.9859284455873587</v>
      </c>
      <c r="O29" s="22">
        <f t="shared" si="25"/>
        <v>0.95895935419796274</v>
      </c>
      <c r="P29" s="22">
        <f t="shared" si="25"/>
        <v>0</v>
      </c>
      <c r="Q29" s="22">
        <f t="shared" si="25"/>
        <v>0</v>
      </c>
      <c r="R29" s="22">
        <f t="shared" si="25"/>
        <v>0</v>
      </c>
      <c r="S29" s="22">
        <f t="shared" si="25"/>
        <v>0</v>
      </c>
      <c r="T29" s="22">
        <f t="shared" si="25"/>
        <v>0</v>
      </c>
      <c r="U29" s="145"/>
      <c r="V29" s="145"/>
    </row>
    <row r="30" spans="3:22" ht="11.25" customHeight="1" outlineLevel="1">
      <c r="C30" s="162">
        <v>45809</v>
      </c>
      <c r="D30" s="143" t="str">
        <f t="shared" si="20"/>
        <v>calculated</v>
      </c>
      <c r="E30" s="30" t="str">
        <f t="shared" si="22"/>
        <v>index</v>
      </c>
      <c r="I30" s="22"/>
      <c r="J30" s="22">
        <f t="shared" ref="J30:T30" si="26">IF(AND(J$24=J$4,ISNONTEXT($C30)),1/J20*(1+J$12)^0.5,0)</f>
        <v>1.2188905535415797</v>
      </c>
      <c r="K30" s="22">
        <f t="shared" si="26"/>
        <v>1.1609678151285157</v>
      </c>
      <c r="L30" s="22">
        <f t="shared" si="26"/>
        <v>1.0943662647368746</v>
      </c>
      <c r="M30" s="22">
        <f t="shared" si="26"/>
        <v>1.045639236697818</v>
      </c>
      <c r="N30" s="22">
        <f t="shared" si="26"/>
        <v>1.0142723891126382</v>
      </c>
      <c r="O30" s="22">
        <f t="shared" si="26"/>
        <v>0.98652797735725595</v>
      </c>
      <c r="P30" s="22">
        <f t="shared" si="26"/>
        <v>0</v>
      </c>
      <c r="Q30" s="22">
        <f t="shared" si="26"/>
        <v>0</v>
      </c>
      <c r="R30" s="22">
        <f t="shared" si="26"/>
        <v>0</v>
      </c>
      <c r="S30" s="22">
        <f t="shared" si="26"/>
        <v>0</v>
      </c>
      <c r="T30" s="22">
        <f t="shared" si="26"/>
        <v>0</v>
      </c>
      <c r="U30" s="145"/>
      <c r="V30" s="145"/>
    </row>
    <row r="31" spans="3:22" ht="11.25" customHeight="1" outlineLevel="1">
      <c r="C31" s="162">
        <v>46174</v>
      </c>
      <c r="D31" s="143" t="str">
        <f t="shared" si="20"/>
        <v>calculated</v>
      </c>
      <c r="E31" s="30" t="str">
        <f t="shared" si="22"/>
        <v>index</v>
      </c>
      <c r="I31" s="22"/>
      <c r="J31" s="22">
        <f t="shared" ref="J31:T31" si="27">IF(AND(J$24=J$4,ISNONTEXT($C31)),1/J21*(1+J$12)^0.5,0)</f>
        <v>1.2524081902166524</v>
      </c>
      <c r="K31" s="22">
        <f t="shared" si="27"/>
        <v>1.1928926645794089</v>
      </c>
      <c r="L31" s="22">
        <f t="shared" si="27"/>
        <v>1.1244596728319074</v>
      </c>
      <c r="M31" s="22">
        <f t="shared" si="27"/>
        <v>1.0743927256201871</v>
      </c>
      <c r="N31" s="22">
        <f t="shared" si="27"/>
        <v>1.0421633374254768</v>
      </c>
      <c r="O31" s="22">
        <f t="shared" si="27"/>
        <v>1.0136559965373038</v>
      </c>
      <c r="P31" s="22">
        <f t="shared" si="27"/>
        <v>0</v>
      </c>
      <c r="Q31" s="22">
        <f t="shared" si="27"/>
        <v>0</v>
      </c>
      <c r="R31" s="22">
        <f t="shared" si="27"/>
        <v>0</v>
      </c>
      <c r="S31" s="22">
        <f t="shared" si="27"/>
        <v>0</v>
      </c>
      <c r="T31" s="22">
        <f t="shared" si="27"/>
        <v>0</v>
      </c>
      <c r="U31" s="145"/>
      <c r="V31" s="145"/>
    </row>
    <row r="32" spans="3:22">
      <c r="C32" s="111"/>
      <c r="K32" s="22"/>
      <c r="L32" s="22"/>
      <c r="M32" s="22"/>
      <c r="N32" s="22"/>
      <c r="O32" s="22"/>
      <c r="P32" s="26"/>
      <c r="Q32" s="22"/>
      <c r="R32" s="22"/>
      <c r="S32" s="22"/>
      <c r="T32" s="22"/>
    </row>
    <row r="33" spans="1:50" s="103" customFormat="1" ht="13">
      <c r="A33" s="94"/>
      <c r="B33" s="95" t="s">
        <v>81</v>
      </c>
      <c r="C33" s="94"/>
      <c r="D33" s="94"/>
      <c r="E33" s="94"/>
      <c r="F33" s="96"/>
      <c r="G33" s="96"/>
      <c r="H33" s="96"/>
      <c r="I33" s="96"/>
      <c r="J33" s="96"/>
      <c r="K33" s="97"/>
      <c r="L33" s="98"/>
      <c r="M33" s="97"/>
      <c r="N33" s="98"/>
      <c r="O33" s="97"/>
      <c r="P33" s="97"/>
      <c r="Q33" s="97"/>
      <c r="R33" s="97"/>
      <c r="S33" s="97"/>
      <c r="T33" s="97"/>
      <c r="U33" s="97"/>
      <c r="V33" s="97"/>
      <c r="W33" s="98"/>
      <c r="X33" s="99"/>
      <c r="Y33" s="99"/>
      <c r="Z33" s="99"/>
      <c r="AA33" s="99"/>
      <c r="AB33" s="99"/>
      <c r="AC33" s="99"/>
      <c r="AD33" s="99"/>
      <c r="AE33" s="100"/>
      <c r="AF33" s="101"/>
      <c r="AG33" s="101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</row>
    <row r="34" spans="1:50" ht="11.25" customHeight="1" outlineLevel="1"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50" ht="11.25" customHeight="1" outlineLevel="1">
      <c r="C35" s="67" t="s">
        <v>84</v>
      </c>
      <c r="D35" s="32" t="s">
        <v>7</v>
      </c>
      <c r="E35" s="32" t="s">
        <v>8</v>
      </c>
      <c r="J35" s="159" t="str">
        <f t="shared" ref="J35:T35" si="28">IF(YEAR(J$4)&gt;=FPFirstYear,IF(YEAR(J$4)&lt;=FPLastYear,J$4,""),"")</f>
        <v/>
      </c>
      <c r="K35" s="159" t="str">
        <f t="shared" si="28"/>
        <v/>
      </c>
      <c r="L35" s="159" t="str">
        <f t="shared" si="28"/>
        <v/>
      </c>
      <c r="M35" s="159" t="str">
        <f t="shared" si="28"/>
        <v/>
      </c>
      <c r="N35" s="159" t="str">
        <f t="shared" si="28"/>
        <v/>
      </c>
      <c r="O35" s="159" t="str">
        <f t="shared" si="28"/>
        <v/>
      </c>
      <c r="P35" s="159">
        <f t="shared" si="28"/>
        <v>46539</v>
      </c>
      <c r="Q35" s="159">
        <f t="shared" si="28"/>
        <v>46905</v>
      </c>
      <c r="R35" s="159">
        <f t="shared" si="28"/>
        <v>47270</v>
      </c>
      <c r="S35" s="159">
        <f t="shared" si="28"/>
        <v>47635</v>
      </c>
      <c r="T35" s="159">
        <f t="shared" si="28"/>
        <v>48000</v>
      </c>
    </row>
    <row r="36" spans="1:50" ht="11.25" customHeight="1" outlineLevel="1">
      <c r="J36" s="110"/>
      <c r="K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50" ht="11.25" customHeight="1" outlineLevel="1">
      <c r="C37" s="61" t="s">
        <v>232</v>
      </c>
      <c r="D37" s="30" t="s">
        <v>105</v>
      </c>
      <c r="E37" s="30" t="str">
        <f t="shared" ref="E37:E41" si="29">percent</f>
        <v>Per cent</v>
      </c>
      <c r="J37" s="195"/>
      <c r="K37" s="150"/>
      <c r="L37" s="150"/>
      <c r="M37" s="150"/>
      <c r="N37" s="150"/>
      <c r="O37" s="235"/>
      <c r="P37" s="60">
        <v>8.3540705438707175E-3</v>
      </c>
      <c r="Q37" s="60">
        <v>7.3587100156624619E-3</v>
      </c>
      <c r="R37" s="60">
        <v>8.4859008253557189E-3</v>
      </c>
      <c r="S37" s="60">
        <v>1.0754798391217291E-2</v>
      </c>
      <c r="T37" s="60">
        <v>1.0754798391217291E-2</v>
      </c>
    </row>
    <row r="38" spans="1:50" ht="11.25" customHeight="1" outlineLevel="1">
      <c r="C38" s="61" t="s">
        <v>233</v>
      </c>
      <c r="D38" s="30" t="s">
        <v>105</v>
      </c>
      <c r="E38" s="30" t="str">
        <f t="shared" si="29"/>
        <v>Per cent</v>
      </c>
      <c r="J38" s="195"/>
      <c r="K38" s="150"/>
      <c r="L38" s="150"/>
      <c r="M38" s="150"/>
      <c r="N38" s="150"/>
      <c r="O38" s="235"/>
      <c r="P38" s="60">
        <v>1.1627048788004135E-2</v>
      </c>
      <c r="Q38" s="60">
        <v>9.7167112576105781E-3</v>
      </c>
      <c r="R38" s="60">
        <v>1.2509981063376197E-2</v>
      </c>
      <c r="S38" s="60">
        <v>1.3480376168036013E-2</v>
      </c>
      <c r="T38" s="60">
        <v>1.1964706087105283E-2</v>
      </c>
    </row>
    <row r="39" spans="1:50" ht="11.25" customHeight="1" outlineLevel="1">
      <c r="C39" s="61" t="s">
        <v>234</v>
      </c>
      <c r="D39" s="30" t="s">
        <v>105</v>
      </c>
      <c r="E39" s="30" t="str">
        <f t="shared" si="29"/>
        <v>Per cent</v>
      </c>
      <c r="J39" s="195"/>
      <c r="K39" s="150"/>
      <c r="L39" s="150"/>
      <c r="M39" s="150"/>
      <c r="N39" s="150"/>
      <c r="O39" s="235"/>
      <c r="P39" s="60">
        <f t="shared" ref="P39:T39" si="30">AVERAGE(P37:P38)</f>
        <v>9.9905596659374263E-3</v>
      </c>
      <c r="Q39" s="60">
        <f t="shared" si="30"/>
        <v>8.53771063663652E-3</v>
      </c>
      <c r="R39" s="60">
        <f t="shared" si="30"/>
        <v>1.0497940944365958E-2</v>
      </c>
      <c r="S39" s="60">
        <f t="shared" si="30"/>
        <v>1.2117587279626651E-2</v>
      </c>
      <c r="T39" s="60">
        <f t="shared" si="30"/>
        <v>1.1359752239161287E-2</v>
      </c>
    </row>
    <row r="40" spans="1:50" ht="11.25" customHeight="1" outlineLevel="1">
      <c r="C40" s="61" t="s">
        <v>235</v>
      </c>
      <c r="D40" s="30" t="s">
        <v>105</v>
      </c>
      <c r="E40" s="30" t="str">
        <f t="shared" si="29"/>
        <v>Per cent</v>
      </c>
      <c r="J40" s="195"/>
      <c r="K40" s="150"/>
      <c r="L40" s="150"/>
      <c r="M40" s="150"/>
      <c r="N40" s="150"/>
      <c r="O40" s="235"/>
      <c r="P40" s="60">
        <v>5.0000000000000001E-3</v>
      </c>
      <c r="Q40" s="60">
        <v>0</v>
      </c>
      <c r="R40" s="60">
        <v>0</v>
      </c>
      <c r="S40" s="60">
        <v>0</v>
      </c>
      <c r="T40" s="60">
        <v>0</v>
      </c>
      <c r="U40" s="146"/>
    </row>
    <row r="41" spans="1:50" ht="11.25" customHeight="1" outlineLevel="1">
      <c r="C41" s="61" t="s">
        <v>236</v>
      </c>
      <c r="D41" s="30" t="s">
        <v>105</v>
      </c>
      <c r="E41" s="30" t="str">
        <f t="shared" si="29"/>
        <v>Per cent</v>
      </c>
      <c r="J41" s="204"/>
      <c r="K41" s="204"/>
      <c r="L41" s="204"/>
      <c r="M41" s="204"/>
      <c r="N41" s="204"/>
      <c r="O41" s="235"/>
      <c r="P41" s="60">
        <f t="shared" ref="P41:T41" si="31">P39+P40</f>
        <v>1.4990559665937427E-2</v>
      </c>
      <c r="Q41" s="60">
        <f t="shared" si="31"/>
        <v>8.53771063663652E-3</v>
      </c>
      <c r="R41" s="60">
        <f t="shared" si="31"/>
        <v>1.0497940944365958E-2</v>
      </c>
      <c r="S41" s="60">
        <f t="shared" si="31"/>
        <v>1.2117587279626651E-2</v>
      </c>
      <c r="T41" s="60">
        <f t="shared" si="31"/>
        <v>1.1359752239161287E-2</v>
      </c>
    </row>
    <row r="42" spans="1:50" ht="11.25" customHeight="1" outlineLevel="1">
      <c r="C42" s="61"/>
      <c r="D42" s="30" t="s">
        <v>105</v>
      </c>
      <c r="E42" s="30" t="str">
        <f t="shared" ref="E42:E44" si="32">percent</f>
        <v>Per cent</v>
      </c>
      <c r="J42" s="205"/>
      <c r="K42" s="205"/>
      <c r="L42" s="205"/>
      <c r="M42" s="205"/>
      <c r="N42" s="205"/>
      <c r="O42" s="150"/>
      <c r="P42" s="60"/>
      <c r="Q42" s="60"/>
      <c r="R42" s="60"/>
      <c r="S42" s="60"/>
      <c r="T42" s="200"/>
    </row>
    <row r="43" spans="1:50" ht="11.25" customHeight="1" outlineLevel="1">
      <c r="C43" s="61"/>
      <c r="D43" s="30" t="s">
        <v>105</v>
      </c>
      <c r="E43" s="30" t="str">
        <f t="shared" si="32"/>
        <v>Per cent</v>
      </c>
      <c r="J43" s="195"/>
      <c r="K43" s="150"/>
      <c r="L43" s="150"/>
      <c r="M43" s="150"/>
      <c r="N43" s="150"/>
      <c r="O43" s="150"/>
      <c r="P43" s="60"/>
      <c r="Q43" s="60"/>
      <c r="R43" s="60"/>
      <c r="S43" s="60"/>
      <c r="T43" s="200"/>
    </row>
    <row r="44" spans="1:50" ht="11.25" customHeight="1" outlineLevel="1">
      <c r="C44" s="61" t="s">
        <v>237</v>
      </c>
      <c r="D44" s="30" t="s">
        <v>105</v>
      </c>
      <c r="E44" s="30" t="str">
        <f t="shared" si="32"/>
        <v>Per cent</v>
      </c>
      <c r="J44" s="195"/>
      <c r="K44" s="150"/>
      <c r="L44" s="150"/>
      <c r="M44" s="150"/>
      <c r="N44" s="150"/>
      <c r="O44" s="150"/>
      <c r="P44" s="231">
        <v>0</v>
      </c>
      <c r="Q44" s="231">
        <v>0</v>
      </c>
      <c r="R44" s="231">
        <v>0</v>
      </c>
      <c r="S44" s="231">
        <v>0</v>
      </c>
      <c r="T44" s="231">
        <v>0</v>
      </c>
    </row>
    <row r="45" spans="1:50" ht="11.25" customHeight="1" outlineLevel="1"/>
    <row r="46" spans="1:50" ht="11.25" customHeight="1" outlineLevel="1">
      <c r="C46" s="29" t="s">
        <v>40</v>
      </c>
      <c r="D46" s="30" t="s">
        <v>102</v>
      </c>
      <c r="E46" s="30" t="s">
        <v>28</v>
      </c>
      <c r="F46" s="30" t="s">
        <v>36</v>
      </c>
      <c r="J46" s="131" t="str">
        <f t="shared" ref="J46:T46" si="33">IF(J35=J4,IF(COUNTA($C37:$C44)=COUNT(J37:J44),"Ok","Check"),"")</f>
        <v/>
      </c>
      <c r="K46" s="131" t="str">
        <f t="shared" si="33"/>
        <v/>
      </c>
      <c r="L46" s="131" t="str">
        <f t="shared" si="33"/>
        <v/>
      </c>
      <c r="M46" s="131" t="str">
        <f t="shared" si="33"/>
        <v/>
      </c>
      <c r="N46" s="131" t="str">
        <f t="shared" si="33"/>
        <v/>
      </c>
      <c r="O46" s="131" t="str">
        <f t="shared" si="33"/>
        <v/>
      </c>
      <c r="P46" s="131" t="str">
        <f t="shared" si="33"/>
        <v>Ok</v>
      </c>
      <c r="Q46" s="131" t="str">
        <f t="shared" si="33"/>
        <v>Ok</v>
      </c>
      <c r="R46" s="131" t="str">
        <f t="shared" si="33"/>
        <v>Ok</v>
      </c>
      <c r="S46" s="131" t="str">
        <f t="shared" si="33"/>
        <v>Ok</v>
      </c>
      <c r="T46" s="131" t="str">
        <f t="shared" si="33"/>
        <v>Ok</v>
      </c>
      <c r="U46" s="24"/>
      <c r="W46" s="130" t="str">
        <f>IF(COUNTIF(J46:T46,"Check")=0,"Ok","Check")</f>
        <v>Ok</v>
      </c>
    </row>
    <row r="47" spans="1:50" ht="11.25" customHeight="1" outlineLevel="1"/>
    <row r="48" spans="1:50" ht="11.25" customHeight="1" outlineLevel="1">
      <c r="C48" s="67" t="s">
        <v>43</v>
      </c>
      <c r="D48" s="32" t="s">
        <v>7</v>
      </c>
      <c r="E48" s="32" t="s">
        <v>8</v>
      </c>
      <c r="J48" s="159" t="str">
        <f t="shared" ref="J48:T48" si="34">IF(YEAR(J$4)&gt;=FPFirstYear,IF(YEAR(J$4)&lt;=FPLastYear,J$4,""),"")</f>
        <v/>
      </c>
      <c r="K48" s="159" t="str">
        <f t="shared" si="34"/>
        <v/>
      </c>
      <c r="L48" s="159" t="str">
        <f t="shared" si="34"/>
        <v/>
      </c>
      <c r="M48" s="159" t="str">
        <f t="shared" si="34"/>
        <v/>
      </c>
      <c r="N48" s="159" t="str">
        <f t="shared" si="34"/>
        <v/>
      </c>
      <c r="O48" s="159" t="str">
        <f t="shared" si="34"/>
        <v/>
      </c>
      <c r="P48" s="159">
        <f t="shared" si="34"/>
        <v>46539</v>
      </c>
      <c r="Q48" s="159">
        <f t="shared" si="34"/>
        <v>46905</v>
      </c>
      <c r="R48" s="159">
        <f t="shared" si="34"/>
        <v>47270</v>
      </c>
      <c r="S48" s="159">
        <f t="shared" si="34"/>
        <v>47635</v>
      </c>
      <c r="T48" s="159">
        <f t="shared" si="34"/>
        <v>48000</v>
      </c>
    </row>
    <row r="49" spans="1:50" ht="11.25" customHeight="1" outlineLevel="1"/>
    <row r="50" spans="1:50" ht="11.25" customHeight="1" outlineLevel="1">
      <c r="C50" s="147" t="str">
        <f t="shared" ref="C50:C57" si="35">C37</f>
        <v>WPI - DAE (SAPN) placeholder</v>
      </c>
      <c r="D50" s="30" t="s">
        <v>105</v>
      </c>
      <c r="E50" s="30" t="str">
        <f t="shared" ref="E50:E57" si="36">percent</f>
        <v>Per cent</v>
      </c>
      <c r="J50" s="195"/>
      <c r="K50" s="150"/>
      <c r="L50" s="150"/>
      <c r="M50" s="150"/>
      <c r="N50" s="150"/>
      <c r="O50" s="150"/>
      <c r="P50" s="60"/>
      <c r="Q50" s="60"/>
      <c r="R50" s="60"/>
      <c r="S50" s="60"/>
      <c r="T50" s="208"/>
    </row>
    <row r="51" spans="1:50" ht="11.25" customHeight="1" outlineLevel="1">
      <c r="C51" s="147" t="str">
        <f t="shared" si="35"/>
        <v>WPI - BIS Oxford forecast</v>
      </c>
      <c r="D51" s="30" t="s">
        <v>105</v>
      </c>
      <c r="E51" s="30" t="str">
        <f t="shared" si="36"/>
        <v>Per cent</v>
      </c>
      <c r="J51" s="195"/>
      <c r="K51" s="150"/>
      <c r="L51" s="150"/>
      <c r="M51" s="150"/>
      <c r="N51" s="150"/>
      <c r="O51" s="150"/>
      <c r="P51" s="60"/>
      <c r="Q51" s="60"/>
      <c r="R51" s="60"/>
      <c r="S51" s="60"/>
      <c r="T51" s="208"/>
    </row>
    <row r="52" spans="1:50" ht="11.25" customHeight="1" outlineLevel="1">
      <c r="C52" s="147" t="str">
        <f t="shared" si="35"/>
        <v>WPI - average</v>
      </c>
      <c r="D52" s="30" t="s">
        <v>105</v>
      </c>
      <c r="E52" s="30" t="str">
        <f t="shared" si="36"/>
        <v>Per cent</v>
      </c>
      <c r="J52" s="195"/>
      <c r="K52" s="150"/>
      <c r="L52" s="150"/>
      <c r="M52" s="150"/>
      <c r="N52" s="150"/>
      <c r="O52" s="150"/>
      <c r="P52" s="60"/>
      <c r="Q52" s="60"/>
      <c r="R52" s="60"/>
      <c r="S52" s="60"/>
      <c r="T52" s="60"/>
    </row>
    <row r="53" spans="1:50" ht="11.25" customHeight="1" outlineLevel="1">
      <c r="C53" s="147" t="str">
        <f t="shared" si="35"/>
        <v>Superannuation guarantee increases</v>
      </c>
      <c r="D53" s="30" t="s">
        <v>105</v>
      </c>
      <c r="E53" s="30" t="str">
        <f t="shared" si="36"/>
        <v>Per cent</v>
      </c>
      <c r="J53" s="195"/>
      <c r="K53" s="150"/>
      <c r="L53" s="150"/>
      <c r="M53" s="150"/>
      <c r="N53" s="150"/>
      <c r="O53" s="150"/>
      <c r="P53" s="60"/>
      <c r="Q53" s="60"/>
      <c r="R53" s="60"/>
      <c r="S53" s="60"/>
      <c r="T53" s="60"/>
    </row>
    <row r="54" spans="1:50" ht="11.25" customHeight="1" outlineLevel="1">
      <c r="C54" s="147" t="str">
        <f t="shared" si="35"/>
        <v>WPI - average + super guarantee increases</v>
      </c>
      <c r="D54" s="30" t="s">
        <v>105</v>
      </c>
      <c r="E54" s="30" t="str">
        <f t="shared" si="36"/>
        <v>Per cent</v>
      </c>
      <c r="J54" s="195"/>
      <c r="K54" s="150"/>
      <c r="L54" s="150"/>
      <c r="M54" s="150"/>
      <c r="N54" s="150"/>
      <c r="O54" s="150"/>
      <c r="P54" s="60">
        <v>0.59199999999999997</v>
      </c>
      <c r="Q54" s="60">
        <v>0.59199999999999997</v>
      </c>
      <c r="R54" s="60">
        <v>0.59199999999999997</v>
      </c>
      <c r="S54" s="60">
        <v>0.59199999999999997</v>
      </c>
      <c r="T54" s="60">
        <v>0.59199999999999997</v>
      </c>
    </row>
    <row r="55" spans="1:50" ht="11.25" customHeight="1" outlineLevel="1">
      <c r="C55" s="147">
        <f t="shared" si="35"/>
        <v>0</v>
      </c>
      <c r="D55" s="30" t="s">
        <v>105</v>
      </c>
      <c r="E55" s="30" t="str">
        <f t="shared" si="36"/>
        <v>Per cent</v>
      </c>
      <c r="J55" s="195"/>
      <c r="K55" s="150"/>
      <c r="L55" s="150"/>
      <c r="M55" s="150"/>
      <c r="N55" s="150"/>
      <c r="O55" s="150"/>
      <c r="P55" s="60"/>
      <c r="Q55" s="60"/>
      <c r="R55" s="60"/>
      <c r="S55" s="60"/>
      <c r="T55" s="60"/>
    </row>
    <row r="56" spans="1:50" ht="11.25" customHeight="1" outlineLevel="1">
      <c r="C56" s="147">
        <f t="shared" si="35"/>
        <v>0</v>
      </c>
      <c r="D56" s="30" t="s">
        <v>105</v>
      </c>
      <c r="E56" s="30" t="str">
        <f t="shared" si="36"/>
        <v>Per cent</v>
      </c>
      <c r="J56" s="195"/>
      <c r="K56" s="150"/>
      <c r="L56" s="150"/>
      <c r="M56" s="150"/>
      <c r="N56" s="150"/>
      <c r="O56" s="150"/>
      <c r="P56" s="60"/>
      <c r="Q56" s="60"/>
      <c r="R56" s="60"/>
      <c r="S56" s="60"/>
      <c r="T56" s="60"/>
    </row>
    <row r="57" spans="1:50" ht="11.25" customHeight="1" outlineLevel="1">
      <c r="C57" s="147" t="str">
        <f t="shared" si="35"/>
        <v>CPI</v>
      </c>
      <c r="D57" s="30" t="s">
        <v>105</v>
      </c>
      <c r="E57" s="30" t="str">
        <f t="shared" si="36"/>
        <v>Per cent</v>
      </c>
      <c r="J57" s="195"/>
      <c r="K57" s="150"/>
      <c r="L57" s="150"/>
      <c r="M57" s="150"/>
      <c r="N57" s="150"/>
      <c r="O57" s="150"/>
      <c r="P57" s="60">
        <v>0.40799999999999997</v>
      </c>
      <c r="Q57" s="60">
        <v>0.40799999999999997</v>
      </c>
      <c r="R57" s="60">
        <v>0.40799999999999997</v>
      </c>
      <c r="S57" s="60">
        <v>0.40799999999999997</v>
      </c>
      <c r="T57" s="60">
        <v>0.40799999999999997</v>
      </c>
    </row>
    <row r="58" spans="1:50" ht="11.25" customHeight="1" outlineLevel="1"/>
    <row r="59" spans="1:50" ht="10.5" outlineLevel="1">
      <c r="C59" s="29" t="s">
        <v>40</v>
      </c>
      <c r="D59" s="30" t="s">
        <v>102</v>
      </c>
      <c r="E59" s="30" t="s">
        <v>28</v>
      </c>
      <c r="F59" s="30" t="s">
        <v>36</v>
      </c>
      <c r="J59" s="131" t="str">
        <f t="shared" ref="J59:S59" si="37">IF(J48=J$4,IF(SUM(J50:J57)=1,"Ok","Check"),"")</f>
        <v/>
      </c>
      <c r="K59" s="131" t="str">
        <f t="shared" si="37"/>
        <v/>
      </c>
      <c r="L59" s="131" t="str">
        <f t="shared" si="37"/>
        <v/>
      </c>
      <c r="M59" s="131" t="str">
        <f t="shared" si="37"/>
        <v/>
      </c>
      <c r="N59" s="131" t="str">
        <f t="shared" si="37"/>
        <v/>
      </c>
      <c r="O59" s="131" t="str">
        <f t="shared" si="37"/>
        <v/>
      </c>
      <c r="P59" s="131" t="str">
        <f t="shared" si="37"/>
        <v>Ok</v>
      </c>
      <c r="Q59" s="131" t="str">
        <f t="shared" si="37"/>
        <v>Ok</v>
      </c>
      <c r="R59" s="131" t="str">
        <f t="shared" si="37"/>
        <v>Ok</v>
      </c>
      <c r="S59" s="131" t="str">
        <f t="shared" si="37"/>
        <v>Ok</v>
      </c>
      <c r="T59" s="131" t="str">
        <f>IF(T48=T$4,IF(SUM(T50:T57)=1,"Ok","Check"),"")</f>
        <v>Ok</v>
      </c>
      <c r="U59" s="24"/>
      <c r="W59" s="130" t="str">
        <f>IF(COUNTIF(J59:T59,"Check")=0,"Ok","Check")</f>
        <v>Ok</v>
      </c>
    </row>
    <row r="60" spans="1:50"/>
    <row r="61" spans="1:50" s="103" customFormat="1" ht="13">
      <c r="A61" s="94"/>
      <c r="B61" s="95" t="s">
        <v>87</v>
      </c>
      <c r="C61" s="94"/>
      <c r="D61" s="94"/>
      <c r="E61" s="94"/>
      <c r="F61" s="96"/>
      <c r="G61" s="96"/>
      <c r="H61" s="96"/>
      <c r="I61" s="96"/>
      <c r="J61" s="96"/>
      <c r="K61" s="97"/>
      <c r="L61" s="98"/>
      <c r="M61" s="97"/>
      <c r="N61" s="98"/>
      <c r="O61" s="97"/>
      <c r="P61" s="97"/>
      <c r="Q61" s="97"/>
      <c r="R61" s="97"/>
      <c r="S61" s="97"/>
      <c r="T61" s="97"/>
      <c r="U61" s="97"/>
      <c r="V61" s="97"/>
      <c r="W61" s="98"/>
      <c r="X61" s="99"/>
      <c r="Y61" s="99"/>
      <c r="Z61" s="99"/>
      <c r="AA61" s="99"/>
      <c r="AB61" s="99"/>
      <c r="AC61" s="99"/>
      <c r="AD61" s="99"/>
      <c r="AE61" s="100"/>
      <c r="AF61" s="101"/>
      <c r="AG61" s="101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</row>
    <row r="62" spans="1:50" outlineLevel="1">
      <c r="G62" s="32"/>
      <c r="H62" s="32"/>
    </row>
    <row r="63" spans="1:50" ht="10.5" outlineLevel="1">
      <c r="C63" s="67" t="s">
        <v>88</v>
      </c>
      <c r="D63" s="32" t="s">
        <v>7</v>
      </c>
      <c r="E63" s="32" t="s">
        <v>8</v>
      </c>
      <c r="F63" s="32" t="s">
        <v>22</v>
      </c>
      <c r="G63" s="32"/>
      <c r="H63" s="32"/>
      <c r="J63" s="159" t="str">
        <f t="shared" ref="J63:T63" si="38">IF(YEAR(J$4)&gt;=PPLastYear,IF(YEAR(J$4)&lt;=FPLastYear,J$4,""),"")</f>
        <v/>
      </c>
      <c r="K63" s="159" t="str">
        <f t="shared" si="38"/>
        <v/>
      </c>
      <c r="L63" s="159" t="str">
        <f t="shared" si="38"/>
        <v/>
      </c>
      <c r="M63" s="159" t="str">
        <f t="shared" si="38"/>
        <v/>
      </c>
      <c r="N63" s="159" t="str">
        <f t="shared" si="38"/>
        <v/>
      </c>
      <c r="O63" s="159">
        <f t="shared" si="38"/>
        <v>46174</v>
      </c>
      <c r="P63" s="159">
        <f t="shared" si="38"/>
        <v>46539</v>
      </c>
      <c r="Q63" s="159">
        <f t="shared" si="38"/>
        <v>46905</v>
      </c>
      <c r="R63" s="159">
        <f t="shared" si="38"/>
        <v>47270</v>
      </c>
      <c r="S63" s="159">
        <f t="shared" si="38"/>
        <v>47635</v>
      </c>
      <c r="T63" s="159">
        <f t="shared" si="38"/>
        <v>48000</v>
      </c>
    </row>
    <row r="64" spans="1:50" ht="10.5" outlineLevel="1">
      <c r="C64" s="111"/>
      <c r="G64" s="32"/>
      <c r="H64" s="32"/>
      <c r="K64" s="23"/>
      <c r="L64" s="23"/>
      <c r="M64" s="23"/>
      <c r="N64" s="23"/>
      <c r="O64" s="23"/>
    </row>
    <row r="65" spans="3:23" outlineLevel="1">
      <c r="C65" s="61" t="s">
        <v>178</v>
      </c>
      <c r="D65" s="30" t="s">
        <v>105</v>
      </c>
      <c r="E65" s="30" t="s">
        <v>18</v>
      </c>
      <c r="F65" s="30" t="s">
        <v>36</v>
      </c>
      <c r="G65" s="32"/>
      <c r="H65" s="32"/>
      <c r="J65" s="195"/>
      <c r="K65" s="188"/>
      <c r="L65" s="188"/>
      <c r="M65" s="188"/>
      <c r="N65" s="188"/>
      <c r="O65" s="229">
        <v>361044.19258869637</v>
      </c>
      <c r="P65" s="229">
        <v>368256.17117222003</v>
      </c>
      <c r="Q65" s="229">
        <v>375471.14743284538</v>
      </c>
      <c r="R65" s="229">
        <v>382660.32066922</v>
      </c>
      <c r="S65" s="229">
        <v>389818.85612034239</v>
      </c>
      <c r="T65" s="229">
        <v>396929.31902443932</v>
      </c>
    </row>
    <row r="66" spans="3:23" outlineLevel="1">
      <c r="C66" s="61" t="s">
        <v>179</v>
      </c>
      <c r="D66" s="30" t="s">
        <v>105</v>
      </c>
      <c r="E66" s="30" t="s">
        <v>18</v>
      </c>
      <c r="F66" s="30" t="s">
        <v>36</v>
      </c>
      <c r="G66" s="32"/>
      <c r="H66" s="32"/>
      <c r="J66" s="195"/>
      <c r="K66" s="188"/>
      <c r="L66" s="188"/>
      <c r="M66" s="188"/>
      <c r="N66" s="188"/>
      <c r="O66" s="189">
        <v>4604.6605883983557</v>
      </c>
      <c r="P66" s="189">
        <v>4609.0828455656683</v>
      </c>
      <c r="Q66" s="189">
        <v>4613.513097666817</v>
      </c>
      <c r="R66" s="189">
        <v>4617.9513594520722</v>
      </c>
      <c r="S66" s="189">
        <v>4622.3976456989258</v>
      </c>
      <c r="T66" s="189">
        <v>4626.8519712121506</v>
      </c>
    </row>
    <row r="67" spans="3:23" outlineLevel="1">
      <c r="C67" s="61" t="s">
        <v>180</v>
      </c>
      <c r="D67" s="30" t="s">
        <v>105</v>
      </c>
      <c r="E67" s="30" t="s">
        <v>18</v>
      </c>
      <c r="F67" s="30" t="s">
        <v>36</v>
      </c>
      <c r="G67" s="32"/>
      <c r="H67" s="32"/>
      <c r="J67" s="195"/>
      <c r="K67" s="188"/>
      <c r="L67" s="188"/>
      <c r="M67" s="188"/>
      <c r="N67" s="188"/>
      <c r="O67" s="189">
        <v>1542</v>
      </c>
      <c r="P67" s="189">
        <v>1545.9382654405745</v>
      </c>
      <c r="Q67" s="189">
        <v>1564.2672852605444</v>
      </c>
      <c r="R67" s="189">
        <v>1594.5589952703924</v>
      </c>
      <c r="S67" s="189">
        <v>1633.3015853201844</v>
      </c>
      <c r="T67" s="189">
        <v>1688.0257285121843</v>
      </c>
    </row>
    <row r="68" spans="3:23" outlineLevel="1">
      <c r="C68" s="61"/>
      <c r="D68" s="30" t="s">
        <v>105</v>
      </c>
      <c r="E68" s="30" t="s">
        <v>18</v>
      </c>
      <c r="F68" s="30" t="s">
        <v>36</v>
      </c>
      <c r="G68" s="32"/>
      <c r="H68" s="32"/>
      <c r="J68" s="195"/>
      <c r="K68" s="188"/>
      <c r="L68" s="188"/>
      <c r="M68" s="188"/>
      <c r="N68" s="188"/>
      <c r="O68" s="189"/>
      <c r="P68" s="189"/>
      <c r="Q68" s="189"/>
      <c r="R68" s="189"/>
      <c r="S68" s="189"/>
      <c r="T68" s="189"/>
    </row>
    <row r="69" spans="3:23" outlineLevel="1">
      <c r="C69" s="61"/>
      <c r="D69" s="30" t="s">
        <v>105</v>
      </c>
      <c r="E69" s="30" t="s">
        <v>18</v>
      </c>
      <c r="F69" s="30" t="s">
        <v>36</v>
      </c>
      <c r="G69" s="32"/>
      <c r="H69" s="32"/>
      <c r="J69" s="195"/>
      <c r="K69" s="188"/>
      <c r="L69" s="188"/>
      <c r="M69" s="188"/>
      <c r="N69" s="188"/>
      <c r="O69" s="189"/>
      <c r="P69" s="189"/>
      <c r="Q69" s="189"/>
      <c r="R69" s="189"/>
      <c r="S69" s="189"/>
      <c r="T69" s="189"/>
    </row>
    <row r="70" spans="3:23" outlineLevel="1">
      <c r="C70" s="61"/>
      <c r="D70" s="30" t="s">
        <v>105</v>
      </c>
      <c r="E70" s="30" t="s">
        <v>18</v>
      </c>
      <c r="F70" s="30" t="s">
        <v>36</v>
      </c>
      <c r="G70" s="32"/>
      <c r="H70" s="32"/>
      <c r="J70" s="195"/>
      <c r="K70" s="188"/>
      <c r="L70" s="188"/>
      <c r="M70" s="188"/>
      <c r="N70" s="188"/>
      <c r="O70" s="189"/>
      <c r="P70" s="189"/>
      <c r="Q70" s="189"/>
      <c r="R70" s="189"/>
      <c r="S70" s="189"/>
      <c r="T70" s="189"/>
    </row>
    <row r="71" spans="3:23" ht="10.5" outlineLevel="1">
      <c r="C71" s="111"/>
      <c r="G71" s="32"/>
      <c r="H71" s="32"/>
      <c r="K71" s="23"/>
      <c r="L71" s="23"/>
      <c r="M71" s="23"/>
      <c r="N71" s="23"/>
      <c r="O71" s="23"/>
    </row>
    <row r="72" spans="3:23" ht="10.5" outlineLevel="1">
      <c r="C72" s="29" t="s">
        <v>40</v>
      </c>
      <c r="D72" s="30" t="s">
        <v>102</v>
      </c>
      <c r="E72" s="30" t="s">
        <v>28</v>
      </c>
      <c r="F72" s="30" t="s">
        <v>36</v>
      </c>
      <c r="J72" s="131" t="str">
        <f t="shared" ref="J72:S72" si="39">IF(J63=J$4,IF(COUNTA($C65:$C70)=COUNT(J65:J70),"Ok","Check"),"")</f>
        <v/>
      </c>
      <c r="K72" s="131" t="str">
        <f t="shared" si="39"/>
        <v/>
      </c>
      <c r="L72" s="131" t="str">
        <f t="shared" si="39"/>
        <v/>
      </c>
      <c r="M72" s="131" t="str">
        <f t="shared" si="39"/>
        <v/>
      </c>
      <c r="N72" s="131" t="str">
        <f t="shared" si="39"/>
        <v/>
      </c>
      <c r="O72" s="131" t="str">
        <f t="shared" si="39"/>
        <v>Ok</v>
      </c>
      <c r="P72" s="131" t="str">
        <f t="shared" si="39"/>
        <v>Ok</v>
      </c>
      <c r="Q72" s="131" t="str">
        <f t="shared" si="39"/>
        <v>Ok</v>
      </c>
      <c r="R72" s="131" t="str">
        <f t="shared" si="39"/>
        <v>Ok</v>
      </c>
      <c r="S72" s="131" t="str">
        <f t="shared" si="39"/>
        <v>Ok</v>
      </c>
      <c r="T72" s="131" t="str">
        <f>IF(T63=T$4,IF(COUNTA($C65:$C70)=COUNT(T65:T70),"Ok","Check"),"")</f>
        <v>Ok</v>
      </c>
      <c r="U72" s="24"/>
      <c r="W72" s="130" t="str">
        <f>IF(COUNTIF(J72:T72,"Check")=0,"Ok","Check")</f>
        <v>Ok</v>
      </c>
    </row>
    <row r="73" spans="3:23" ht="10.5" outlineLevel="1">
      <c r="C73" s="111"/>
      <c r="G73" s="32"/>
      <c r="H73" s="32"/>
      <c r="K73" s="23"/>
      <c r="L73" s="23"/>
      <c r="M73" s="23"/>
      <c r="N73" s="23"/>
      <c r="O73" s="23"/>
    </row>
    <row r="74" spans="3:23" ht="10.5" outlineLevel="1">
      <c r="C74" s="67" t="s">
        <v>91</v>
      </c>
      <c r="D74" s="32" t="s">
        <v>7</v>
      </c>
      <c r="E74" s="32" t="s">
        <v>8</v>
      </c>
      <c r="F74" s="32" t="s">
        <v>22</v>
      </c>
      <c r="G74" s="32"/>
      <c r="H74" s="32"/>
      <c r="J74" s="159" t="str">
        <f t="shared" ref="J74:T74" si="40">IF(YEAR(J$4)&gt;=FPFirstYear,IF(YEAR(J$4)&lt;=FPLastYear,J$4,""),"")</f>
        <v/>
      </c>
      <c r="K74" s="159" t="str">
        <f t="shared" si="40"/>
        <v/>
      </c>
      <c r="L74" s="159" t="str">
        <f t="shared" si="40"/>
        <v/>
      </c>
      <c r="M74" s="159" t="str">
        <f t="shared" si="40"/>
        <v/>
      </c>
      <c r="N74" s="159" t="str">
        <f t="shared" si="40"/>
        <v/>
      </c>
      <c r="O74" s="159" t="str">
        <f t="shared" si="40"/>
        <v/>
      </c>
      <c r="P74" s="159">
        <f t="shared" si="40"/>
        <v>46539</v>
      </c>
      <c r="Q74" s="159">
        <f t="shared" si="40"/>
        <v>46905</v>
      </c>
      <c r="R74" s="159">
        <f t="shared" si="40"/>
        <v>47270</v>
      </c>
      <c r="S74" s="159">
        <f t="shared" si="40"/>
        <v>47635</v>
      </c>
      <c r="T74" s="159">
        <f t="shared" si="40"/>
        <v>48000</v>
      </c>
      <c r="U74" s="29" t="str">
        <f>IF(RIGHT(U$4,2)&gt;=RIGHT('Input|General'!$G$13,2),IF(RIGHT(U$4,2)&lt;='Input|General'!$G$14,'Input|Reported opex'!T$4,""),"")</f>
        <v/>
      </c>
    </row>
    <row r="75" spans="3:23" ht="10.5" outlineLevel="1">
      <c r="C75" s="111"/>
      <c r="G75" s="32"/>
      <c r="H75" s="32"/>
      <c r="K75" s="23"/>
      <c r="L75" s="23"/>
      <c r="M75" s="23"/>
      <c r="N75" s="23"/>
      <c r="O75" s="23"/>
    </row>
    <row r="76" spans="3:23" outlineLevel="1">
      <c r="C76" s="147" t="str">
        <f>C65</f>
        <v>Customer numbers (#)</v>
      </c>
      <c r="D76" s="30" t="s">
        <v>102</v>
      </c>
      <c r="E76" s="30" t="s">
        <v>18</v>
      </c>
      <c r="F76" s="30" t="s">
        <v>36</v>
      </c>
      <c r="G76" s="32"/>
      <c r="H76" s="32"/>
      <c r="J76" s="117" t="str">
        <f t="shared" ref="J76:M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>IF(ISBLANK(M65),"",IF(ISBLANK(N65),"",LN(N65)-LN(M65)))</f>
        <v/>
      </c>
      <c r="O76" s="236" t="str">
        <f t="shared" ref="O76:T76" si="42">IF(ISBLANK(N65),"",IF(ISBLANK(O65),"",LN(O65)-LN(N65)))</f>
        <v/>
      </c>
      <c r="P76" s="117">
        <f t="shared" si="42"/>
        <v>1.9778445323753502E-2</v>
      </c>
      <c r="Q76" s="117">
        <f t="shared" si="42"/>
        <v>1.9402817215775414E-2</v>
      </c>
      <c r="R76" s="117">
        <f t="shared" si="42"/>
        <v>1.8966073933624372E-2</v>
      </c>
      <c r="S76" s="117">
        <f t="shared" si="42"/>
        <v>1.853445528022668E-2</v>
      </c>
      <c r="T76" s="117">
        <f t="shared" si="42"/>
        <v>1.8076067377680971E-2</v>
      </c>
    </row>
    <row r="77" spans="3:23" outlineLevel="1">
      <c r="C77" s="147" t="str">
        <f t="shared" ref="C77:C81" si="43">C66</f>
        <v>Circuit Length (km)</v>
      </c>
      <c r="D77" s="30" t="s">
        <v>102</v>
      </c>
      <c r="E77" s="30" t="s">
        <v>18</v>
      </c>
      <c r="F77" s="30" t="s">
        <v>36</v>
      </c>
      <c r="G77" s="32"/>
      <c r="H77" s="32"/>
      <c r="J77" s="117" t="str">
        <f t="shared" ref="J77:T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 t="shared" si="44"/>
        <v/>
      </c>
      <c r="O77" s="236" t="str">
        <f t="shared" si="44"/>
        <v/>
      </c>
      <c r="P77" s="117">
        <f t="shared" si="44"/>
        <v>9.5992634016539569E-4</v>
      </c>
      <c r="Q77" s="117">
        <f t="shared" si="44"/>
        <v>9.6073870506430126E-4</v>
      </c>
      <c r="R77" s="117">
        <f t="shared" si="44"/>
        <v>9.6155104053785578E-4</v>
      </c>
      <c r="S77" s="117">
        <f t="shared" si="44"/>
        <v>9.6236334526622613E-4</v>
      </c>
      <c r="T77" s="117">
        <f t="shared" si="44"/>
        <v>9.6317561793135553E-4</v>
      </c>
    </row>
    <row r="78" spans="3:23" outlineLevel="1">
      <c r="C78" s="147" t="str">
        <f t="shared" si="43"/>
        <v>Ratcheted Maximum Demand (MW)</v>
      </c>
      <c r="D78" s="30" t="s">
        <v>102</v>
      </c>
      <c r="E78" s="30" t="s">
        <v>18</v>
      </c>
      <c r="F78" s="30" t="s">
        <v>36</v>
      </c>
      <c r="G78" s="32"/>
      <c r="H78" s="32"/>
      <c r="J78" s="117" t="str">
        <f t="shared" ref="J78:O78" si="45">IF(ISBLANK(I67),"",IF(ISBLANK(J67),"",LN(J67)-LN(I67)))</f>
        <v/>
      </c>
      <c r="K78" s="117" t="str">
        <f t="shared" si="45"/>
        <v/>
      </c>
      <c r="L78" s="117" t="str">
        <f t="shared" si="45"/>
        <v/>
      </c>
      <c r="M78" s="117" t="str">
        <f t="shared" si="45"/>
        <v/>
      </c>
      <c r="N78" s="117" t="str">
        <f t="shared" si="45"/>
        <v/>
      </c>
      <c r="O78" s="236" t="str">
        <f t="shared" si="45"/>
        <v/>
      </c>
      <c r="P78" s="117">
        <f t="shared" ref="P78:T79" si="46">IF(ISBLANK(O67),"",IF(ISBLANK(P67),"",LN(P67)-LN(O67)))</f>
        <v>2.5507424289799019E-3</v>
      </c>
      <c r="Q78" s="117">
        <f t="shared" si="46"/>
        <v>1.1786508455700506E-2</v>
      </c>
      <c r="R78" s="117">
        <f t="shared" si="46"/>
        <v>1.9179679986547349E-2</v>
      </c>
      <c r="S78" s="117">
        <f t="shared" si="46"/>
        <v>2.4006272688123609E-2</v>
      </c>
      <c r="T78" s="117">
        <f t="shared" si="46"/>
        <v>3.2956159366706039E-2</v>
      </c>
    </row>
    <row r="79" spans="3:23" outlineLevel="1">
      <c r="C79" s="147">
        <f t="shared" si="43"/>
        <v>0</v>
      </c>
      <c r="D79" s="30" t="s">
        <v>102</v>
      </c>
      <c r="E79" s="30" t="s">
        <v>18</v>
      </c>
      <c r="F79" s="30" t="s">
        <v>36</v>
      </c>
      <c r="G79" s="32"/>
      <c r="H79" s="32"/>
      <c r="J79" s="117" t="str">
        <f t="shared" ref="J79:O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6"/>
        <v/>
      </c>
      <c r="Q79" s="117" t="str">
        <f t="shared" si="46"/>
        <v/>
      </c>
      <c r="R79" s="117" t="str">
        <f t="shared" si="46"/>
        <v/>
      </c>
      <c r="S79" s="117" t="str">
        <f t="shared" si="46"/>
        <v/>
      </c>
      <c r="T79" s="117" t="str">
        <f t="shared" si="46"/>
        <v/>
      </c>
    </row>
    <row r="80" spans="3:23" outlineLevel="1">
      <c r="C80" s="147">
        <f t="shared" si="43"/>
        <v>0</v>
      </c>
      <c r="D80" s="30" t="s">
        <v>102</v>
      </c>
      <c r="E80" s="30" t="s">
        <v>18</v>
      </c>
      <c r="F80" s="30" t="s">
        <v>36</v>
      </c>
      <c r="G80" s="32"/>
      <c r="H80" s="32"/>
      <c r="J80" s="117" t="str">
        <f t="shared" ref="J80:T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</row>
    <row r="81" spans="3:20" outlineLevel="1">
      <c r="C81" s="147">
        <f t="shared" si="43"/>
        <v>0</v>
      </c>
      <c r="D81" s="30" t="s">
        <v>102</v>
      </c>
      <c r="E81" s="30" t="s">
        <v>18</v>
      </c>
      <c r="F81" s="30" t="s">
        <v>36</v>
      </c>
      <c r="G81" s="32"/>
      <c r="H81" s="32"/>
      <c r="J81" s="117" t="str">
        <f t="shared" ref="J81:O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/>
      <c r="Q81" s="117"/>
      <c r="R81" s="117"/>
      <c r="S81" s="117"/>
      <c r="T81" s="117"/>
    </row>
    <row r="82" spans="3:20" ht="10.5" outlineLevel="1">
      <c r="C82" s="111"/>
      <c r="G82" s="32"/>
      <c r="H82" s="32"/>
      <c r="K82" s="23"/>
      <c r="L82" s="23"/>
      <c r="M82" s="23"/>
      <c r="N82" s="23"/>
      <c r="O82" s="23"/>
      <c r="P82" s="117"/>
      <c r="Q82" s="117"/>
      <c r="R82" s="117"/>
      <c r="S82" s="117"/>
      <c r="T82" s="117"/>
    </row>
    <row r="83" spans="3:20" ht="10.5" outlineLevel="1">
      <c r="C83" s="111"/>
      <c r="G83" s="32"/>
      <c r="H83" s="32"/>
      <c r="K83" s="23"/>
      <c r="L83" s="23"/>
      <c r="M83" s="23"/>
      <c r="N83" s="23"/>
      <c r="O83" s="23"/>
      <c r="P83" s="117"/>
      <c r="Q83" s="117"/>
      <c r="R83" s="117"/>
      <c r="S83" s="117"/>
      <c r="T83" s="117"/>
    </row>
    <row r="84" spans="3:20" ht="10.5" outlineLevel="1">
      <c r="C84" s="9" t="s">
        <v>208</v>
      </c>
      <c r="D84" s="21" t="s">
        <v>7</v>
      </c>
      <c r="E84" s="21" t="s">
        <v>8</v>
      </c>
      <c r="F84" s="21" t="s">
        <v>22</v>
      </c>
      <c r="G84" s="21"/>
      <c r="H84" s="21"/>
      <c r="I84" s="16"/>
      <c r="J84" s="218" t="s">
        <v>182</v>
      </c>
      <c r="K84" s="218" t="s">
        <v>183</v>
      </c>
      <c r="L84" s="218" t="s">
        <v>184</v>
      </c>
      <c r="M84" s="218" t="s">
        <v>193</v>
      </c>
      <c r="N84" s="23"/>
      <c r="O84" s="23"/>
      <c r="P84" s="117"/>
      <c r="Q84" s="117"/>
      <c r="R84" s="117"/>
      <c r="S84" s="117"/>
      <c r="T84" s="117"/>
    </row>
    <row r="85" spans="3:20" ht="10.5" outlineLevel="1">
      <c r="C85" s="15"/>
      <c r="D85" s="16"/>
      <c r="E85" s="16"/>
      <c r="F85" s="16"/>
      <c r="G85" s="21"/>
      <c r="H85" s="21"/>
      <c r="I85" s="16"/>
      <c r="J85" s="16"/>
      <c r="K85" s="219"/>
      <c r="L85" s="219"/>
      <c r="M85" s="219"/>
      <c r="N85" s="23"/>
      <c r="O85" s="23"/>
      <c r="P85" s="117"/>
      <c r="Q85" s="117"/>
      <c r="R85" s="117"/>
      <c r="S85" s="117"/>
      <c r="T85" s="117"/>
    </row>
    <row r="86" spans="3:20" outlineLevel="1">
      <c r="C86" s="220" t="str">
        <f>C65</f>
        <v>Customer numbers (#)</v>
      </c>
      <c r="D86" s="16" t="s">
        <v>105</v>
      </c>
      <c r="E86" s="16" t="s">
        <v>18</v>
      </c>
      <c r="F86" s="16" t="s">
        <v>36</v>
      </c>
      <c r="G86" s="21"/>
      <c r="H86" s="238"/>
      <c r="I86" s="237"/>
      <c r="J86" s="60">
        <v>0.28000000000000003</v>
      </c>
      <c r="K86" s="60">
        <v>0.53600000000000003</v>
      </c>
      <c r="L86" s="60">
        <v>0.35699999999999998</v>
      </c>
      <c r="M86" s="60">
        <v>0.318</v>
      </c>
      <c r="N86" s="117"/>
      <c r="O86" s="117"/>
      <c r="P86" s="117"/>
      <c r="Q86" s="117"/>
      <c r="R86" s="117"/>
      <c r="S86" s="117"/>
      <c r="T86" s="117"/>
    </row>
    <row r="87" spans="3:20" ht="10.5" outlineLevel="1">
      <c r="C87" s="220" t="str">
        <f t="shared" ref="C87:C89" si="50">C66</f>
        <v>Circuit Length (km)</v>
      </c>
      <c r="D87" s="16" t="s">
        <v>105</v>
      </c>
      <c r="E87" s="16" t="s">
        <v>18</v>
      </c>
      <c r="F87" s="16" t="s">
        <v>36</v>
      </c>
      <c r="G87" s="21"/>
      <c r="H87" s="238"/>
      <c r="I87" s="237"/>
      <c r="J87" s="60">
        <v>0.129</v>
      </c>
      <c r="K87" s="60">
        <v>0.22800000000000001</v>
      </c>
      <c r="L87" s="60">
        <v>0.23799999999999999</v>
      </c>
      <c r="M87" s="60">
        <v>0.16600000000000001</v>
      </c>
      <c r="N87" s="23"/>
      <c r="O87" s="23"/>
      <c r="P87" s="117"/>
      <c r="Q87" s="117"/>
      <c r="R87" s="117"/>
      <c r="S87" s="117"/>
      <c r="T87" s="117"/>
    </row>
    <row r="88" spans="3:20" ht="10.5" outlineLevel="1">
      <c r="C88" s="220" t="str">
        <f t="shared" si="50"/>
        <v>Ratcheted Maximum Demand (MW)</v>
      </c>
      <c r="D88" s="16" t="s">
        <v>105</v>
      </c>
      <c r="E88" s="16" t="s">
        <v>18</v>
      </c>
      <c r="F88" s="16" t="s">
        <v>36</v>
      </c>
      <c r="G88" s="21"/>
      <c r="H88" s="238"/>
      <c r="I88" s="237"/>
      <c r="J88" s="60">
        <v>0.55300000000000005</v>
      </c>
      <c r="K88" s="60">
        <v>0.19900000000000001</v>
      </c>
      <c r="L88" s="60">
        <v>0.36099999999999999</v>
      </c>
      <c r="M88" s="60">
        <v>0.443</v>
      </c>
      <c r="N88" s="23"/>
      <c r="O88" s="23"/>
      <c r="P88" s="117"/>
      <c r="Q88" s="117"/>
      <c r="R88" s="117"/>
      <c r="S88" s="117"/>
      <c r="T88" s="117"/>
    </row>
    <row r="89" spans="3:20" ht="10.5" outlineLevel="1">
      <c r="C89" s="220">
        <f t="shared" si="50"/>
        <v>0</v>
      </c>
      <c r="D89" s="16" t="s">
        <v>105</v>
      </c>
      <c r="E89" s="16" t="s">
        <v>18</v>
      </c>
      <c r="F89" s="16" t="s">
        <v>36</v>
      </c>
      <c r="G89" s="21"/>
      <c r="H89" s="21"/>
      <c r="I89" s="16"/>
      <c r="J89" s="221"/>
      <c r="K89" s="222"/>
      <c r="L89" s="222"/>
      <c r="M89" s="221"/>
      <c r="N89" s="23"/>
      <c r="O89" s="23"/>
      <c r="P89" s="117"/>
      <c r="Q89" s="117"/>
      <c r="R89" s="117"/>
      <c r="S89" s="117"/>
      <c r="T89" s="117"/>
    </row>
    <row r="90" spans="3:20" ht="10.5" outlineLevel="1">
      <c r="C90" s="220">
        <f t="shared" ref="C90:C91" si="51">C70</f>
        <v>0</v>
      </c>
      <c r="D90" s="16" t="s">
        <v>105</v>
      </c>
      <c r="E90" s="16" t="s">
        <v>18</v>
      </c>
      <c r="F90" s="16" t="s">
        <v>36</v>
      </c>
      <c r="G90" s="21"/>
      <c r="H90" s="21"/>
      <c r="I90" s="16"/>
      <c r="J90" s="222"/>
      <c r="K90" s="222"/>
      <c r="L90" s="222"/>
      <c r="M90" s="222"/>
      <c r="N90" s="23"/>
      <c r="O90" s="23"/>
      <c r="P90" s="117"/>
      <c r="Q90" s="117"/>
      <c r="R90" s="117"/>
      <c r="S90" s="117"/>
      <c r="T90" s="117"/>
    </row>
    <row r="91" spans="3:20" ht="10.5" outlineLevel="1">
      <c r="C91" s="220">
        <f t="shared" si="51"/>
        <v>0</v>
      </c>
      <c r="D91" s="16" t="s">
        <v>105</v>
      </c>
      <c r="E91" s="16" t="s">
        <v>18</v>
      </c>
      <c r="F91" s="16" t="s">
        <v>36</v>
      </c>
      <c r="G91" s="21"/>
      <c r="H91" s="21"/>
      <c r="I91" s="16"/>
      <c r="J91" s="222"/>
      <c r="K91" s="222"/>
      <c r="L91" s="222"/>
      <c r="M91" s="222"/>
      <c r="N91" s="23"/>
      <c r="O91" s="23"/>
      <c r="P91" s="117"/>
      <c r="Q91" s="117"/>
      <c r="R91" s="117"/>
      <c r="S91" s="117"/>
      <c r="T91" s="117"/>
    </row>
    <row r="92" spans="3:20" ht="10.5" outlineLevel="1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117"/>
      <c r="Q92" s="117"/>
      <c r="R92" s="117"/>
      <c r="S92" s="117"/>
      <c r="T92" s="117"/>
    </row>
    <row r="93" spans="3:20" ht="10.5" outlineLevel="1">
      <c r="C93" s="67" t="s">
        <v>181</v>
      </c>
      <c r="D93" s="32" t="s">
        <v>7</v>
      </c>
      <c r="E93" s="32" t="s">
        <v>8</v>
      </c>
      <c r="F93" s="32" t="s">
        <v>22</v>
      </c>
      <c r="G93" s="32"/>
      <c r="H93" s="126"/>
      <c r="I93" s="110"/>
      <c r="J93" s="201" t="s">
        <v>182</v>
      </c>
      <c r="K93" s="201" t="s">
        <v>183</v>
      </c>
      <c r="L93" s="201" t="s">
        <v>184</v>
      </c>
      <c r="M93" s="201" t="s">
        <v>193</v>
      </c>
      <c r="N93" s="23"/>
      <c r="O93" s="159"/>
      <c r="P93" s="117"/>
      <c r="Q93" s="117"/>
      <c r="R93" s="117"/>
      <c r="S93" s="117"/>
      <c r="T93" s="117"/>
    </row>
    <row r="94" spans="3:20" ht="10.5" outlineLevel="1">
      <c r="C94" s="111"/>
      <c r="G94" s="32"/>
      <c r="H94" s="32"/>
      <c r="K94" s="23"/>
      <c r="L94" s="23"/>
      <c r="M94" s="23"/>
      <c r="N94" s="107"/>
      <c r="O94" s="107"/>
      <c r="P94" s="117"/>
      <c r="Q94" s="117"/>
      <c r="R94" s="117"/>
      <c r="S94" s="117"/>
      <c r="T94" s="117"/>
    </row>
    <row r="95" spans="3:20" outlineLevel="1">
      <c r="C95" s="147" t="str">
        <f t="shared" ref="C95:C100" si="52">C65</f>
        <v>Customer numbers (#)</v>
      </c>
      <c r="D95" s="30" t="s">
        <v>105</v>
      </c>
      <c r="E95" s="30" t="s">
        <v>18</v>
      </c>
      <c r="F95" s="30" t="s">
        <v>36</v>
      </c>
      <c r="G95" s="32"/>
      <c r="H95" s="32"/>
      <c r="J95" s="223">
        <f>J86/SUM(J$86:J$91)</f>
        <v>0.29106029106029108</v>
      </c>
      <c r="K95" s="223">
        <f t="shared" ref="K95:M95" si="53">K86/SUM(K$86:K$91)</f>
        <v>0.55659397715472481</v>
      </c>
      <c r="L95" s="223">
        <f t="shared" si="53"/>
        <v>0.37343096234309625</v>
      </c>
      <c r="M95" s="223">
        <f t="shared" si="53"/>
        <v>0.34304207119741098</v>
      </c>
      <c r="N95" s="186"/>
      <c r="O95" s="107"/>
      <c r="P95" s="117"/>
      <c r="Q95" s="117"/>
      <c r="R95" s="117"/>
      <c r="S95" s="117"/>
      <c r="T95" s="117"/>
    </row>
    <row r="96" spans="3:20" outlineLevel="1">
      <c r="C96" s="147" t="str">
        <f t="shared" si="52"/>
        <v>Circuit Length (km)</v>
      </c>
      <c r="D96" s="30" t="s">
        <v>105</v>
      </c>
      <c r="E96" s="30" t="s">
        <v>18</v>
      </c>
      <c r="F96" s="30" t="s">
        <v>36</v>
      </c>
      <c r="G96" s="32"/>
      <c r="H96" s="32"/>
      <c r="J96" s="223">
        <f t="shared" ref="J96:M100" si="54">J87/SUM(J$86:J$91)</f>
        <v>0.13409563409563408</v>
      </c>
      <c r="K96" s="223">
        <f t="shared" si="54"/>
        <v>0.2367601246105919</v>
      </c>
      <c r="L96" s="223">
        <f t="shared" si="54"/>
        <v>0.2489539748953975</v>
      </c>
      <c r="M96" s="223">
        <f t="shared" si="54"/>
        <v>0.17907227615965479</v>
      </c>
      <c r="N96" s="186"/>
      <c r="O96" s="107"/>
      <c r="P96" s="117"/>
      <c r="Q96" s="117"/>
      <c r="R96" s="117"/>
      <c r="S96" s="117"/>
      <c r="T96" s="117"/>
    </row>
    <row r="97" spans="1:50" outlineLevel="1">
      <c r="C97" s="147" t="str">
        <f t="shared" si="52"/>
        <v>Ratcheted Maximum Demand (MW)</v>
      </c>
      <c r="D97" s="30" t="s">
        <v>105</v>
      </c>
      <c r="E97" s="30" t="s">
        <v>18</v>
      </c>
      <c r="F97" s="30" t="s">
        <v>36</v>
      </c>
      <c r="G97" s="32"/>
      <c r="H97" s="32"/>
      <c r="J97" s="223">
        <f t="shared" si="54"/>
        <v>0.57484407484407485</v>
      </c>
      <c r="K97" s="223">
        <f t="shared" si="54"/>
        <v>0.20664589823468327</v>
      </c>
      <c r="L97" s="223">
        <f t="shared" si="54"/>
        <v>0.3776150627615063</v>
      </c>
      <c r="M97" s="223">
        <f t="shared" si="54"/>
        <v>0.4778856526429342</v>
      </c>
      <c r="N97" s="186"/>
      <c r="O97" s="186"/>
      <c r="P97" s="208"/>
      <c r="Q97" s="208"/>
      <c r="R97" s="208"/>
      <c r="S97" s="208"/>
      <c r="T97" s="208"/>
    </row>
    <row r="98" spans="1:50" outlineLevel="1">
      <c r="C98" s="147">
        <f t="shared" si="52"/>
        <v>0</v>
      </c>
      <c r="D98" s="30" t="s">
        <v>105</v>
      </c>
      <c r="E98" s="30" t="s">
        <v>18</v>
      </c>
      <c r="F98" s="30" t="s">
        <v>36</v>
      </c>
      <c r="G98" s="32"/>
      <c r="H98" s="32"/>
      <c r="J98" s="224">
        <f t="shared" si="54"/>
        <v>0</v>
      </c>
      <c r="K98" s="224">
        <f t="shared" si="54"/>
        <v>0</v>
      </c>
      <c r="L98" s="224">
        <f t="shared" si="54"/>
        <v>0</v>
      </c>
      <c r="M98" s="224">
        <f t="shared" si="54"/>
        <v>0</v>
      </c>
      <c r="N98" s="186"/>
      <c r="O98" s="186"/>
      <c r="P98" s="186"/>
      <c r="Q98" s="186"/>
      <c r="R98" s="186"/>
      <c r="S98" s="186"/>
      <c r="T98" s="186"/>
    </row>
    <row r="99" spans="1:50" outlineLevel="1">
      <c r="C99" s="147">
        <f t="shared" si="52"/>
        <v>0</v>
      </c>
      <c r="D99" s="30" t="s">
        <v>105</v>
      </c>
      <c r="E99" s="30" t="s">
        <v>18</v>
      </c>
      <c r="F99" s="30" t="s">
        <v>36</v>
      </c>
      <c r="G99" s="32"/>
      <c r="H99" s="32"/>
      <c r="J99" s="224">
        <f t="shared" si="54"/>
        <v>0</v>
      </c>
      <c r="K99" s="224">
        <f t="shared" si="54"/>
        <v>0</v>
      </c>
      <c r="L99" s="224">
        <f t="shared" si="54"/>
        <v>0</v>
      </c>
      <c r="M99" s="224">
        <f t="shared" si="54"/>
        <v>0</v>
      </c>
      <c r="N99" s="186"/>
      <c r="O99" s="186"/>
      <c r="P99" s="186"/>
      <c r="Q99" s="186"/>
      <c r="R99" s="186"/>
      <c r="S99" s="186"/>
      <c r="T99" s="186"/>
    </row>
    <row r="100" spans="1:50" outlineLevel="1">
      <c r="C100" s="147">
        <f t="shared" si="52"/>
        <v>0</v>
      </c>
      <c r="D100" s="30" t="s">
        <v>105</v>
      </c>
      <c r="E100" s="30" t="s">
        <v>18</v>
      </c>
      <c r="F100" s="30" t="s">
        <v>36</v>
      </c>
      <c r="G100" s="32"/>
      <c r="H100" s="32"/>
      <c r="J100" s="224">
        <f t="shared" si="54"/>
        <v>0</v>
      </c>
      <c r="K100" s="224">
        <f t="shared" si="54"/>
        <v>0</v>
      </c>
      <c r="L100" s="224">
        <f t="shared" si="54"/>
        <v>0</v>
      </c>
      <c r="M100" s="224">
        <f t="shared" si="54"/>
        <v>0</v>
      </c>
      <c r="N100" s="186"/>
      <c r="O100" s="186"/>
      <c r="P100" s="186"/>
      <c r="Q100" s="186"/>
      <c r="R100" s="186"/>
      <c r="S100" s="186"/>
      <c r="T100" s="186"/>
    </row>
    <row r="101" spans="1:50" outlineLevel="1">
      <c r="G101" s="32"/>
      <c r="H101" s="32"/>
    </row>
    <row r="102" spans="1:50" ht="10.5" outlineLevel="1">
      <c r="C102" s="29" t="s">
        <v>40</v>
      </c>
      <c r="D102" s="30" t="s">
        <v>102</v>
      </c>
      <c r="E102" s="30" t="s">
        <v>28</v>
      </c>
      <c r="F102" s="30" t="s">
        <v>36</v>
      </c>
      <c r="J102" s="131" t="str">
        <f t="array" ref="J102">IF(ISBLANK(J95:J100),"",IF(SUM(J95:J100)=1,"Ok","Check"))</f>
        <v>Ok</v>
      </c>
      <c r="K102" s="131" t="str">
        <f t="array" ref="K102">IF(ISBLANK(K95:K100),"",IF(SUM(K95:K100)=1,"Ok","Check"))</f>
        <v>Ok</v>
      </c>
      <c r="L102" s="131" t="str">
        <f t="array" ref="L102">IF(ISBLANK(L95:L100),"",IF(SUM(L95:L100)=1,"Ok","Check"))</f>
        <v>Ok</v>
      </c>
      <c r="M102" s="131" t="str">
        <f t="array" ref="M102">IF(ISBLANK(M95:M100),"",IF(SUM(M95:M100)=1,"Ok","Check"))</f>
        <v>Ok</v>
      </c>
      <c r="N102" s="131" t="str">
        <f t="array" ref="N102">IF(ISBLANK(N95:N100),"",IF(SUM(N95:N100)=1,"Ok","Check"))</f>
        <v/>
      </c>
      <c r="O102" s="131" t="str">
        <f t="array" ref="O102">IF(ISBLANK(O95:O100),"",IF(SUM(O95:O100)=1,"Ok","Check"))</f>
        <v/>
      </c>
      <c r="P102" s="131" t="str">
        <f t="array" ref="P102">IF(ISBLANK(P95:P100),"",IF(SUM(P95:P100)=1,"Ok","Check"))</f>
        <v/>
      </c>
      <c r="Q102" s="131" t="str">
        <f t="array" ref="Q102">IF(ISBLANK(Q95:Q100),"",IF(SUM(Q95:Q100)=1,"Ok","Check"))</f>
        <v/>
      </c>
      <c r="R102" s="131" t="str">
        <f t="array" ref="R102">IF(ISBLANK(R95:R100),"",IF(SUM(R95:R100)=1,"Ok","Check"))</f>
        <v/>
      </c>
      <c r="S102" s="131" t="str">
        <f t="array" ref="S102">IF(ISBLANK(S95:S100),"",IF(SUM(S95:S100)=1,"Ok","Check"))</f>
        <v/>
      </c>
      <c r="T102" s="131" t="str">
        <f t="array" ref="T102">IF(ISBLANK(T95:T100),"",IF(SUM(T95:T100)=1,"Ok","Check"))</f>
        <v/>
      </c>
      <c r="U102" s="24"/>
      <c r="W102" s="130" t="str">
        <f>IF(COUNTIF(K102:T102,"Check")=0,"Ok","Check")</f>
        <v>Ok</v>
      </c>
    </row>
    <row r="103" spans="1:50" ht="10.5" outlineLevel="1"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24"/>
      <c r="W103" s="131"/>
    </row>
    <row r="104" spans="1:50" ht="10.5" outlineLevel="1">
      <c r="C104" s="67" t="s">
        <v>185</v>
      </c>
      <c r="D104" s="32" t="s">
        <v>7</v>
      </c>
      <c r="E104" s="32" t="s">
        <v>8</v>
      </c>
      <c r="F104" s="32" t="s">
        <v>22</v>
      </c>
      <c r="J104" s="159" t="str">
        <f t="shared" ref="J104:P104" si="55">IF(YEAR(J$4)&gt;=FPFirstYear,IF(YEAR(J$4)&lt;=FPLastYear,J$4,""),"")</f>
        <v/>
      </c>
      <c r="K104" s="159" t="str">
        <f t="shared" si="55"/>
        <v/>
      </c>
      <c r="L104" s="159" t="str">
        <f t="shared" si="55"/>
        <v/>
      </c>
      <c r="M104" s="159" t="str">
        <f t="shared" si="55"/>
        <v/>
      </c>
      <c r="N104" s="159" t="str">
        <f t="shared" si="55"/>
        <v/>
      </c>
      <c r="O104" s="159" t="str">
        <f t="shared" si="55"/>
        <v/>
      </c>
      <c r="P104" s="159">
        <f t="shared" si="55"/>
        <v>46539</v>
      </c>
      <c r="Q104" s="159">
        <f>IF(YEAR(Q$4)&gt;FPFirstYear,IF(YEAR(Q$4)&lt;=FPLastYear,Q$4,""),"")</f>
        <v>46905</v>
      </c>
      <c r="R104" s="159">
        <f>IF(YEAR(R$4)&gt;FPFirstYear,IF(YEAR(R$4)&lt;=FPLastYear,R$4,""),"")</f>
        <v>47270</v>
      </c>
      <c r="S104" s="159">
        <f>IF(YEAR(S$4)&gt;FPFirstYear,IF(YEAR(S$4)&lt;=FPLastYear,S$4,""),"")</f>
        <v>47635</v>
      </c>
      <c r="T104" s="159">
        <f>IF(YEAR(T$4)&gt;FPFirstYear,IF(YEAR(T$4)&lt;=FPLastYear,T$4,""),"")</f>
        <v>48000</v>
      </c>
      <c r="U104" s="24"/>
      <c r="W104" s="131"/>
    </row>
    <row r="105" spans="1:50" ht="10.5" outlineLevel="1"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24"/>
      <c r="W105" s="131"/>
    </row>
    <row r="106" spans="1:50" ht="10.5" outlineLevel="1">
      <c r="C106" s="147" t="str">
        <f t="array" ref="C106:C109">TRANSPOSE(J93:M93)</f>
        <v>SFA CD</v>
      </c>
      <c r="D106" s="30" t="s">
        <v>102</v>
      </c>
      <c r="E106" s="30" t="s">
        <v>18</v>
      </c>
      <c r="F106" s="30" t="s">
        <v>36</v>
      </c>
      <c r="J106" s="117" t="str">
        <f t="shared" ref="J106:T106" si="56">IF(J$104=J$4,SUMPRODUCT(J$76:J$81,$J$95:$J$100),"")</f>
        <v/>
      </c>
      <c r="K106" s="117" t="str">
        <f t="shared" si="56"/>
        <v/>
      </c>
      <c r="L106" s="117" t="str">
        <f t="shared" si="56"/>
        <v/>
      </c>
      <c r="M106" s="117" t="str">
        <f t="shared" si="56"/>
        <v/>
      </c>
      <c r="N106" s="117" t="str">
        <f t="shared" si="56"/>
        <v/>
      </c>
      <c r="O106" s="117" t="str">
        <f t="shared" si="56"/>
        <v/>
      </c>
      <c r="P106" s="236">
        <f t="shared" si="56"/>
        <v>7.3517211556738075E-3</v>
      </c>
      <c r="Q106" s="117">
        <f t="shared" si="56"/>
        <v>1.2551625040928056E-2</v>
      </c>
      <c r="R106" s="117">
        <f t="shared" si="56"/>
        <v>1.6674536193560179E-2</v>
      </c>
      <c r="S106" s="117">
        <f t="shared" si="56"/>
        <v>1.9323556285379594E-2</v>
      </c>
      <c r="T106" s="117">
        <f t="shared" si="56"/>
        <v>2.4335036018973241E-2</v>
      </c>
      <c r="U106" s="24"/>
      <c r="W106" s="131"/>
    </row>
    <row r="107" spans="1:50" ht="10.5" outlineLevel="1">
      <c r="C107" s="147" t="str">
        <v>LSE CD</v>
      </c>
      <c r="D107" s="30" t="s">
        <v>102</v>
      </c>
      <c r="E107" s="30" t="s">
        <v>18</v>
      </c>
      <c r="F107" s="30" t="s">
        <v>36</v>
      </c>
      <c r="J107" s="117" t="str">
        <f t="shared" ref="J107:T107" si="57">IF(J$104=J$4,SUMPRODUCT(J$76:J$81,$K$95:$K$100),"")</f>
        <v/>
      </c>
      <c r="K107" s="117" t="str">
        <f t="shared" si="57"/>
        <v/>
      </c>
      <c r="L107" s="117" t="str">
        <f t="shared" si="57"/>
        <v/>
      </c>
      <c r="M107" s="117" t="str">
        <f t="shared" si="57"/>
        <v/>
      </c>
      <c r="N107" s="117" t="str">
        <f t="shared" si="57"/>
        <v/>
      </c>
      <c r="O107" s="117" t="str">
        <f t="shared" si="57"/>
        <v/>
      </c>
      <c r="P107" s="117">
        <f t="shared" si="57"/>
        <v>1.1762936285001649E-2</v>
      </c>
      <c r="Q107" s="117">
        <f t="shared" si="57"/>
        <v>1.3462589444542764E-2</v>
      </c>
      <c r="R107" s="117">
        <f t="shared" si="57"/>
        <v>1.4747461664577587E-2</v>
      </c>
      <c r="S107" s="117">
        <f t="shared" si="57"/>
        <v>1.5504813227267704E-2</v>
      </c>
      <c r="T107" s="117">
        <f t="shared" si="57"/>
        <v>1.7099326967081881E-2</v>
      </c>
      <c r="U107" s="24"/>
      <c r="W107" s="131"/>
    </row>
    <row r="108" spans="1:50" ht="10.5" outlineLevel="1">
      <c r="C108" s="147" t="str">
        <v>LSE TLG</v>
      </c>
      <c r="D108" s="30" t="s">
        <v>102</v>
      </c>
      <c r="E108" s="30" t="s">
        <v>18</v>
      </c>
      <c r="F108" s="30" t="s">
        <v>36</v>
      </c>
      <c r="J108" s="117" t="str">
        <f t="shared" ref="J108:T108" si="58">IF(J$104=J$4,SUMPRODUCT(J$76:J$81,$L$95:$L$100),"")</f>
        <v/>
      </c>
      <c r="K108" s="117" t="str">
        <f t="shared" si="58"/>
        <v/>
      </c>
      <c r="L108" s="117" t="str">
        <f t="shared" si="58"/>
        <v/>
      </c>
      <c r="M108" s="117" t="str">
        <f t="shared" si="58"/>
        <v/>
      </c>
      <c r="N108" s="117" t="str">
        <f t="shared" si="58"/>
        <v/>
      </c>
      <c r="O108" s="117" t="str">
        <f t="shared" si="58"/>
        <v/>
      </c>
      <c r="P108" s="117">
        <f t="shared" si="58"/>
        <v>8.5880601112982308E-3</v>
      </c>
      <c r="Q108" s="117">
        <f t="shared" si="58"/>
        <v>1.1935555554754194E-2</v>
      </c>
      <c r="R108" s="117">
        <f t="shared" si="58"/>
        <v>1.456443725637605E-2</v>
      </c>
      <c r="S108" s="117">
        <f t="shared" si="58"/>
        <v>1.6226053819693421E-2</v>
      </c>
      <c r="T108" s="117">
        <f t="shared" si="58"/>
        <v>1.9434691822469298E-2</v>
      </c>
      <c r="U108" s="24"/>
      <c r="W108" s="131"/>
    </row>
    <row r="109" spans="1:50" ht="10.5" outlineLevel="1">
      <c r="C109" s="147" t="str">
        <v>SFA TLG</v>
      </c>
      <c r="D109" s="30" t="s">
        <v>102</v>
      </c>
      <c r="E109" s="30" t="s">
        <v>18</v>
      </c>
      <c r="F109" s="30" t="s">
        <v>36</v>
      </c>
      <c r="J109" s="117" t="str">
        <f t="shared" ref="J109:T109" si="59">IF(J$104=J$4,SUMPRODUCT(J$76:J$81,$M$95:$M$100),"")</f>
        <v/>
      </c>
      <c r="K109" s="117" t="str">
        <f t="shared" si="59"/>
        <v/>
      </c>
      <c r="L109" s="117" t="str">
        <f t="shared" si="59"/>
        <v/>
      </c>
      <c r="M109" s="117" t="str">
        <f t="shared" si="59"/>
        <v/>
      </c>
      <c r="N109" s="117" t="str">
        <f t="shared" si="59"/>
        <v/>
      </c>
      <c r="O109" s="117" t="str">
        <f t="shared" si="59"/>
        <v/>
      </c>
      <c r="P109" s="117">
        <f t="shared" si="59"/>
        <v>8.1756982540012579E-3</v>
      </c>
      <c r="Q109" s="117">
        <f t="shared" si="59"/>
        <v>1.2460627557208824E-2</v>
      </c>
      <c r="R109" s="117">
        <f t="shared" si="59"/>
        <v>1.5844042306000335E-2</v>
      </c>
      <c r="S109" s="117">
        <f t="shared" si="59"/>
        <v>1.8002683813662389E-2</v>
      </c>
      <c r="T109" s="117">
        <f t="shared" si="59"/>
        <v>2.2122605370150948E-2</v>
      </c>
      <c r="U109" s="24"/>
      <c r="W109" s="131"/>
    </row>
    <row r="110" spans="1:50" ht="10.5" outlineLevel="1">
      <c r="C110" s="30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82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outlineLevel="1">
      <c r="G112" s="32"/>
      <c r="H112" s="32"/>
    </row>
    <row r="113" spans="1:50" ht="10.5" outlineLevel="1">
      <c r="C113" s="67" t="s">
        <v>48</v>
      </c>
      <c r="D113" s="32" t="s">
        <v>7</v>
      </c>
      <c r="E113" s="32" t="s">
        <v>8</v>
      </c>
      <c r="F113" s="32" t="s">
        <v>22</v>
      </c>
      <c r="G113" s="32"/>
      <c r="H113" s="32"/>
      <c r="J113" s="159" t="str">
        <f t="shared" ref="J113:T113" si="60">IF(YEAR(J$4)&gt;=FPFirstYear,IF(YEAR(J$4)&lt;=FPLastYear,J$4,""),"")</f>
        <v/>
      </c>
      <c r="K113" s="159" t="str">
        <f t="shared" si="60"/>
        <v/>
      </c>
      <c r="L113" s="159" t="str">
        <f t="shared" si="60"/>
        <v/>
      </c>
      <c r="M113" s="159" t="str">
        <f t="shared" si="60"/>
        <v/>
      </c>
      <c r="N113" s="159" t="str">
        <f t="shared" si="60"/>
        <v/>
      </c>
      <c r="O113" s="159" t="str">
        <f t="shared" si="60"/>
        <v/>
      </c>
      <c r="P113" s="159">
        <f t="shared" si="60"/>
        <v>46539</v>
      </c>
      <c r="Q113" s="159">
        <f t="shared" si="60"/>
        <v>46905</v>
      </c>
      <c r="R113" s="159">
        <f t="shared" si="60"/>
        <v>47270</v>
      </c>
      <c r="S113" s="159">
        <f t="shared" si="60"/>
        <v>47635</v>
      </c>
      <c r="T113" s="159">
        <f t="shared" si="60"/>
        <v>48000</v>
      </c>
    </row>
    <row r="114" spans="1:50" ht="10.5" outlineLevel="1">
      <c r="C114" s="111"/>
      <c r="G114" s="32"/>
      <c r="H114" s="32"/>
      <c r="K114" s="23"/>
      <c r="L114" s="23"/>
      <c r="M114" s="23"/>
      <c r="N114" s="23"/>
      <c r="O114" s="23"/>
    </row>
    <row r="115" spans="1:50" ht="10.5" outlineLevel="1">
      <c r="C115" s="111" t="s">
        <v>48</v>
      </c>
      <c r="D115" s="30" t="s">
        <v>105</v>
      </c>
      <c r="E115" s="30" t="str">
        <f>percent</f>
        <v>Per cent</v>
      </c>
      <c r="F115" s="30" t="s">
        <v>36</v>
      </c>
      <c r="G115" s="32"/>
      <c r="H115" s="32"/>
      <c r="J115" s="196"/>
      <c r="K115" s="187"/>
      <c r="L115" s="187"/>
      <c r="M115" s="187"/>
      <c r="N115" s="187"/>
      <c r="O115" s="165"/>
      <c r="P115" s="165">
        <v>5.0000000000000001E-3</v>
      </c>
      <c r="Q115" s="165">
        <v>5.0000000000000001E-3</v>
      </c>
      <c r="R115" s="165">
        <v>5.0000000000000001E-3</v>
      </c>
      <c r="S115" s="165">
        <v>5.0000000000000001E-3</v>
      </c>
      <c r="T115" s="165">
        <v>5.0000000000000001E-3</v>
      </c>
    </row>
    <row r="116" spans="1:50" ht="10.5" outlineLevel="1">
      <c r="C116" s="111"/>
      <c r="G116" s="32"/>
      <c r="H116" s="32"/>
      <c r="J116" s="164"/>
      <c r="K116" s="23"/>
      <c r="L116" s="23"/>
      <c r="M116" s="23"/>
      <c r="N116" s="23"/>
      <c r="O116" s="23"/>
      <c r="P116" s="185"/>
      <c r="Q116" s="185"/>
      <c r="R116" s="185"/>
      <c r="S116" s="185"/>
      <c r="T116" s="185"/>
    </row>
    <row r="117" spans="1:50" ht="10.5" outlineLevel="1">
      <c r="C117" s="29" t="s">
        <v>40</v>
      </c>
      <c r="D117" s="30" t="s">
        <v>102</v>
      </c>
      <c r="E117" s="30" t="s">
        <v>28</v>
      </c>
      <c r="F117" s="30" t="s">
        <v>36</v>
      </c>
      <c r="J117" s="131" t="str">
        <f t="shared" ref="J117:S117" si="61">IF(J113=J$4,IF(ISBLANK(J115),"Check","Ok"),"")</f>
        <v/>
      </c>
      <c r="K117" s="131" t="str">
        <f t="shared" si="61"/>
        <v/>
      </c>
      <c r="L117" s="131" t="str">
        <f t="shared" si="61"/>
        <v/>
      </c>
      <c r="M117" s="131" t="str">
        <f t="shared" si="61"/>
        <v/>
      </c>
      <c r="N117" s="131" t="str">
        <f t="shared" si="61"/>
        <v/>
      </c>
      <c r="O117" s="131" t="str">
        <f t="shared" si="61"/>
        <v/>
      </c>
      <c r="P117" s="131" t="str">
        <f t="shared" si="61"/>
        <v>Ok</v>
      </c>
      <c r="Q117" s="131" t="str">
        <f t="shared" si="61"/>
        <v>Ok</v>
      </c>
      <c r="R117" s="131" t="str">
        <f t="shared" si="61"/>
        <v>Ok</v>
      </c>
      <c r="S117" s="131" t="str">
        <f t="shared" si="61"/>
        <v>Ok</v>
      </c>
      <c r="T117" s="131" t="str">
        <f>IF(T113=T$4,IF(ISBLANK(T115),"Check","Ok"),"")</f>
        <v>Ok</v>
      </c>
      <c r="U117" s="24"/>
      <c r="W117" s="130" t="str">
        <f>IF(COUNTIF(J117:T117,"Check")=0,"Ok","Check")</f>
        <v>Ok</v>
      </c>
    </row>
    <row r="118" spans="1:50" ht="10.5" outlineLevel="1">
      <c r="C118" s="111"/>
      <c r="G118" s="32"/>
      <c r="H118" s="32"/>
      <c r="K118" s="23"/>
      <c r="L118" s="23"/>
      <c r="M118" s="23"/>
      <c r="N118" s="23"/>
      <c r="O118" s="23"/>
    </row>
    <row r="119" spans="1:50" s="103" customFormat="1" ht="13">
      <c r="A119" s="94"/>
      <c r="B119" s="95" t="s">
        <v>21</v>
      </c>
      <c r="C119" s="94"/>
      <c r="D119" s="94"/>
      <c r="E119" s="94"/>
      <c r="F119" s="96"/>
      <c r="G119" s="96"/>
      <c r="H119" s="96"/>
      <c r="I119" s="96"/>
      <c r="J119" s="96"/>
      <c r="K119" s="97"/>
      <c r="L119" s="98"/>
      <c r="M119" s="97"/>
      <c r="N119" s="98"/>
      <c r="O119" s="97"/>
      <c r="P119" s="97"/>
      <c r="Q119" s="97"/>
      <c r="R119" s="97"/>
      <c r="S119" s="97"/>
      <c r="T119" s="97"/>
      <c r="U119" s="97"/>
      <c r="V119" s="97"/>
      <c r="W119" s="98"/>
      <c r="X119" s="99"/>
      <c r="Y119" s="99"/>
      <c r="Z119" s="99"/>
      <c r="AA119" s="99"/>
      <c r="AB119" s="99"/>
      <c r="AC119" s="99"/>
      <c r="AD119" s="99"/>
      <c r="AE119" s="100"/>
      <c r="AF119" s="101"/>
      <c r="AG119" s="101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</row>
    <row r="120" spans="1:50"/>
  </sheetData>
  <mergeCells count="2">
    <mergeCell ref="K3:M3"/>
    <mergeCell ref="O3:T3"/>
  </mergeCells>
  <conditionalFormatting sqref="J16:T21">
    <cfRule type="cellIs" dxfId="116" priority="28" operator="equal">
      <formula>0</formula>
    </cfRule>
  </conditionalFormatting>
  <conditionalFormatting sqref="J26:T31">
    <cfRule type="cellIs" dxfId="115" priority="29" operator="equal">
      <formula>0</formula>
    </cfRule>
  </conditionalFormatting>
  <conditionalFormatting sqref="J35:T35">
    <cfRule type="expression" dxfId="114" priority="63">
      <formula>J$35=J$4</formula>
    </cfRule>
  </conditionalFormatting>
  <conditionalFormatting sqref="J37:T44">
    <cfRule type="expression" dxfId="113" priority="2">
      <formula>J$35=J$4</formula>
    </cfRule>
  </conditionalFormatting>
  <conditionalFormatting sqref="J46:T46">
    <cfRule type="cellIs" dxfId="112" priority="49" operator="equal">
      <formula>"Ok"</formula>
    </cfRule>
    <cfRule type="cellIs" dxfId="111" priority="48" operator="equal">
      <formula>"Check"</formula>
    </cfRule>
  </conditionalFormatting>
  <conditionalFormatting sqref="J48:T48">
    <cfRule type="expression" dxfId="110" priority="33">
      <formula>J$35=J$4</formula>
    </cfRule>
  </conditionalFormatting>
  <conditionalFormatting sqref="J50:T57">
    <cfRule type="expression" dxfId="109" priority="9">
      <formula>J$48=J$4</formula>
    </cfRule>
  </conditionalFormatting>
  <conditionalFormatting sqref="J59:T59">
    <cfRule type="cellIs" dxfId="108" priority="72" operator="equal">
      <formula>"Check"</formula>
    </cfRule>
    <cfRule type="cellIs" dxfId="107" priority="73" operator="equal">
      <formula>"Ok"</formula>
    </cfRule>
  </conditionalFormatting>
  <conditionalFormatting sqref="J63:T63">
    <cfRule type="expression" dxfId="106" priority="38">
      <formula>J$63=J$4</formula>
    </cfRule>
  </conditionalFormatting>
  <conditionalFormatting sqref="J65:T70">
    <cfRule type="expression" dxfId="105" priority="36">
      <formula>J$63=J$4</formula>
    </cfRule>
  </conditionalFormatting>
  <conditionalFormatting sqref="J72:T72">
    <cfRule type="cellIs" dxfId="104" priority="44" operator="equal">
      <formula>"Check"</formula>
    </cfRule>
    <cfRule type="cellIs" dxfId="103" priority="45" operator="equal">
      <formula>"Ok"</formula>
    </cfRule>
  </conditionalFormatting>
  <conditionalFormatting sqref="J74:T74">
    <cfRule type="expression" dxfId="102" priority="32">
      <formula>J$35=J$4</formula>
    </cfRule>
  </conditionalFormatting>
  <conditionalFormatting sqref="J102:T103 J105:T105">
    <cfRule type="cellIs" dxfId="101" priority="21" operator="equal">
      <formula>"Check"</formula>
    </cfRule>
    <cfRule type="cellIs" dxfId="100" priority="22" operator="equal">
      <formula>"Ok"</formula>
    </cfRule>
  </conditionalFormatting>
  <conditionalFormatting sqref="J104:T104">
    <cfRule type="expression" dxfId="99" priority="20">
      <formula>J$104=J$4</formula>
    </cfRule>
  </conditionalFormatting>
  <conditionalFormatting sqref="J113:T113">
    <cfRule type="expression" dxfId="98" priority="31">
      <formula>J$35=J$4</formula>
    </cfRule>
  </conditionalFormatting>
  <conditionalFormatting sqref="J115:T115">
    <cfRule type="expression" dxfId="97" priority="11">
      <formula>J$113=J$4</formula>
    </cfRule>
  </conditionalFormatting>
  <conditionalFormatting sqref="J117:T117">
    <cfRule type="cellIs" dxfId="96" priority="52" operator="equal">
      <formula>"Check"</formula>
    </cfRule>
    <cfRule type="cellIs" dxfId="95" priority="53" operator="equal">
      <formula>"Ok"</formula>
    </cfRule>
  </conditionalFormatting>
  <conditionalFormatting sqref="K89:M91">
    <cfRule type="expression" dxfId="94" priority="14">
      <formula>K$93=K$4</formula>
    </cfRule>
  </conditionalFormatting>
  <conditionalFormatting sqref="L86:M88">
    <cfRule type="expression" dxfId="93" priority="1">
      <formula>L$93=L$4</formula>
    </cfRule>
  </conditionalFormatting>
  <conditionalFormatting sqref="T1">
    <cfRule type="cellIs" dxfId="92" priority="92" operator="equal">
      <formula>"Check"</formula>
    </cfRule>
    <cfRule type="cellIs" dxfId="91" priority="93" operator="equal">
      <formula>"Ok"</formula>
    </cfRule>
  </conditionalFormatting>
  <conditionalFormatting sqref="W1">
    <cfRule type="cellIs" dxfId="90" priority="129" operator="equal">
      <formula>"Ok"</formula>
    </cfRule>
    <cfRule type="cellIs" dxfId="89" priority="128" operator="equal">
      <formula>"Check"</formula>
    </cfRule>
  </conditionalFormatting>
  <conditionalFormatting sqref="W46">
    <cfRule type="cellIs" dxfId="88" priority="50" operator="equal">
      <formula>"Check"</formula>
    </cfRule>
    <cfRule type="cellIs" dxfId="87" priority="51" operator="equal">
      <formula>"Ok"</formula>
    </cfRule>
  </conditionalFormatting>
  <conditionalFormatting sqref="W59">
    <cfRule type="cellIs" dxfId="86" priority="80" operator="equal">
      <formula>"Check"</formula>
    </cfRule>
    <cfRule type="cellIs" dxfId="85" priority="81" operator="equal">
      <formula>"Ok"</formula>
    </cfRule>
  </conditionalFormatting>
  <conditionalFormatting sqref="W72">
    <cfRule type="cellIs" dxfId="84" priority="47" operator="equal">
      <formula>"Ok"</formula>
    </cfRule>
    <cfRule type="cellIs" dxfId="83" priority="46" operator="equal">
      <formula>"Check"</formula>
    </cfRule>
  </conditionalFormatting>
  <conditionalFormatting sqref="W102:W109">
    <cfRule type="cellIs" dxfId="82" priority="24" operator="equal">
      <formula>"Check"</formula>
    </cfRule>
    <cfRule type="cellIs" dxfId="81" priority="25" operator="equal">
      <formula>"Ok"</formula>
    </cfRule>
  </conditionalFormatting>
  <conditionalFormatting sqref="W117">
    <cfRule type="cellIs" dxfId="80" priority="55" operator="equal">
      <formula>"Ok"</formula>
    </cfRule>
    <cfRule type="cellIs" dxfId="79" priority="54" operator="equal">
      <formula>"Check"</formula>
    </cfRule>
  </conditionalFormatting>
  <dataValidations disablePrompts="1" count="2">
    <dataValidation type="list" allowBlank="1" showInputMessage="1" showErrorMessage="1" sqref="F118 F73 F110" xr:uid="{00000000-0002-0000-0400-000000000000}">
      <formula1>#REF!</formula1>
    </dataValidation>
    <dataValidation type="list" allowBlank="1" showInputMessage="1" showErrorMessage="1" sqref="F94 F82:F83 F85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U61"/>
  <sheetViews>
    <sheetView showGridLines="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O19" sqref="O19:S27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0" width="10.77734375" style="29" customWidth="1"/>
    <col min="21" max="21" width="6.77734375" style="29" customWidth="1"/>
    <col min="22" max="22" width="10.77734375" style="29" customWidth="1"/>
    <col min="23" max="23" width="5" style="29" bestFit="1" customWidth="1"/>
    <col min="24" max="24" width="14.44140625" style="29" bestFit="1" customWidth="1"/>
    <col min="25" max="47" width="10.44140625" style="29" hidden="1" customWidth="1"/>
    <col min="48" max="16384" width="8.7773437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tr">
        <f>IF(COUNTA($W$8:$W$244)=COUNTIF($W$8:$W$244,"OK"),"OK","Check")</f>
        <v>OK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55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ht="10.5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59"/>
      <c r="J10" s="159" t="str">
        <f t="shared" ref="J10:S10" si="0">IF(YEAR(J$4)&gt;=FPFirstYear,IF(YEAR(J$4)&lt;=FPLastYear,J$4,""),"")</f>
        <v/>
      </c>
      <c r="K10" s="159" t="str">
        <f t="shared" si="0"/>
        <v/>
      </c>
      <c r="L10" s="159" t="str">
        <f t="shared" si="0"/>
        <v/>
      </c>
      <c r="M10" s="159" t="str">
        <f t="shared" si="0"/>
        <v/>
      </c>
      <c r="N10" s="159" t="str">
        <f t="shared" si="0"/>
        <v/>
      </c>
      <c r="O10" s="159">
        <f t="shared" si="0"/>
        <v>46539</v>
      </c>
      <c r="P10" s="159">
        <f t="shared" si="0"/>
        <v>46905</v>
      </c>
      <c r="Q10" s="159">
        <f t="shared" si="0"/>
        <v>47270</v>
      </c>
      <c r="R10" s="159">
        <f t="shared" si="0"/>
        <v>47635</v>
      </c>
      <c r="S10" s="159">
        <f t="shared" si="0"/>
        <v>48000</v>
      </c>
      <c r="T10" s="159" t="s">
        <v>214</v>
      </c>
    </row>
    <row r="11" spans="1:47" outlineLevel="1">
      <c r="G11" s="32"/>
      <c r="H11" s="32"/>
    </row>
    <row r="12" spans="1:47" outlineLevel="1">
      <c r="C12" s="61" t="s">
        <v>238</v>
      </c>
      <c r="D12" s="30" t="s">
        <v>73</v>
      </c>
      <c r="E12" s="30" t="str">
        <f t="shared" ref="E12:E27" si="1">units</f>
        <v>$millions</v>
      </c>
      <c r="F12" s="215">
        <v>46174</v>
      </c>
      <c r="G12" s="32"/>
      <c r="H12" s="32"/>
      <c r="J12" s="150"/>
      <c r="K12" s="150"/>
      <c r="L12" s="150"/>
      <c r="M12" s="150"/>
      <c r="N12" s="150"/>
      <c r="O12" s="166">
        <v>1.3572162588566334</v>
      </c>
      <c r="P12" s="166">
        <v>1.349552616848561</v>
      </c>
      <c r="Q12" s="166">
        <v>1.3619344666088431</v>
      </c>
      <c r="R12" s="166">
        <v>1.375735781612818</v>
      </c>
      <c r="S12" s="166">
        <v>1.3890597459607887</v>
      </c>
      <c r="T12" s="239"/>
      <c r="U12" s="239"/>
      <c r="V12" s="190"/>
      <c r="W12" s="190"/>
      <c r="X12" s="190"/>
    </row>
    <row r="13" spans="1:47" outlineLevel="1">
      <c r="C13" s="61" t="s">
        <v>239</v>
      </c>
      <c r="D13" s="30" t="s">
        <v>73</v>
      </c>
      <c r="E13" s="30" t="str">
        <f t="shared" si="1"/>
        <v>$millions</v>
      </c>
      <c r="F13" s="215">
        <v>46174</v>
      </c>
      <c r="G13" s="32"/>
      <c r="H13" s="32"/>
      <c r="J13" s="150"/>
      <c r="K13" s="150"/>
      <c r="L13" s="150"/>
      <c r="M13" s="150"/>
      <c r="N13" s="150"/>
      <c r="O13" s="166">
        <v>5.7245290523673944</v>
      </c>
      <c r="P13" s="166">
        <v>6.4737971243532453</v>
      </c>
      <c r="Q13" s="166">
        <v>7.0427090820406821</v>
      </c>
      <c r="R13" s="166">
        <v>7.1255700162018112</v>
      </c>
      <c r="S13" s="166">
        <v>7.2038554838667253</v>
      </c>
      <c r="T13" s="239"/>
      <c r="U13" s="239"/>
      <c r="V13" s="239"/>
      <c r="W13" s="190"/>
      <c r="X13" s="190"/>
    </row>
    <row r="14" spans="1:47" outlineLevel="1">
      <c r="C14" s="61" t="s">
        <v>240</v>
      </c>
      <c r="D14" s="30" t="s">
        <v>73</v>
      </c>
      <c r="E14" s="30" t="str">
        <f t="shared" si="1"/>
        <v>$millions</v>
      </c>
      <c r="F14" s="215">
        <v>46174</v>
      </c>
      <c r="G14" s="32"/>
      <c r="H14" s="32"/>
      <c r="J14" s="150"/>
      <c r="K14" s="150"/>
      <c r="L14" s="150"/>
      <c r="M14" s="150"/>
      <c r="N14" s="150"/>
      <c r="O14" s="166">
        <v>0.80138639703268799</v>
      </c>
      <c r="P14" s="166">
        <v>2.6503176741259571</v>
      </c>
      <c r="Q14" s="166">
        <v>2.6860216385950024</v>
      </c>
      <c r="R14" s="166">
        <v>3.0075661898627302</v>
      </c>
      <c r="S14" s="166">
        <v>3.1627610627350502</v>
      </c>
      <c r="T14" s="239"/>
      <c r="U14" s="239"/>
      <c r="V14" s="190"/>
      <c r="W14" s="190"/>
      <c r="X14" s="190"/>
    </row>
    <row r="15" spans="1:47" outlineLevel="1">
      <c r="C15" s="61" t="s">
        <v>241</v>
      </c>
      <c r="D15" s="30" t="s">
        <v>73</v>
      </c>
      <c r="E15" s="30" t="str">
        <f t="shared" si="1"/>
        <v>$millions</v>
      </c>
      <c r="F15" s="215">
        <v>46174</v>
      </c>
      <c r="G15" s="32"/>
      <c r="H15" s="32"/>
      <c r="J15" s="150"/>
      <c r="K15" s="150"/>
      <c r="L15" s="150"/>
      <c r="M15" s="150"/>
      <c r="N15" s="150"/>
      <c r="O15" s="166">
        <v>1.4889054007576623</v>
      </c>
      <c r="P15" s="166">
        <v>3.7881115010021089</v>
      </c>
      <c r="Q15" s="166">
        <v>2.3083983790356881</v>
      </c>
      <c r="R15" s="166">
        <v>2.5626968792937288</v>
      </c>
      <c r="S15" s="166">
        <v>1.0163470995497217</v>
      </c>
      <c r="T15" s="239"/>
      <c r="U15" s="239"/>
      <c r="V15" s="190"/>
      <c r="W15" s="190"/>
      <c r="X15" s="190"/>
    </row>
    <row r="16" spans="1:47" outlineLevel="1">
      <c r="C16" s="61" t="s">
        <v>242</v>
      </c>
      <c r="D16" s="30" t="s">
        <v>73</v>
      </c>
      <c r="E16" s="30" t="str">
        <f t="shared" si="1"/>
        <v>$millions</v>
      </c>
      <c r="F16" s="215">
        <v>46174</v>
      </c>
      <c r="G16" s="32"/>
      <c r="H16" s="32"/>
      <c r="J16" s="150"/>
      <c r="K16" s="150"/>
      <c r="L16" s="150"/>
      <c r="M16" s="150"/>
      <c r="N16" s="150"/>
      <c r="O16" s="166">
        <v>-0.1792947131774921</v>
      </c>
      <c r="P16" s="166">
        <v>0.9718691783368143</v>
      </c>
      <c r="Q16" s="166">
        <v>3.0369776255660001</v>
      </c>
      <c r="R16" s="166">
        <v>3.7266377097627981</v>
      </c>
      <c r="S16" s="166">
        <v>4.0630025132149541</v>
      </c>
      <c r="T16" s="239"/>
      <c r="U16" s="239"/>
      <c r="V16" s="239"/>
      <c r="W16" s="190"/>
      <c r="X16" s="190"/>
    </row>
    <row r="17" spans="1:47" outlineLevel="1">
      <c r="C17" s="61" t="s">
        <v>243</v>
      </c>
      <c r="D17" s="30" t="s">
        <v>73</v>
      </c>
      <c r="E17" s="30" t="str">
        <f t="shared" si="1"/>
        <v>$millions</v>
      </c>
      <c r="F17" s="215">
        <v>46174</v>
      </c>
      <c r="G17" s="32"/>
      <c r="H17" s="32"/>
      <c r="J17" s="150"/>
      <c r="K17" s="150"/>
      <c r="L17" s="150"/>
      <c r="M17" s="150"/>
      <c r="N17" s="150"/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90"/>
      <c r="U17" s="239"/>
      <c r="V17" s="190"/>
      <c r="W17" s="190"/>
      <c r="X17" s="190"/>
    </row>
    <row r="18" spans="1:47" outlineLevel="1">
      <c r="C18" s="61" t="s">
        <v>244</v>
      </c>
      <c r="D18" s="30" t="s">
        <v>73</v>
      </c>
      <c r="E18" s="30" t="str">
        <f t="shared" si="1"/>
        <v>$millions</v>
      </c>
      <c r="F18" s="215">
        <v>46174</v>
      </c>
      <c r="G18" s="32"/>
      <c r="H18" s="32"/>
      <c r="J18" s="150"/>
      <c r="K18" s="150"/>
      <c r="L18" s="150"/>
      <c r="M18" s="150"/>
      <c r="N18" s="150"/>
      <c r="O18" s="166">
        <v>0</v>
      </c>
      <c r="P18" s="166">
        <v>-2.6338201753376773E-2</v>
      </c>
      <c r="Q18" s="166">
        <v>-3.9463824973775374E-2</v>
      </c>
      <c r="R18" s="166">
        <v>-4.2386964429649961E-2</v>
      </c>
      <c r="S18" s="166">
        <v>-4.7488206311911953E-2</v>
      </c>
      <c r="T18" s="239"/>
      <c r="U18" s="239"/>
      <c r="V18" s="190"/>
      <c r="W18" s="190"/>
      <c r="X18" s="190"/>
    </row>
    <row r="19" spans="1:47" outlineLevel="1">
      <c r="C19" s="61"/>
      <c r="D19" s="30" t="s">
        <v>73</v>
      </c>
      <c r="E19" s="30" t="str">
        <f t="shared" si="1"/>
        <v>$millions</v>
      </c>
      <c r="F19" s="215">
        <v>46174</v>
      </c>
      <c r="G19" s="32"/>
      <c r="H19" s="32"/>
      <c r="J19" s="150"/>
      <c r="K19" s="150"/>
      <c r="L19" s="150"/>
      <c r="M19" s="150"/>
      <c r="N19" s="150"/>
      <c r="O19" s="166"/>
      <c r="P19" s="166"/>
      <c r="Q19" s="166"/>
      <c r="R19" s="166"/>
      <c r="S19" s="166"/>
      <c r="T19" s="239"/>
      <c r="U19" s="239"/>
      <c r="V19" s="190"/>
      <c r="W19" s="190"/>
      <c r="X19" s="190"/>
    </row>
    <row r="20" spans="1:47" outlineLevel="1">
      <c r="C20" s="61"/>
      <c r="D20" s="30" t="s">
        <v>73</v>
      </c>
      <c r="E20" s="30" t="str">
        <f t="shared" si="1"/>
        <v>$millions</v>
      </c>
      <c r="F20" s="215">
        <v>46174</v>
      </c>
      <c r="G20" s="32"/>
      <c r="H20" s="32"/>
      <c r="J20" s="150"/>
      <c r="K20" s="150"/>
      <c r="L20" s="150"/>
      <c r="M20" s="150"/>
      <c r="N20" s="150"/>
      <c r="O20" s="166"/>
      <c r="P20" s="166"/>
      <c r="Q20" s="166"/>
      <c r="R20" s="166"/>
      <c r="S20" s="166"/>
      <c r="T20" s="239"/>
      <c r="U20" s="239"/>
      <c r="V20" s="239"/>
      <c r="W20" s="190"/>
      <c r="X20" s="190"/>
    </row>
    <row r="21" spans="1:47" outlineLevel="1">
      <c r="C21" s="61"/>
      <c r="D21" s="30" t="s">
        <v>73</v>
      </c>
      <c r="E21" s="30" t="str">
        <f t="shared" si="1"/>
        <v>$millions</v>
      </c>
      <c r="F21" s="215">
        <v>46174</v>
      </c>
      <c r="G21" s="32"/>
      <c r="H21" s="32"/>
      <c r="J21" s="150"/>
      <c r="K21" s="150"/>
      <c r="L21" s="150"/>
      <c r="M21" s="150"/>
      <c r="N21" s="150"/>
      <c r="O21" s="166"/>
      <c r="P21" s="166"/>
      <c r="Q21" s="166"/>
      <c r="R21" s="166"/>
      <c r="S21" s="166"/>
      <c r="T21" s="239"/>
      <c r="U21" s="239"/>
      <c r="V21" s="239"/>
      <c r="W21" s="190"/>
      <c r="X21" s="190"/>
    </row>
    <row r="22" spans="1:47" outlineLevel="1">
      <c r="C22" s="61"/>
      <c r="D22" s="30" t="s">
        <v>73</v>
      </c>
      <c r="E22" s="30" t="str">
        <f t="shared" si="1"/>
        <v>$millions</v>
      </c>
      <c r="F22" s="215">
        <v>46174</v>
      </c>
      <c r="G22" s="32"/>
      <c r="H22" s="32"/>
      <c r="J22" s="150"/>
      <c r="K22" s="150"/>
      <c r="L22" s="150"/>
      <c r="M22" s="150"/>
      <c r="N22" s="150"/>
      <c r="O22" s="166"/>
      <c r="P22" s="166"/>
      <c r="Q22" s="166"/>
      <c r="R22" s="166"/>
      <c r="S22" s="166"/>
      <c r="T22" s="239"/>
      <c r="U22" s="239"/>
      <c r="V22" s="239"/>
      <c r="W22" s="190"/>
      <c r="X22" s="190"/>
    </row>
    <row r="23" spans="1:47" outlineLevel="1">
      <c r="C23" s="61"/>
      <c r="D23" s="30" t="s">
        <v>73</v>
      </c>
      <c r="E23" s="30" t="str">
        <f t="shared" si="1"/>
        <v>$millions</v>
      </c>
      <c r="F23" s="215">
        <v>46174</v>
      </c>
      <c r="G23" s="32"/>
      <c r="H23" s="32"/>
      <c r="J23" s="150"/>
      <c r="K23" s="150"/>
      <c r="L23" s="150"/>
      <c r="M23" s="150"/>
      <c r="N23" s="150"/>
      <c r="O23" s="166"/>
      <c r="P23" s="166"/>
      <c r="Q23" s="166"/>
      <c r="R23" s="166"/>
      <c r="S23" s="166"/>
      <c r="T23" s="239"/>
      <c r="U23" s="239"/>
      <c r="V23" s="239"/>
      <c r="W23" s="190"/>
      <c r="X23" s="190"/>
    </row>
    <row r="24" spans="1:47" outlineLevel="1">
      <c r="C24" s="61"/>
      <c r="D24" s="30" t="s">
        <v>73</v>
      </c>
      <c r="E24" s="30" t="str">
        <f t="shared" si="1"/>
        <v>$millions</v>
      </c>
      <c r="F24" s="215">
        <v>46174</v>
      </c>
      <c r="G24" s="32"/>
      <c r="H24" s="32"/>
      <c r="J24" s="150"/>
      <c r="K24" s="150"/>
      <c r="L24" s="150"/>
      <c r="M24" s="150"/>
      <c r="N24" s="150"/>
      <c r="O24" s="166"/>
      <c r="P24" s="166"/>
      <c r="Q24" s="166"/>
      <c r="R24" s="166"/>
      <c r="S24" s="166"/>
      <c r="T24" s="190"/>
      <c r="U24" s="190"/>
      <c r="V24" s="190"/>
      <c r="W24" s="190"/>
      <c r="X24" s="190"/>
    </row>
    <row r="25" spans="1:47" outlineLevel="1">
      <c r="C25" s="61"/>
      <c r="D25" s="30" t="s">
        <v>73</v>
      </c>
      <c r="E25" s="30" t="str">
        <f t="shared" si="1"/>
        <v>$millions</v>
      </c>
      <c r="F25" s="215">
        <v>46174</v>
      </c>
      <c r="G25" s="32"/>
      <c r="H25" s="32"/>
      <c r="J25" s="150"/>
      <c r="K25" s="150"/>
      <c r="L25" s="150"/>
      <c r="M25" s="150"/>
      <c r="N25" s="150"/>
      <c r="O25" s="166"/>
      <c r="P25" s="166"/>
      <c r="Q25" s="166"/>
      <c r="R25" s="166"/>
      <c r="S25" s="166"/>
      <c r="T25" s="239"/>
      <c r="U25" s="239"/>
      <c r="V25" s="239"/>
      <c r="W25" s="190"/>
      <c r="X25" s="190"/>
    </row>
    <row r="26" spans="1:47" outlineLevel="1">
      <c r="C26" s="61"/>
      <c r="D26" s="30" t="s">
        <v>73</v>
      </c>
      <c r="E26" s="30" t="str">
        <f t="shared" si="1"/>
        <v>$millions</v>
      </c>
      <c r="F26" s="215">
        <v>46174</v>
      </c>
      <c r="G26" s="32"/>
      <c r="H26" s="32"/>
      <c r="J26" s="150"/>
      <c r="K26" s="150"/>
      <c r="L26" s="150"/>
      <c r="M26" s="150"/>
      <c r="N26" s="150"/>
      <c r="O26" s="166"/>
      <c r="P26" s="166"/>
      <c r="Q26" s="166"/>
      <c r="R26" s="166"/>
      <c r="S26" s="166"/>
      <c r="T26" s="239"/>
      <c r="U26" s="239"/>
      <c r="V26" s="239"/>
      <c r="W26" s="190"/>
      <c r="X26" s="190"/>
    </row>
    <row r="27" spans="1:47" outlineLevel="1">
      <c r="C27" s="61"/>
      <c r="D27" s="30" t="s">
        <v>73</v>
      </c>
      <c r="E27" s="30" t="str">
        <f t="shared" si="1"/>
        <v>$millions</v>
      </c>
      <c r="F27" s="215">
        <v>46174</v>
      </c>
      <c r="G27" s="32"/>
      <c r="H27" s="32"/>
      <c r="J27" s="150"/>
      <c r="K27" s="150"/>
      <c r="L27" s="150"/>
      <c r="M27" s="150"/>
      <c r="N27" s="150"/>
      <c r="O27" s="166"/>
      <c r="P27" s="166"/>
      <c r="Q27" s="166"/>
      <c r="R27" s="166"/>
      <c r="S27" s="166"/>
      <c r="T27" s="239"/>
      <c r="U27" s="239"/>
    </row>
    <row r="28" spans="1:47" outlineLevel="1">
      <c r="G28" s="32"/>
      <c r="H28" s="32"/>
    </row>
    <row r="29" spans="1:47" ht="10.5" outlineLevel="1">
      <c r="C29" s="29" t="s">
        <v>40</v>
      </c>
      <c r="D29" s="30" t="s">
        <v>102</v>
      </c>
      <c r="E29" s="30" t="s">
        <v>28</v>
      </c>
      <c r="F29" s="30" t="s">
        <v>36</v>
      </c>
      <c r="J29" s="131" t="str">
        <f t="shared" ref="J29:S29" si="2">IF(J10=J4,IF(COUNTA($C12:$C27)=COUNT(J12:J27),"Ok","Check"),"")</f>
        <v/>
      </c>
      <c r="K29" s="131" t="str">
        <f t="shared" si="2"/>
        <v/>
      </c>
      <c r="L29" s="131" t="str">
        <f t="shared" si="2"/>
        <v/>
      </c>
      <c r="M29" s="131" t="str">
        <f t="shared" si="2"/>
        <v/>
      </c>
      <c r="N29" s="131" t="str">
        <f t="shared" si="2"/>
        <v/>
      </c>
      <c r="O29" s="131" t="str">
        <f t="shared" si="2"/>
        <v>Ok</v>
      </c>
      <c r="P29" s="131" t="str">
        <f t="shared" si="2"/>
        <v>Ok</v>
      </c>
      <c r="Q29" s="131" t="str">
        <f t="shared" si="2"/>
        <v>Ok</v>
      </c>
      <c r="R29" s="131" t="str">
        <f t="shared" si="2"/>
        <v>Ok</v>
      </c>
      <c r="S29" s="131" t="str">
        <f t="shared" si="2"/>
        <v>Ok</v>
      </c>
      <c r="T29" s="131"/>
      <c r="U29" s="24"/>
      <c r="V29" s="131"/>
      <c r="W29" s="130" t="str">
        <f>IF(COUNTIF(J29:T29,"Check")=0,"Ok","Check")</f>
        <v>Ok</v>
      </c>
    </row>
    <row r="30" spans="1:47">
      <c r="G30" s="32"/>
      <c r="H30" s="32"/>
      <c r="T30" s="140"/>
    </row>
    <row r="31" spans="1:47" s="103" customFormat="1" ht="13">
      <c r="A31" s="94"/>
      <c r="B31" s="95" t="s">
        <v>122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  <c r="X31" s="99"/>
      <c r="Y31" s="99"/>
      <c r="Z31" s="99"/>
      <c r="AA31" s="99"/>
      <c r="AB31" s="100"/>
      <c r="AC31" s="101"/>
      <c r="AD31" s="101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</row>
    <row r="32" spans="1:47" outlineLevel="1">
      <c r="G32" s="32"/>
      <c r="H32" s="32"/>
    </row>
    <row r="33" spans="1:47" ht="10.5" outlineLevel="1">
      <c r="C33" s="67" t="s">
        <v>113</v>
      </c>
      <c r="D33" s="32" t="s">
        <v>7</v>
      </c>
      <c r="E33" s="32" t="s">
        <v>8</v>
      </c>
      <c r="F33" s="32" t="s">
        <v>22</v>
      </c>
      <c r="G33" s="32"/>
      <c r="H33" s="32"/>
      <c r="J33" s="159" t="str">
        <f t="shared" ref="J33:S33" si="3">IF(YEAR(J$4)&gt;=FPFirstYear,IF(YEAR(J$4)&lt;=FPLastYear,J$4,""),"")</f>
        <v/>
      </c>
      <c r="K33" s="159" t="str">
        <f t="shared" si="3"/>
        <v/>
      </c>
      <c r="L33" s="159" t="str">
        <f t="shared" si="3"/>
        <v/>
      </c>
      <c r="M33" s="159" t="str">
        <f t="shared" si="3"/>
        <v/>
      </c>
      <c r="N33" s="159" t="str">
        <f t="shared" si="3"/>
        <v/>
      </c>
      <c r="O33" s="159">
        <f t="shared" si="3"/>
        <v>46539</v>
      </c>
      <c r="P33" s="159">
        <f t="shared" si="3"/>
        <v>46905</v>
      </c>
      <c r="Q33" s="159">
        <f t="shared" si="3"/>
        <v>47270</v>
      </c>
      <c r="R33" s="159">
        <f t="shared" si="3"/>
        <v>47635</v>
      </c>
      <c r="S33" s="159">
        <f t="shared" si="3"/>
        <v>48000</v>
      </c>
    </row>
    <row r="34" spans="1:47" outlineLevel="1">
      <c r="G34" s="32"/>
      <c r="H34" s="32"/>
    </row>
    <row r="35" spans="1:47" outlineLevel="1">
      <c r="C35" s="61" t="s">
        <v>192</v>
      </c>
      <c r="D35" s="30" t="s">
        <v>73</v>
      </c>
      <c r="E35" s="30" t="str">
        <f>units</f>
        <v>$millions</v>
      </c>
      <c r="F35" s="215">
        <v>46174</v>
      </c>
      <c r="G35" s="32"/>
      <c r="H35" s="32"/>
      <c r="J35" s="150"/>
      <c r="K35" s="150"/>
      <c r="L35" s="150"/>
      <c r="M35" s="150"/>
      <c r="N35" s="166"/>
      <c r="O35" s="166">
        <v>5.6336674523479353E-2</v>
      </c>
      <c r="P35" s="166">
        <v>5.4828961460829127E-2</v>
      </c>
      <c r="Q35" s="166">
        <v>5.336159864423997E-2</v>
      </c>
      <c r="R35" s="166">
        <v>5.1933506198238596E-2</v>
      </c>
      <c r="S35" s="166">
        <v>5.0543633147572847E-2</v>
      </c>
    </row>
    <row r="36" spans="1:47" outlineLevel="1">
      <c r="C36" s="61" t="s">
        <v>245</v>
      </c>
      <c r="D36" s="30" t="s">
        <v>73</v>
      </c>
      <c r="E36" s="30" t="str">
        <f>units</f>
        <v>$millions</v>
      </c>
      <c r="F36" s="215">
        <v>46174</v>
      </c>
      <c r="G36" s="32"/>
      <c r="H36" s="32"/>
      <c r="J36" s="150"/>
      <c r="K36" s="150"/>
      <c r="L36" s="150"/>
      <c r="M36" s="150"/>
      <c r="N36" s="166"/>
      <c r="O36" s="166">
        <v>0.71250000000000002</v>
      </c>
      <c r="P36" s="166">
        <v>0.71250000000000002</v>
      </c>
      <c r="Q36" s="166">
        <v>0.47500000000000003</v>
      </c>
      <c r="R36" s="166">
        <v>0.47500000000000003</v>
      </c>
      <c r="S36" s="166">
        <v>0.47500000000000003</v>
      </c>
    </row>
    <row r="37" spans="1:47" outlineLevel="1">
      <c r="C37" s="61"/>
      <c r="D37" s="30" t="s">
        <v>73</v>
      </c>
      <c r="E37" s="30" t="str">
        <f>units</f>
        <v>$millions</v>
      </c>
      <c r="F37" s="215">
        <v>46174</v>
      </c>
      <c r="G37" s="32"/>
      <c r="H37" s="32"/>
      <c r="J37" s="150"/>
      <c r="K37" s="150"/>
      <c r="L37" s="150"/>
      <c r="M37" s="150"/>
      <c r="N37" s="166"/>
      <c r="O37" s="166"/>
      <c r="P37" s="166"/>
      <c r="Q37" s="166"/>
      <c r="R37" s="166"/>
      <c r="S37" s="166"/>
    </row>
    <row r="38" spans="1:47" outlineLevel="1">
      <c r="C38" s="61"/>
      <c r="D38" s="30" t="s">
        <v>73</v>
      </c>
      <c r="E38" s="30" t="str">
        <f>units</f>
        <v>$millions</v>
      </c>
      <c r="F38" s="215">
        <v>46174</v>
      </c>
      <c r="G38" s="32"/>
      <c r="H38" s="32"/>
      <c r="J38" s="150"/>
      <c r="K38" s="150"/>
      <c r="L38" s="150"/>
      <c r="M38" s="150"/>
      <c r="N38" s="166"/>
      <c r="O38" s="166"/>
      <c r="P38" s="166"/>
      <c r="Q38" s="166"/>
      <c r="R38" s="166"/>
      <c r="S38" s="166"/>
    </row>
    <row r="39" spans="1:47" outlineLevel="1">
      <c r="C39" s="61"/>
      <c r="D39" s="30" t="s">
        <v>73</v>
      </c>
      <c r="E39" s="30" t="str">
        <f>units</f>
        <v>$millions</v>
      </c>
      <c r="F39" s="215">
        <v>46174</v>
      </c>
      <c r="G39" s="32"/>
      <c r="H39" s="32"/>
      <c r="J39" s="150"/>
      <c r="K39" s="150"/>
      <c r="L39" s="150"/>
      <c r="M39" s="150"/>
      <c r="N39" s="166"/>
      <c r="O39" s="166"/>
      <c r="P39" s="166"/>
      <c r="Q39" s="166"/>
      <c r="R39" s="166"/>
      <c r="S39" s="166"/>
    </row>
    <row r="40" spans="1:47" outlineLevel="1">
      <c r="G40" s="32"/>
      <c r="H40" s="32"/>
    </row>
    <row r="41" spans="1:47" ht="10.5" outlineLevel="1">
      <c r="C41" s="29" t="s">
        <v>40</v>
      </c>
      <c r="D41" s="30" t="s">
        <v>102</v>
      </c>
      <c r="E41" s="30" t="s">
        <v>28</v>
      </c>
      <c r="F41" s="30" t="s">
        <v>36</v>
      </c>
      <c r="J41" s="131" t="str">
        <f t="shared" ref="J41:R41" si="4">IF(J33=J4,IF(COUNTA($C35:$C39)=COUNT(J35:J39),"Ok","Check"),"")</f>
        <v/>
      </c>
      <c r="K41" s="131" t="str">
        <f t="shared" si="4"/>
        <v/>
      </c>
      <c r="L41" s="131" t="str">
        <f t="shared" si="4"/>
        <v/>
      </c>
      <c r="M41" s="131" t="str">
        <f t="shared" si="4"/>
        <v/>
      </c>
      <c r="N41" s="131" t="str">
        <f t="shared" si="4"/>
        <v/>
      </c>
      <c r="O41" s="131" t="str">
        <f t="shared" si="4"/>
        <v>Ok</v>
      </c>
      <c r="P41" s="131" t="str">
        <f t="shared" si="4"/>
        <v>Ok</v>
      </c>
      <c r="Q41" s="131" t="str">
        <f t="shared" si="4"/>
        <v>Ok</v>
      </c>
      <c r="R41" s="131" t="str">
        <f t="shared" si="4"/>
        <v>Ok</v>
      </c>
      <c r="S41" s="131" t="str">
        <f>IF(S33=S4,IF(COUNTA($C35:$C39)=COUNT(S35:S39),"Ok","Check"),"")</f>
        <v>Ok</v>
      </c>
      <c r="T41" s="131"/>
      <c r="U41" s="24"/>
      <c r="W41" s="130" t="str">
        <f>IF(COUNTIF(J41:T41,"Check")=0,"Ok","Check")</f>
        <v>Ok</v>
      </c>
    </row>
    <row r="42" spans="1:47">
      <c r="G42" s="32"/>
      <c r="H42" s="32"/>
    </row>
    <row r="43" spans="1:47" s="103" customFormat="1" ht="13">
      <c r="A43" s="94"/>
      <c r="B43" s="95" t="s">
        <v>44</v>
      </c>
      <c r="C43" s="94"/>
      <c r="D43" s="94"/>
      <c r="E43" s="94"/>
      <c r="F43" s="96"/>
      <c r="G43" s="96"/>
      <c r="H43" s="96"/>
      <c r="I43" s="96"/>
      <c r="J43" s="97"/>
      <c r="K43" s="98"/>
      <c r="L43" s="97"/>
      <c r="M43" s="98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9"/>
      <c r="Y43" s="99"/>
      <c r="Z43" s="99"/>
      <c r="AA43" s="99"/>
      <c r="AB43" s="100"/>
      <c r="AC43" s="101"/>
      <c r="AD43" s="101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</row>
    <row r="44" spans="1:47" outlineLevel="1">
      <c r="G44" s="32"/>
      <c r="H44" s="32"/>
    </row>
    <row r="45" spans="1:47" ht="10.5" outlineLevel="1">
      <c r="C45" s="67" t="s">
        <v>32</v>
      </c>
      <c r="D45" s="32" t="s">
        <v>7</v>
      </c>
      <c r="E45" s="32" t="s">
        <v>8</v>
      </c>
      <c r="F45" s="32" t="s">
        <v>22</v>
      </c>
      <c r="G45" s="32"/>
      <c r="H45" s="32"/>
      <c r="J45" s="159" t="str">
        <f t="shared" ref="J45:S45" si="5">IF(YEAR(J$4)&gt;=FPFirstYear,IF(YEAR(J$4)&lt;=FPLastYear,J$4,""),"")</f>
        <v/>
      </c>
      <c r="K45" s="159" t="str">
        <f t="shared" si="5"/>
        <v/>
      </c>
      <c r="L45" s="159" t="str">
        <f t="shared" si="5"/>
        <v/>
      </c>
      <c r="M45" s="159" t="str">
        <f t="shared" si="5"/>
        <v/>
      </c>
      <c r="N45" s="159" t="str">
        <f t="shared" si="5"/>
        <v/>
      </c>
      <c r="O45" s="159">
        <f t="shared" si="5"/>
        <v>46539</v>
      </c>
      <c r="P45" s="159">
        <f t="shared" si="5"/>
        <v>46905</v>
      </c>
      <c r="Q45" s="159">
        <f t="shared" si="5"/>
        <v>47270</v>
      </c>
      <c r="R45" s="159">
        <f t="shared" si="5"/>
        <v>47635</v>
      </c>
      <c r="S45" s="159">
        <f t="shared" si="5"/>
        <v>48000</v>
      </c>
    </row>
    <row r="46" spans="1:47" outlineLevel="1">
      <c r="G46" s="32"/>
      <c r="H46" s="32"/>
    </row>
    <row r="47" spans="1:47" outlineLevel="1">
      <c r="C47" s="111" t="s">
        <v>39</v>
      </c>
      <c r="D47" s="30" t="s">
        <v>76</v>
      </c>
      <c r="E47" s="30" t="str">
        <f>units</f>
        <v>$millions</v>
      </c>
      <c r="F47" s="215">
        <f>DATE(PPLastYear,MONTH('Input|General'!$G$9),1)</f>
        <v>46174</v>
      </c>
      <c r="G47" s="32"/>
      <c r="H47" s="32"/>
      <c r="J47" s="166"/>
      <c r="K47" s="166"/>
      <c r="L47" s="166"/>
      <c r="M47" s="166"/>
      <c r="N47" s="166"/>
      <c r="O47" s="166">
        <v>1.1833995797970864</v>
      </c>
      <c r="P47" s="166">
        <v>1.2525648720352842</v>
      </c>
      <c r="Q47" s="166">
        <v>1.3178286939824657</v>
      </c>
      <c r="R47" s="166">
        <v>1.3523796999261264</v>
      </c>
      <c r="S47" s="166">
        <v>1.3698408421823731</v>
      </c>
      <c r="V47" s="140"/>
    </row>
    <row r="48" spans="1:47" outlineLevel="1">
      <c r="G48" s="32"/>
      <c r="H48" s="32"/>
    </row>
    <row r="49" spans="1:47" ht="10.5" outlineLevel="1">
      <c r="C49" s="29" t="s">
        <v>40</v>
      </c>
      <c r="D49" s="30" t="s">
        <v>102</v>
      </c>
      <c r="E49" s="30" t="s">
        <v>28</v>
      </c>
      <c r="F49" s="30" t="s">
        <v>36</v>
      </c>
      <c r="J49" s="131" t="str">
        <f t="shared" ref="J49:R49" si="6">IF(J45=J4,IF(ISBLANK(J47),"Check","Ok"),"")</f>
        <v/>
      </c>
      <c r="K49" s="131" t="str">
        <f t="shared" si="6"/>
        <v/>
      </c>
      <c r="L49" s="131" t="str">
        <f t="shared" si="6"/>
        <v/>
      </c>
      <c r="M49" s="131" t="str">
        <f t="shared" si="6"/>
        <v/>
      </c>
      <c r="N49" s="131" t="str">
        <f t="shared" si="6"/>
        <v/>
      </c>
      <c r="O49" s="131" t="str">
        <f t="shared" si="6"/>
        <v>Ok</v>
      </c>
      <c r="P49" s="131" t="str">
        <f t="shared" si="6"/>
        <v>Ok</v>
      </c>
      <c r="Q49" s="131" t="str">
        <f t="shared" si="6"/>
        <v>Ok</v>
      </c>
      <c r="R49" s="131" t="str">
        <f t="shared" si="6"/>
        <v>Ok</v>
      </c>
      <c r="S49" s="131" t="str">
        <f>IF(S45=S4,IF(ISBLANK(S47),"Check","Ok"),"")</f>
        <v>Ok</v>
      </c>
      <c r="T49" s="131"/>
      <c r="U49" s="24"/>
      <c r="W49" s="130" t="str">
        <f>IF(COUNTIF(J49:T49,"Check")=0,"Ok","Check")</f>
        <v>Ok</v>
      </c>
    </row>
    <row r="50" spans="1:47">
      <c r="G50" s="32"/>
      <c r="H50" s="32"/>
    </row>
    <row r="51" spans="1:47" s="103" customFormat="1" ht="13">
      <c r="A51" s="94"/>
      <c r="B51" s="95" t="s">
        <v>21</v>
      </c>
      <c r="C51" s="94"/>
      <c r="D51" s="94"/>
      <c r="E51" s="94"/>
      <c r="F51" s="96"/>
      <c r="G51" s="96"/>
      <c r="H51" s="96"/>
      <c r="I51" s="96"/>
      <c r="J51" s="97"/>
      <c r="K51" s="98"/>
      <c r="L51" s="97"/>
      <c r="M51" s="98"/>
      <c r="N51" s="97"/>
      <c r="O51" s="97"/>
      <c r="P51" s="97"/>
      <c r="Q51" s="97"/>
      <c r="R51" s="97"/>
      <c r="S51" s="97"/>
      <c r="T51" s="97"/>
      <c r="U51" s="97"/>
      <c r="V51" s="98"/>
      <c r="W51" s="98"/>
      <c r="X51" s="99"/>
      <c r="Y51" s="99"/>
      <c r="Z51" s="99"/>
      <c r="AA51" s="99"/>
      <c r="AB51" s="100"/>
      <c r="AC51" s="101"/>
      <c r="AD51" s="101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</row>
    <row r="52" spans="1:47" hidden="1">
      <c r="G52" s="32"/>
      <c r="H52" s="32"/>
    </row>
    <row r="53" spans="1:47" hidden="1">
      <c r="G53" s="32"/>
      <c r="H53" s="32"/>
    </row>
    <row r="54" spans="1:47" hidden="1">
      <c r="G54" s="32"/>
      <c r="H54" s="32"/>
    </row>
    <row r="55" spans="1:47" hidden="1">
      <c r="G55" s="32"/>
      <c r="H55" s="32"/>
    </row>
    <row r="56" spans="1:47" hidden="1">
      <c r="G56" s="32"/>
      <c r="H56" s="32"/>
    </row>
    <row r="57" spans="1:47" hidden="1">
      <c r="G57" s="32"/>
      <c r="H57" s="32"/>
    </row>
    <row r="58" spans="1:47" hidden="1">
      <c r="G58" s="32"/>
      <c r="H58" s="32"/>
    </row>
    <row r="59" spans="1:47" hidden="1">
      <c r="G59" s="32"/>
      <c r="H59" s="32"/>
    </row>
    <row r="60" spans="1:47" hidden="1">
      <c r="G60" s="32"/>
      <c r="H60" s="32"/>
    </row>
    <row r="61" spans="1:47" hidden="1">
      <c r="G61" s="32"/>
      <c r="H61" s="32"/>
    </row>
  </sheetData>
  <mergeCells count="1">
    <mergeCell ref="N3:S3"/>
  </mergeCells>
  <conditionalFormatting sqref="J35:M39 O36:S39">
    <cfRule type="expression" dxfId="78" priority="30">
      <formula>J$33=J$4</formula>
    </cfRule>
  </conditionalFormatting>
  <conditionalFormatting sqref="J12:S27">
    <cfRule type="expression" dxfId="77" priority="3">
      <formula>J$10=J$4</formula>
    </cfRule>
  </conditionalFormatting>
  <conditionalFormatting sqref="J33:S33">
    <cfRule type="expression" dxfId="76" priority="20">
      <formula>J$10=J$4</formula>
    </cfRule>
  </conditionalFormatting>
  <conditionalFormatting sqref="J45:S45">
    <cfRule type="expression" dxfId="75" priority="19">
      <formula>J$10=J$4</formula>
    </cfRule>
  </conditionalFormatting>
  <conditionalFormatting sqref="J47:S47">
    <cfRule type="expression" dxfId="74" priority="16">
      <formula>J$45=J$4</formula>
    </cfRule>
  </conditionalFormatting>
  <conditionalFormatting sqref="J10:T10">
    <cfRule type="expression" dxfId="73" priority="42">
      <formula>J$10=J$4</formula>
    </cfRule>
  </conditionalFormatting>
  <conditionalFormatting sqref="J29:T29">
    <cfRule type="cellIs" dxfId="72" priority="35" operator="equal">
      <formula>"Check"</formula>
    </cfRule>
    <cfRule type="cellIs" dxfId="71" priority="36" operator="equal">
      <formula>"Ok"</formula>
    </cfRule>
  </conditionalFormatting>
  <conditionalFormatting sqref="J41:T41">
    <cfRule type="cellIs" dxfId="70" priority="31" operator="equal">
      <formula>"Check"</formula>
    </cfRule>
    <cfRule type="cellIs" dxfId="69" priority="32" operator="equal">
      <formula>"Ok"</formula>
    </cfRule>
  </conditionalFormatting>
  <conditionalFormatting sqref="J49:T49">
    <cfRule type="cellIs" dxfId="68" priority="26" operator="equal">
      <formula>"Check"</formula>
    </cfRule>
    <cfRule type="cellIs" dxfId="67" priority="27" operator="equal">
      <formula>"Ok"</formula>
    </cfRule>
  </conditionalFormatting>
  <conditionalFormatting sqref="N35:N39">
    <cfRule type="expression" dxfId="66" priority="24">
      <formula>N$10=N$4</formula>
    </cfRule>
  </conditionalFormatting>
  <conditionalFormatting sqref="O35:S35">
    <cfRule type="expression" dxfId="65" priority="17">
      <formula>O$10=O$4</formula>
    </cfRule>
  </conditionalFormatting>
  <conditionalFormatting sqref="S1">
    <cfRule type="cellIs" dxfId="64" priority="44" operator="equal">
      <formula>"Check"</formula>
    </cfRule>
    <cfRule type="cellIs" dxfId="63" priority="45" operator="equal">
      <formula>"Ok"</formula>
    </cfRule>
  </conditionalFormatting>
  <conditionalFormatting sqref="V1">
    <cfRule type="cellIs" dxfId="62" priority="46" operator="equal">
      <formula>"Check"</formula>
    </cfRule>
    <cfRule type="cellIs" dxfId="61" priority="47" operator="equal">
      <formula>"Ok"</formula>
    </cfRule>
  </conditionalFormatting>
  <conditionalFormatting sqref="V29">
    <cfRule type="cellIs" dxfId="60" priority="1" operator="equal">
      <formula>"Check"</formula>
    </cfRule>
    <cfRule type="cellIs" dxfId="59" priority="2" operator="equal">
      <formula>"Ok"</formula>
    </cfRule>
  </conditionalFormatting>
  <conditionalFormatting sqref="W29">
    <cfRule type="cellIs" dxfId="58" priority="37" operator="equal">
      <formula>"Check"</formula>
    </cfRule>
    <cfRule type="cellIs" dxfId="57" priority="38" operator="equal">
      <formula>"Ok"</formula>
    </cfRule>
  </conditionalFormatting>
  <conditionalFormatting sqref="W41">
    <cfRule type="cellIs" dxfId="56" priority="33" operator="equal">
      <formula>"Check"</formula>
    </cfRule>
    <cfRule type="cellIs" dxfId="55" priority="34" operator="equal">
      <formula>"Ok"</formula>
    </cfRule>
  </conditionalFormatting>
  <conditionalFormatting sqref="W49">
    <cfRule type="cellIs" dxfId="54" priority="28" operator="equal">
      <formula>"Check"</formula>
    </cfRule>
    <cfRule type="cellIs" dxfId="53" priority="29" operator="equal">
      <formula>"Ok"</formula>
    </cfRule>
  </conditionalFormatting>
  <dataValidations disablePrompts="1" count="2">
    <dataValidation type="list" allowBlank="1" showInputMessage="1" showErrorMessage="1" sqref="F30 F40 F42 F50" xr:uid="{00000000-0002-0000-0500-000000000000}">
      <formula1>"Real 2010,Real 2011,Real 2012,Real 2013,Real 2014,Real 2015,Nominal"</formula1>
    </dataValidation>
    <dataValidation type="list" allowBlank="1" showInputMessage="1" showErrorMessage="1" sqref="U35:U40 I47 U30 I30 I50 I35:I40 U42 I42 U50 U28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'Lookup|Tables'!$G$17:$G$19</xm:f>
          </x14:formula1>
          <xm:sqref>E47 E35:E39 E12:E28</xm:sqref>
        </x14:dataValidation>
        <x14:dataValidation type="list" allowBlank="1" showInputMessage="1" showErrorMessage="1" xr:uid="{00000000-0002-0000-0500-000003000000}">
          <x14:formula1>
            <xm:f>'Lookup|Tables'!$C$75:$C$83</xm:f>
          </x14:formula1>
          <xm:sqref>F28</xm:sqref>
        </x14:dataValidation>
        <x14:dataValidation type="list" allowBlank="1" showInputMessage="1" showErrorMessage="1" xr:uid="{00000000-0002-0000-0500-000004000000}">
          <x14:formula1>
            <xm:f>'Lookup|Tables'!$H$48:$H$67</xm:f>
          </x14:formula1>
          <xm:sqref>F47 F35:F39 F12:F27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26"/>
  <sheetViews>
    <sheetView showGridLines="0" topLeftCell="A75" zoomScaleNormal="100" workbookViewId="0">
      <selection activeCell="O114" sqref="O114:S114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3">
      <c r="A8" s="94"/>
      <c r="B8" s="95" t="s">
        <v>89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59">
        <f t="shared" ref="J10:S10" si="0">IF(YEAR(J$4)&lt;=PPLastYear,J$4,"")</f>
        <v>44713</v>
      </c>
      <c r="K10" s="159">
        <f t="shared" si="0"/>
        <v>45078</v>
      </c>
      <c r="L10" s="159">
        <f t="shared" si="0"/>
        <v>45444</v>
      </c>
      <c r="M10" s="159">
        <f t="shared" si="0"/>
        <v>45809</v>
      </c>
      <c r="N10" s="159">
        <f t="shared" si="0"/>
        <v>46174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166</v>
      </c>
      <c r="D12" s="108" t="s">
        <v>95</v>
      </c>
      <c r="E12" s="30" t="str">
        <f>'Input|Reported opex'!E57</f>
        <v>$millions</v>
      </c>
      <c r="F12" s="158" t="str">
        <f>'Input|Reported opex'!F57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90.98685279351001</v>
      </c>
      <c r="N12" s="109">
        <f>IF(YEAR(N$4)=BaseYear,'Input|Reported opex'!N47,0)</f>
        <v>0</v>
      </c>
      <c r="O12" s="109"/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166</v>
      </c>
      <c r="D13" s="110" t="s">
        <v>30</v>
      </c>
      <c r="E13" s="30" t="str">
        <f>$E$8</f>
        <v>$millions</v>
      </c>
      <c r="F13" s="158">
        <f>$F$8</f>
        <v>46174</v>
      </c>
      <c r="J13" s="109">
        <f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94.82316216912497</v>
      </c>
      <c r="N13" s="109">
        <f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/>
      <c r="P13" s="109">
        <f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167</v>
      </c>
      <c r="D14" s="108" t="s">
        <v>95</v>
      </c>
      <c r="E14" s="30" t="str">
        <f>'Input|Reported opex'!E15</f>
        <v>$millions</v>
      </c>
      <c r="F14" s="158">
        <f>'Input|Reported opex'!F15</f>
        <v>44348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95.618723790251948</v>
      </c>
      <c r="N14" s="109">
        <f>IF(YEAR(N$4)=BaseYear,'Input|Reported opex'!N15,0)</f>
        <v>0</v>
      </c>
      <c r="O14" s="109"/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167</v>
      </c>
      <c r="D15" s="110" t="s">
        <v>30</v>
      </c>
      <c r="E15" s="30" t="str">
        <f>$E$8</f>
        <v>$millions</v>
      </c>
      <c r="F15" s="158">
        <f>$F$8</f>
        <v>46174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117.51508901651839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/>
      <c r="P15" s="109">
        <f>P14*IF($F14="nominal",LOOKUP($F15,Nominal_to_Real,'Input|Rate of change'!Q$26:Q$31),INDEX('Input|Rate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change'!R$26:R$31),INDEX('Input|Rate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change'!S$26:S$31),INDEX('Input|Rate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change'!T$26:T$31),INDEX('Input|Rate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168</v>
      </c>
      <c r="D16" s="108" t="s">
        <v>95</v>
      </c>
      <c r="E16" s="30" t="str">
        <f>'Input|Reported opex'!E15</f>
        <v>$millions</v>
      </c>
      <c r="F16" s="158">
        <f>'Input|Reported opex'!F15</f>
        <v>44348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96.520160069101834</v>
      </c>
      <c r="O16" s="109"/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168</v>
      </c>
      <c r="D17" s="110" t="s">
        <v>30</v>
      </c>
      <c r="E17" s="30" t="str">
        <f>$E$8</f>
        <v>$millions</v>
      </c>
      <c r="F17" s="158">
        <f>$F$8</f>
        <v>46174</v>
      </c>
      <c r="J17" s="109">
        <f>J16*IF($F16="nominal",LOOKUP($F17,Nominal_to_Real,'Input|Rate of change'!K$26:K$32),INDEX('Input|Rate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change'!$C$14:$P$21,MATCH('Calc|Opex forecast'!$F16,'Input|Rate of change'!$C$14:$C$21,0),MATCH('Calc|Opex forecast'!$F17,'Input|Rate of change'!$C$14:$P$14,0)))*IF($E16="$millions",1000000,IF($E16="$000",1000,1))/IF($E17="$millions",1000000,IF($E17="$000",1000,1))</f>
        <v>118.62295116268272</v>
      </c>
      <c r="O17" s="109"/>
      <c r="P17" s="109">
        <f>P16*IF($F16="nominal",LOOKUP($F17,Nominal_to_Real,'Input|Rate of change'!Q$26:Q$31),INDEX('Input|Rate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change'!R$26:R$31),INDEX('Input|Rate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change'!S$26:S$31),INDEX('Input|Rate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change'!T$26:T$31),INDEX('Input|Rate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58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169</v>
      </c>
      <c r="D19" s="108" t="s">
        <v>95</v>
      </c>
      <c r="E19" s="30" t="str">
        <f>'Input|Reported opex'!E64</f>
        <v>$millions</v>
      </c>
      <c r="F19" s="158" t="str">
        <f>'Input|Reported opex'!F57</f>
        <v>nominal</v>
      </c>
      <c r="J19" s="109">
        <f>IF(YEAR(J$4)=BaseYear,'Input|Reported opex'!J57,0)</f>
        <v>0</v>
      </c>
      <c r="K19" s="109">
        <f>IF(YEAR(K$4)=BaseYear,'Input|Reported opex'!K57,0)</f>
        <v>0</v>
      </c>
      <c r="L19" s="109">
        <f>IF(YEAR(L$4)=BaseYear,'Input|Reported opex'!L57,0)</f>
        <v>0</v>
      </c>
      <c r="M19" s="109">
        <f>IF(YEAR(M$4)=BaseYear,'Input|Reported opex'!M57,0)</f>
        <v>0.39065607073051944</v>
      </c>
      <c r="N19" s="109">
        <f>IF(YEAR(N$4)=BaseYear,'Input|Reported opex'!N57,0)</f>
        <v>0</v>
      </c>
      <c r="O19" s="109">
        <f>IF(YEAR(O$4)=BaseYear,'Input|Reported opex'!O57,0)</f>
        <v>0</v>
      </c>
      <c r="P19" s="109">
        <f>IF(YEAR(P$4)=BaseYear,'Input|Reported opex'!P57,0)</f>
        <v>0</v>
      </c>
      <c r="Q19" s="109">
        <f>IF(YEAR(Q$4)=BaseYear,'Input|Reported opex'!Q57,0)</f>
        <v>0</v>
      </c>
      <c r="R19" s="109">
        <f>IF(YEAR(R$4)=BaseYear,'Input|Reported opex'!R57,0)</f>
        <v>0</v>
      </c>
      <c r="S19" s="109">
        <f>IF(YEAR(S$4)=BaseYear,'Input|Reported opex'!S57,0)</f>
        <v>0</v>
      </c>
    </row>
    <row r="20" spans="3:19" outlineLevel="1">
      <c r="C20" s="106" t="s">
        <v>169</v>
      </c>
      <c r="D20" s="110" t="s">
        <v>30</v>
      </c>
      <c r="E20" s="30" t="str">
        <f>$E$8</f>
        <v>$millions</v>
      </c>
      <c r="F20" s="158">
        <f>$F$8</f>
        <v>46174</v>
      </c>
      <c r="J20" s="109">
        <f ca="1">J19*IF($F19="nominal",LOOKUP($F20,Nominal_to_Real,'Input|Rate of change'!K$26:K$32),INDEX('Input|Rate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 ca="1">K19*IF($F19="nominal",LOOKUP($F20,Nominal_to_Real,'Input|Rate of change'!L$26:L$32),INDEX('Input|Rate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109">
        <f ca="1">L19*IF($F19="nominal",LOOKUP($F20,Nominal_to_Real,'Input|Rate of change'!M$26:M$32),INDEX('Input|Rate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 ca="1">M19*IF($F19="nominal",LOOKUP($F20,Nominal_to_Real,'Input|Rate of change'!N$26:N$32),INDEX('Input|Rate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0.40712743445804128</v>
      </c>
      <c r="N20" s="109">
        <f ca="1">N19*IF($F19="nominal",LOOKUP($F20,Nominal_to_Real,'Input|Rate of change'!O$26:O$32),INDEX('Input|Rate of change'!$C$14:$P$21,MATCH('Calc|Opex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change'!Q$26:Q$31),INDEX('Input|Rate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change'!R$26:R$31),INDEX('Input|Rate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change'!S$26:S$31),INDEX('Input|Rate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change'!T$26:T$31),INDEX('Input|Rate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170</v>
      </c>
      <c r="D21" s="108" t="s">
        <v>95</v>
      </c>
      <c r="E21" s="30" t="str">
        <f>'Input|Reported opex'!E22</f>
        <v>$millions</v>
      </c>
      <c r="F21" s="158">
        <f>'Input|Reported opex'!F29</f>
        <v>44348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1.6504903017513204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170</v>
      </c>
      <c r="D22" s="110" t="s">
        <v>30</v>
      </c>
      <c r="E22" s="30" t="str">
        <f>$E$8</f>
        <v>$millions</v>
      </c>
      <c r="F22" s="158">
        <f>$F$8</f>
        <v>46174</v>
      </c>
      <c r="J22" s="109">
        <f>J21*IF($F21="nominal",LOOKUP($F22,Nominal_to_Real,'Input|Rate of change'!K$26:K$32),INDEX('Input|Rate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109">
        <f>L21*IF($F21="nominal",LOOKUP($F22,Nominal_to_Real,'Input|Rate of change'!M$26:M$32),INDEX('Input|Rate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2.0284470137529707</v>
      </c>
      <c r="N22" s="109">
        <f>N21*IF($F21="nominal",LOOKUP($F22,Nominal_to_Real,'Input|Rate of change'!O$26:O$32),INDEX('Input|Rate of change'!$C$14:$P$21,MATCH('Calc|Opex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change'!Q$26:Q$31),INDEX('Input|Rate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change'!R$26:R$31),INDEX('Input|Rate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change'!S$26:S$31),INDEX('Input|Rate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change'!T$26:T$31),INDEX('Input|Rate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171</v>
      </c>
      <c r="D23" s="108" t="s">
        <v>95</v>
      </c>
      <c r="E23" s="30" t="str">
        <f>'Input|Reported opex'!E22</f>
        <v>$millions</v>
      </c>
      <c r="F23" s="158">
        <f>'Input|Reported opex'!F29</f>
        <v>44348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1.4188230603707499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171</v>
      </c>
      <c r="D24" s="110" t="s">
        <v>30</v>
      </c>
      <c r="E24" s="30" t="str">
        <f>$E$8</f>
        <v>$millions</v>
      </c>
      <c r="F24" s="158">
        <f>$F$8</f>
        <v>46174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1.7437287555092393</v>
      </c>
      <c r="O24" s="109">
        <f>O23*IF($F23="nominal",LOOKUP($F24,Nominal_to_Real,'Input|Rate of change'!P$26:P$31),INDEX('Input|Rate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change'!Q$26:Q$31),INDEX('Input|Rate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change'!R$26:R$31),INDEX('Input|Rate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change'!S$26:S$31),INDEX('Input|Rate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change'!T$26:T$31),INDEX('Input|Rate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68"/>
      <c r="K25" s="168"/>
      <c r="L25" s="168"/>
      <c r="M25" s="168"/>
      <c r="N25" s="168"/>
      <c r="O25" s="168"/>
      <c r="P25" s="168"/>
      <c r="Q25" s="168"/>
      <c r="R25" s="168"/>
      <c r="S25" s="168"/>
    </row>
    <row r="26" spans="3:19" ht="10.5" outlineLevel="1">
      <c r="C26" s="113" t="s">
        <v>142</v>
      </c>
      <c r="D26" s="114" t="s">
        <v>30</v>
      </c>
      <c r="E26" s="114" t="str">
        <f>$E$8</f>
        <v>$millions</v>
      </c>
      <c r="F26" s="158">
        <f>$F$8</f>
        <v>46174</v>
      </c>
      <c r="J26" s="115">
        <f>J13</f>
        <v>0</v>
      </c>
      <c r="K26" s="115">
        <f t="shared" ref="K26:N26" si="1">K13</f>
        <v>0</v>
      </c>
      <c r="L26" s="115">
        <f t="shared" si="1"/>
        <v>0</v>
      </c>
      <c r="M26" s="115">
        <f t="shared" si="1"/>
        <v>94.82316216912497</v>
      </c>
      <c r="N26" s="115">
        <f t="shared" si="1"/>
        <v>0</v>
      </c>
      <c r="O26" s="115">
        <f t="shared" ref="O26:S26" si="2">O13</f>
        <v>0</v>
      </c>
      <c r="P26" s="115">
        <f t="shared" si="2"/>
        <v>0</v>
      </c>
      <c r="Q26" s="115">
        <f t="shared" si="2"/>
        <v>0</v>
      </c>
      <c r="R26" s="115">
        <f t="shared" si="2"/>
        <v>0</v>
      </c>
      <c r="S26" s="115">
        <f t="shared" si="2"/>
        <v>0</v>
      </c>
    </row>
    <row r="27" spans="3:19" ht="10.5" outlineLevel="1">
      <c r="C27" s="123"/>
      <c r="D27" s="110"/>
      <c r="E27" s="110"/>
      <c r="F27" s="158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ht="10.5" outlineLevel="1">
      <c r="C28" s="123" t="s">
        <v>164</v>
      </c>
      <c r="D28" s="108" t="s">
        <v>95</v>
      </c>
      <c r="E28" s="110" t="str">
        <f>'Input|Reported opex'!E69</f>
        <v>$millions</v>
      </c>
      <c r="F28" s="158">
        <f>'Input|Reported opex'!F69</f>
        <v>46174</v>
      </c>
      <c r="J28" s="115">
        <f>IF('Input|Reported opex'!J$61='Input|Reported opex'!J$10,'Input|Reported opex'!J69,0)</f>
        <v>0</v>
      </c>
      <c r="K28" s="115">
        <f>IF('Input|Reported opex'!K$61='Input|Reported opex'!K$10,'Input|Reported opex'!K69,0)</f>
        <v>0</v>
      </c>
      <c r="L28" s="115">
        <f>IF('Input|Reported opex'!L$61='Input|Reported opex'!L$10,'Input|Reported opex'!L69,0)</f>
        <v>0</v>
      </c>
      <c r="M28" s="115">
        <f>IF('Input|Reported opex'!M$61='Input|Reported opex'!M$10,'Input|Reported opex'!M69,0)</f>
        <v>0</v>
      </c>
      <c r="N28" s="115">
        <f>IF('Input|Reported opex'!N$61='Input|Reported opex'!N$10,'Input|Reported opex'!N69,0)</f>
        <v>0</v>
      </c>
      <c r="O28" s="115">
        <f>IF('Input|Reported opex'!O$61='Input|Reported opex'!O$10,'Input|Reported opex'!O69,0)</f>
        <v>0</v>
      </c>
      <c r="P28" s="115">
        <f>IF('Input|Reported opex'!P$61='Input|Reported opex'!P$10,'Input|Reported opex'!P69,0)</f>
        <v>0</v>
      </c>
      <c r="Q28" s="115">
        <f>IF('Input|Reported opex'!Q$61='Input|Reported opex'!Q$10,'Input|Reported opex'!Q69,0)</f>
        <v>0</v>
      </c>
      <c r="R28" s="115">
        <f>IF('Input|Reported opex'!R$61='Input|Reported opex'!R$10,'Input|Reported opex'!R69,0)</f>
        <v>0</v>
      </c>
      <c r="S28" s="115">
        <f>IF('Input|Reported opex'!S$61='Input|Reported opex'!S$10,'Input|Reported opex'!S69,0)</f>
        <v>0</v>
      </c>
    </row>
    <row r="29" spans="3:19" ht="10.5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58">
        <f>$F$8</f>
        <v>46174</v>
      </c>
      <c r="J29" s="115">
        <f>J28*IF($F28="nominal",LOOKUP($F29,Nominal_to_Real,'Input|Rate of change'!K$26:K$32),INDEX('Input|Rate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change'!$C$14:$P$21,MATCH('Calc|Opex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change'!Q$26:Q$31),INDEX('Input|Rate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change'!R$26:R$31),INDEX('Input|Rate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change'!S$26:S$31),INDEX('Input|Rate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change'!T$26:T$31),INDEX('Input|Rate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ht="10.5" outlineLevel="1">
      <c r="C30" s="123"/>
      <c r="D30" s="110"/>
      <c r="E30" s="110"/>
      <c r="F30" s="158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ht="10.5" outlineLevel="1">
      <c r="C31" s="123" t="s">
        <v>162</v>
      </c>
      <c r="D31" s="110" t="s">
        <v>30</v>
      </c>
      <c r="E31" s="110" t="str">
        <f>$E$8</f>
        <v>$millions</v>
      </c>
      <c r="F31" s="158">
        <f>$F$8</f>
        <v>46174</v>
      </c>
      <c r="G31" s="110"/>
      <c r="H31" s="110"/>
      <c r="I31" s="110"/>
      <c r="J31" s="172">
        <f t="shared" ref="J31:S31" si="3">IF(YEAR(J$4)=PPLastYear,-SUM($J15:$S15)+SUM($J17:$S17),0)</f>
        <v>0</v>
      </c>
      <c r="K31" s="172">
        <f t="shared" ref="K31:N31" si="4">IF(YEAR(K$4)=PPLastYear,-SUM($J15:$S15)+SUM($J17:$S17),0)</f>
        <v>0</v>
      </c>
      <c r="L31" s="172">
        <f t="shared" si="4"/>
        <v>0</v>
      </c>
      <c r="M31" s="172">
        <f t="shared" si="4"/>
        <v>0</v>
      </c>
      <c r="N31" s="172">
        <f t="shared" si="4"/>
        <v>1.1078621461643365</v>
      </c>
      <c r="O31" s="172">
        <f t="shared" si="3"/>
        <v>0</v>
      </c>
      <c r="P31" s="172">
        <f t="shared" si="3"/>
        <v>0</v>
      </c>
      <c r="Q31" s="172">
        <f t="shared" si="3"/>
        <v>0</v>
      </c>
      <c r="R31" s="172">
        <f t="shared" si="3"/>
        <v>0</v>
      </c>
      <c r="S31" s="172">
        <f t="shared" si="3"/>
        <v>0</v>
      </c>
    </row>
    <row r="32" spans="3:19" ht="10.5" outlineLevel="1">
      <c r="C32" s="123"/>
      <c r="D32" s="110"/>
      <c r="E32" s="110"/>
      <c r="F32" s="158"/>
      <c r="G32" s="110"/>
      <c r="H32" s="110"/>
      <c r="I32" s="110"/>
      <c r="J32" s="172"/>
      <c r="K32" s="172"/>
      <c r="L32" s="172"/>
      <c r="M32" s="172"/>
      <c r="N32" s="172"/>
      <c r="O32" s="172"/>
      <c r="P32" s="172"/>
      <c r="Q32" s="172"/>
      <c r="R32" s="172"/>
      <c r="S32" s="172"/>
    </row>
    <row r="33" spans="3:19" ht="10.5" outlineLevel="1">
      <c r="C33" s="123" t="s">
        <v>109</v>
      </c>
      <c r="D33" s="110" t="s">
        <v>30</v>
      </c>
      <c r="E33" s="110" t="str">
        <f>$E$8</f>
        <v>$millions</v>
      </c>
      <c r="F33" s="158">
        <f>$F$8</f>
        <v>46174</v>
      </c>
      <c r="J33" s="172">
        <f t="shared" ref="J33:S33" si="5">IF(YEAR(J$4)=PPLastYear,SUM($J26:$S26,$J29:$S29,$J31:$S31),0)</f>
        <v>0</v>
      </c>
      <c r="K33" s="172">
        <f t="shared" ref="K33:N33" si="6">IF(YEAR(K$4)=PPLastYear,SUM($J26:$S26,$J29:$S29,$J31:$S31),0)</f>
        <v>0</v>
      </c>
      <c r="L33" s="172">
        <f t="shared" si="6"/>
        <v>0</v>
      </c>
      <c r="M33" s="172">
        <f t="shared" si="6"/>
        <v>0</v>
      </c>
      <c r="N33" s="172">
        <f t="shared" si="6"/>
        <v>95.931024315289307</v>
      </c>
      <c r="O33" s="172">
        <f t="shared" si="5"/>
        <v>0</v>
      </c>
      <c r="P33" s="172">
        <f t="shared" si="5"/>
        <v>0</v>
      </c>
      <c r="Q33" s="172">
        <f t="shared" si="5"/>
        <v>0</v>
      </c>
      <c r="R33" s="172">
        <f t="shared" si="5"/>
        <v>0</v>
      </c>
      <c r="S33" s="172">
        <f t="shared" si="5"/>
        <v>0</v>
      </c>
    </row>
    <row r="34" spans="3:19" ht="10.5" outlineLevel="1">
      <c r="C34" s="123"/>
      <c r="D34" s="110"/>
      <c r="E34" s="110"/>
      <c r="F34" s="158"/>
      <c r="J34" s="172"/>
      <c r="K34" s="172"/>
      <c r="L34" s="172"/>
      <c r="M34" s="172"/>
      <c r="N34" s="172"/>
      <c r="O34" s="172"/>
      <c r="P34" s="172"/>
      <c r="Q34" s="172"/>
      <c r="R34" s="172"/>
      <c r="S34" s="172"/>
    </row>
    <row r="35" spans="3:19" ht="10.5" outlineLevel="1">
      <c r="C35" s="123" t="s">
        <v>172</v>
      </c>
      <c r="D35" s="110" t="s">
        <v>30</v>
      </c>
      <c r="E35" s="110" t="str">
        <f>$E$8</f>
        <v>$millions</v>
      </c>
      <c r="F35" s="158">
        <f>$F$8</f>
        <v>46174</v>
      </c>
      <c r="J35" s="115">
        <f t="shared" ref="J35:S35" si="7">IF(YEAR(J$4)=PPLastYear,-(SUM($J20:$S20)-SUM($J22:$S22)+SUM($J24:$S24)),0)</f>
        <v>0</v>
      </c>
      <c r="K35" s="115">
        <f t="shared" ref="K35:N35" si="8">IF(YEAR(K$4)=PPLastYear,-(SUM($J20:$S20)-SUM($J22:$S22)+SUM($J24:$S24)),0)</f>
        <v>0</v>
      </c>
      <c r="L35" s="115">
        <f t="shared" si="8"/>
        <v>0</v>
      </c>
      <c r="M35" s="115">
        <f t="shared" si="8"/>
        <v>0</v>
      </c>
      <c r="N35" s="115">
        <f t="shared" ca="1" si="8"/>
        <v>-0.12240917621431002</v>
      </c>
      <c r="O35" s="115">
        <f t="shared" si="7"/>
        <v>0</v>
      </c>
      <c r="P35" s="115">
        <f t="shared" si="7"/>
        <v>0</v>
      </c>
      <c r="Q35" s="115">
        <f t="shared" si="7"/>
        <v>0</v>
      </c>
      <c r="R35" s="115">
        <f t="shared" si="7"/>
        <v>0</v>
      </c>
      <c r="S35" s="115">
        <f t="shared" si="7"/>
        <v>0</v>
      </c>
    </row>
    <row r="36" spans="3:19" ht="10.5" outlineLevel="1">
      <c r="C36" s="123"/>
      <c r="D36" s="110"/>
      <c r="E36" s="110"/>
      <c r="F36" s="158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ht="10.5" outlineLevel="1">
      <c r="C37" s="123" t="str">
        <f>'Input|Reported opex'!$C$63</f>
        <v>Adjustment 1</v>
      </c>
      <c r="D37" s="108" t="s">
        <v>95</v>
      </c>
      <c r="E37" s="110" t="str">
        <f>'Input|Reported opex'!E63</f>
        <v>$millions</v>
      </c>
      <c r="F37" s="158">
        <f>'Input|Reported opex'!F63</f>
        <v>46174</v>
      </c>
      <c r="J37" s="109">
        <f>IF(YEAR(J$4)=PPLastYear,'Input|Reported opex'!J63,0)</f>
        <v>0</v>
      </c>
      <c r="K37" s="109">
        <f>IF(YEAR(K$4)=PPLastYear,'Input|Reported opex'!K63,0)</f>
        <v>0</v>
      </c>
      <c r="L37" s="109">
        <f>IF(YEAR(L$4)=PPLastYear,'Input|Reported opex'!L63,0)</f>
        <v>0</v>
      </c>
      <c r="M37" s="109">
        <f>IF(YEAR(M$4)=PPLastYear,'Input|Reported opex'!M63,0)</f>
        <v>0</v>
      </c>
      <c r="N37" s="109">
        <f>IF(YEAR(N$4)=PPLastYear,'Input|Reported opex'!N63,0)</f>
        <v>0</v>
      </c>
      <c r="O37" s="109">
        <f>IF(YEAR(O$4)=PPLastYear,'Input|Reported opex'!O63,0)</f>
        <v>0</v>
      </c>
      <c r="P37" s="109">
        <f>IF(YEAR(P$4)=PPLastYear,'Input|Reported opex'!P63,0)</f>
        <v>0</v>
      </c>
      <c r="Q37" s="109">
        <f>IF(YEAR(Q$4)=PPLastYear,'Input|Reported opex'!Q63,0)</f>
        <v>0</v>
      </c>
      <c r="R37" s="109">
        <f>IF(YEAR(R$4)=PPLastYear,'Input|Reported opex'!R63,0)</f>
        <v>0</v>
      </c>
      <c r="S37" s="109">
        <f>IF(YEAR(S$4)=PPLastYear,'Input|Reported opex'!S63,0)</f>
        <v>0</v>
      </c>
    </row>
    <row r="38" spans="3:19" ht="10.5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58">
        <f>$F$8</f>
        <v>46174</v>
      </c>
      <c r="J38" s="115">
        <f>J37*IF($F37="nominal",LOOKUP($F38,Nominal_to_Real,'Input|Rate of change'!K$26:K$32),INDEX('Input|Rate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change'!$C$14:$P$21,MATCH('Calc|Opex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O38" s="115">
        <f>O37*IF($F37="nominal",LOOKUP($F38,Nominal_to_Real,'Input|Rate of change'!P$26:P$31),INDEX('Input|Rate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change'!Q$26:Q$31),INDEX('Input|Rate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change'!R$26:R$31),INDEX('Input|Rate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change'!S$26:S$31),INDEX('Input|Rate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change'!T$26:T$31),INDEX('Input|Rate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ht="10.5" outlineLevel="1">
      <c r="C39" s="123"/>
      <c r="D39" s="110"/>
      <c r="F39" s="158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ht="10.5" outlineLevel="1">
      <c r="C40" s="123" t="str">
        <f>'Input|Reported opex'!$C$64</f>
        <v>Adjustment 2</v>
      </c>
      <c r="D40" s="108" t="s">
        <v>95</v>
      </c>
      <c r="E40" s="30" t="str">
        <f>'Input|Reported opex'!$E$64</f>
        <v>$millions</v>
      </c>
      <c r="F40" s="158">
        <f>'Input|Reported opex'!$F$64</f>
        <v>46174</v>
      </c>
      <c r="J40" s="109">
        <f>IF(YEAR(J$4)=PPLastYear,'Input|Reported opex'!J64,0)</f>
        <v>0</v>
      </c>
      <c r="K40" s="109">
        <f>IF(YEAR(K$4)=PPLastYear,'Input|Reported opex'!K64,0)</f>
        <v>0</v>
      </c>
      <c r="L40" s="109">
        <f>IF(YEAR(L$4)=PPLastYear,'Input|Reported opex'!L64,0)</f>
        <v>0</v>
      </c>
      <c r="M40" s="109">
        <f>IF(YEAR(M$4)=PPLastYear,'Input|Reported opex'!M64,0)</f>
        <v>0</v>
      </c>
      <c r="N40" s="109">
        <f>IF(YEAR(N$4)=PPLastYear,'Input|Reported opex'!N64,0)</f>
        <v>0</v>
      </c>
      <c r="O40" s="109">
        <f>IF(YEAR(O$4)=PPLastYear,'Input|Reported opex'!O64,0)</f>
        <v>0</v>
      </c>
      <c r="P40" s="109">
        <f>IF(YEAR(P$4)=PPLastYear,'Input|Reported opex'!P64,0)</f>
        <v>0</v>
      </c>
      <c r="Q40" s="109">
        <f>IF(YEAR(Q$4)=PPLastYear,'Input|Reported opex'!Q64,0)</f>
        <v>0</v>
      </c>
      <c r="R40" s="109">
        <f>IF(YEAR(R$4)=PPLastYear,'Input|Reported opex'!R64,0)</f>
        <v>0</v>
      </c>
      <c r="S40" s="109">
        <f>IF(YEAR(S$4)=PPLastYear,'Input|Reported opex'!S64,0)</f>
        <v>0</v>
      </c>
    </row>
    <row r="41" spans="3:19" ht="10.5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58">
        <f>$F$8</f>
        <v>46174</v>
      </c>
      <c r="J41" s="115">
        <f>J40*IF($F40="nominal",LOOKUP($F41,Nominal_to_Real,'Input|Rate of change'!K$26:K$32),INDEX('Input|Rate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change'!$C$14:$P$21,MATCH('Calc|Opex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change'!Q$26:Q$31),INDEX('Input|Rate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change'!R$26:R$31),INDEX('Input|Rate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change'!S$26:S$31),INDEX('Input|Rate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change'!T$26:T$31),INDEX('Input|Rate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ht="10.5" outlineLevel="1">
      <c r="C42" s="123"/>
      <c r="D42" s="110"/>
      <c r="F42" s="158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ht="10.5" outlineLevel="1">
      <c r="C43" s="123" t="str">
        <f>'Input|Reported opex'!$C$65</f>
        <v>Adjustment 3</v>
      </c>
      <c r="D43" s="108" t="s">
        <v>95</v>
      </c>
      <c r="E43" s="30" t="str">
        <f>'Input|Reported opex'!$E$65</f>
        <v>$millions</v>
      </c>
      <c r="F43" s="158">
        <f>'Input|Reported opex'!$F$65</f>
        <v>46174</v>
      </c>
      <c r="J43" s="109">
        <f>IF(YEAR(J$4)=PPLastYear,'Input|Reported opex'!J65,0)</f>
        <v>0</v>
      </c>
      <c r="K43" s="109">
        <f>IF(YEAR(K$4)=PPLastYear,'Input|Reported opex'!K65,0)</f>
        <v>0</v>
      </c>
      <c r="L43" s="109">
        <f>IF(YEAR(L$4)=PPLastYear,'Input|Reported opex'!L65,0)</f>
        <v>0</v>
      </c>
      <c r="M43" s="109">
        <f>IF(YEAR(M$4)=PPLastYear,'Input|Reported opex'!M65,0)</f>
        <v>0</v>
      </c>
      <c r="N43" s="109">
        <f>IF(YEAR(N$4)=PPLastYear,'Input|Reported opex'!N65,0)</f>
        <v>0</v>
      </c>
      <c r="O43" s="109">
        <f>IF(YEAR(O$4)=PPLastYear,'Input|Reported opex'!O65,0)</f>
        <v>0</v>
      </c>
      <c r="P43" s="109">
        <f>IF(YEAR(P$4)=PPLastYear,'Input|Reported opex'!P65,0)</f>
        <v>0</v>
      </c>
      <c r="Q43" s="109">
        <f>IF(YEAR(Q$4)=PPLastYear,'Input|Reported opex'!Q65,0)</f>
        <v>0</v>
      </c>
      <c r="R43" s="109">
        <f>IF(YEAR(R$4)=PPLastYear,'Input|Reported opex'!R65,0)</f>
        <v>0</v>
      </c>
      <c r="S43" s="109">
        <f>IF(YEAR(S$4)=PPLastYear,'Input|Reported opex'!S65,0)</f>
        <v>0</v>
      </c>
    </row>
    <row r="44" spans="3:19" ht="10.5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58">
        <f>$F$8</f>
        <v>46174</v>
      </c>
      <c r="J44" s="115">
        <f>J43*IF($F43="nominal",LOOKUP($F44,Nominal_to_Real,'Input|Rate of change'!K$26:K$32),INDEX('Input|Rate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change'!$C$14:$P$21,MATCH('Calc|Opex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/>
      <c r="P44" s="115">
        <f>P43*IF($F43="nominal",LOOKUP($F44,Nominal_to_Real,'Input|Rate of change'!Q$26:Q$31),INDEX('Input|Rate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change'!R$26:R$31),INDEX('Input|Rate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change'!S$26:S$31),INDEX('Input|Rate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change'!T$26:T$31),INDEX('Input|Rate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ht="10.5" outlineLevel="1">
      <c r="C45" s="123"/>
      <c r="D45" s="110"/>
      <c r="F45" s="158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ht="10.5" outlineLevel="1">
      <c r="C46" s="123" t="str">
        <f>'Input|Reported opex'!$C$66</f>
        <v>Adjustment 4</v>
      </c>
      <c r="D46" s="108" t="s">
        <v>95</v>
      </c>
      <c r="E46" s="30" t="str">
        <f>'Input|Reported opex'!$E$66</f>
        <v>$millions</v>
      </c>
      <c r="F46" s="158">
        <f>'Input|Reported opex'!$F$66</f>
        <v>46174</v>
      </c>
      <c r="J46" s="109">
        <f>IF(YEAR(J$4)=PPLastYear,'Input|Reported opex'!J66,0)</f>
        <v>0</v>
      </c>
      <c r="K46" s="109">
        <f>IF(YEAR(K$4)=PPLastYear,'Input|Reported opex'!K66,0)</f>
        <v>0</v>
      </c>
      <c r="L46" s="109">
        <f>IF(YEAR(L$4)=PPLastYear,'Input|Reported opex'!L66,0)</f>
        <v>0</v>
      </c>
      <c r="M46" s="109">
        <f>IF(YEAR(M$4)=PPLastYear,'Input|Reported opex'!M66,0)</f>
        <v>0</v>
      </c>
      <c r="N46" s="109">
        <f>IF(YEAR(N$4)=PPLastYear,'Input|Reported opex'!N66,0)</f>
        <v>0</v>
      </c>
      <c r="O46" s="109">
        <f>IF(YEAR(O$4)=PPLastYear,'Input|Reported opex'!O66,0)</f>
        <v>0</v>
      </c>
      <c r="P46" s="109">
        <f>IF(YEAR(P$4)=PPLastYear,'Input|Reported opex'!P66,0)</f>
        <v>0</v>
      </c>
      <c r="Q46" s="109">
        <f>IF(YEAR(Q$4)=PPLastYear,'Input|Reported opex'!Q66,0)</f>
        <v>0</v>
      </c>
      <c r="R46" s="109">
        <f>IF(YEAR(R$4)=PPLastYear,'Input|Reported opex'!R66,0)</f>
        <v>0</v>
      </c>
      <c r="S46" s="109">
        <f>IF(YEAR(S$4)=PPLastYear,'Input|Reported opex'!S66,0)</f>
        <v>0</v>
      </c>
    </row>
    <row r="47" spans="3:19" ht="10.5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58">
        <f>$F$8</f>
        <v>46174</v>
      </c>
      <c r="J47" s="115">
        <f>J46*IF($F46="nominal",LOOKUP($F47,Nominal_to_Real,'Input|Rate of change'!K$26:K$32),INDEX('Input|Rate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change'!$C$14:$P$21,MATCH('Calc|Opex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change'!Q$26:Q$31),INDEX('Input|Rate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change'!R$26:R$31),INDEX('Input|Rate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change'!S$26:S$31),INDEX('Input|Rate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change'!T$26:T$31),INDEX('Input|Rate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ht="10.5" outlineLevel="1">
      <c r="C48" s="123"/>
      <c r="D48" s="110"/>
      <c r="F48" s="158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ht="10.5" outlineLevel="1">
      <c r="C49" s="123" t="str">
        <f>'Input|Reported opex'!$C$67</f>
        <v>Adjustment 5</v>
      </c>
      <c r="D49" s="108" t="s">
        <v>95</v>
      </c>
      <c r="E49" s="30" t="str">
        <f>'Input|Reported opex'!$E$67</f>
        <v>$millions</v>
      </c>
      <c r="F49" s="158">
        <f>'Input|Reported opex'!$F$67</f>
        <v>46174</v>
      </c>
      <c r="J49" s="109">
        <f>IF(YEAR(J$4)=PPLastYear,'Input|Reported opex'!J67,0)</f>
        <v>0</v>
      </c>
      <c r="K49" s="109">
        <f>IF(YEAR(K$4)=PPLastYear,'Input|Reported opex'!K67,0)</f>
        <v>0</v>
      </c>
      <c r="L49" s="109">
        <f>IF(YEAR(L$4)=PPLastYear,'Input|Reported opex'!L67,0)</f>
        <v>0</v>
      </c>
      <c r="M49" s="109">
        <f>IF(YEAR(M$4)=PPLastYear,'Input|Reported opex'!M67,0)</f>
        <v>0</v>
      </c>
      <c r="N49" s="109">
        <f>IF(YEAR(N$4)=PPLastYear,'Input|Reported opex'!N67,0)</f>
        <v>0</v>
      </c>
      <c r="O49" s="109">
        <f>IF(YEAR(O$4)=PPLastYear,'Input|Reported opex'!O67,0)</f>
        <v>0</v>
      </c>
      <c r="P49" s="109">
        <f>IF(YEAR(P$4)=PPLastYear,'Input|Reported opex'!P67,0)</f>
        <v>0</v>
      </c>
      <c r="Q49" s="109">
        <f>IF(YEAR(Q$4)=PPLastYear,'Input|Reported opex'!Q67,0)</f>
        <v>0</v>
      </c>
      <c r="R49" s="109">
        <f>IF(YEAR(R$4)=PPLastYear,'Input|Reported opex'!R67,0)</f>
        <v>0</v>
      </c>
      <c r="S49" s="109">
        <f>IF(YEAR(S$4)=PPLastYear,'Input|Reported opex'!S67,0)</f>
        <v>0</v>
      </c>
    </row>
    <row r="50" spans="1:47" ht="10.5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58">
        <f>$F$8</f>
        <v>46174</v>
      </c>
      <c r="J50" s="115">
        <f>J49*IF($F49="nominal",LOOKUP($F50,Nominal_to_Real,'Input|Rate of change'!K$26:K$32),INDEX('Input|Rate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change'!$C$14:$P$21,MATCH('Calc|Opex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change'!Q$26:Q$31),INDEX('Input|Rate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change'!R$26:R$31),INDEX('Input|Rate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change'!S$26:S$31),INDEX('Input|Rate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change'!T$26:T$31),INDEX('Input|Rate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ht="10.5" outlineLevel="1">
      <c r="C51" s="123"/>
      <c r="D51" s="110"/>
      <c r="E51" s="110"/>
      <c r="F51" s="158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ht="10.5" outlineLevel="1">
      <c r="C52" s="123" t="s">
        <v>92</v>
      </c>
      <c r="D52" s="110" t="s">
        <v>102</v>
      </c>
      <c r="E52" s="110" t="str">
        <f>$E$8</f>
        <v>$millions</v>
      </c>
      <c r="F52" s="158">
        <f>$F$8</f>
        <v>46174</v>
      </c>
      <c r="J52" s="115">
        <f>SUM(J33,J38,J41,J44,J47,J50)*'Input|Reported opex'!J71</f>
        <v>0</v>
      </c>
      <c r="K52" s="115">
        <f>SUM(K33,K38,K41,K44,K47,K50)*'Input|Reported opex'!K71</f>
        <v>0</v>
      </c>
      <c r="L52" s="115">
        <f>SUM(L33,L38,L41,L44,L47,L50)*'Input|Reported opex'!L71</f>
        <v>0</v>
      </c>
      <c r="M52" s="115">
        <f>SUM(M33,M38,M41,M44,M47,M50)*'Input|Reported opex'!M71</f>
        <v>0</v>
      </c>
      <c r="N52" s="115">
        <f>SUM(N33,N38,N41,N44,N47,N50)*'Input|Reported opex'!N71</f>
        <v>0</v>
      </c>
      <c r="O52" s="115">
        <f>SUM(O33,O38,O41,O44,O47,O50)*'Input|Reported opex'!O71</f>
        <v>0</v>
      </c>
      <c r="P52" s="115">
        <f>SUM(P33,P38,P41,P44,P47,P50)*'Input|Reported opex'!P71</f>
        <v>0</v>
      </c>
      <c r="Q52" s="115">
        <f>SUM(Q33,Q38,Q41,Q44,Q47,Q50)*'Input|Reported opex'!Q71</f>
        <v>0</v>
      </c>
      <c r="R52" s="115">
        <f>SUM(R33,R38,R41,R44,R47,R50)*'Input|Reported opex'!R71</f>
        <v>0</v>
      </c>
      <c r="S52" s="115">
        <f>SUM(S33,S38,S41,S44,S47,S50)*'Input|Reported opex'!S71</f>
        <v>0</v>
      </c>
    </row>
    <row r="53" spans="1:47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ht="10.5" outlineLevel="1">
      <c r="C54" s="173" t="s">
        <v>173</v>
      </c>
      <c r="D54" s="112" t="s">
        <v>102</v>
      </c>
      <c r="E54" s="112" t="str">
        <f>$E$8</f>
        <v>$millions</v>
      </c>
      <c r="F54" s="174">
        <f>$F$8</f>
        <v>46174</v>
      </c>
      <c r="J54" s="172">
        <f>SUM(J33,J35,J38,J41,J44,J47,J50,J52)</f>
        <v>0</v>
      </c>
      <c r="K54" s="172">
        <f t="shared" ref="K54:N54" si="9">SUM(K33,K35,K38,K41,K44,K47,K50,K52)</f>
        <v>0</v>
      </c>
      <c r="L54" s="172">
        <f t="shared" si="9"/>
        <v>0</v>
      </c>
      <c r="M54" s="172">
        <f t="shared" si="9"/>
        <v>0</v>
      </c>
      <c r="N54" s="232">
        <f t="shared" ca="1" si="9"/>
        <v>95.808615139075002</v>
      </c>
      <c r="O54" s="172">
        <f t="shared" ref="O54:S54" si="10">SUM(O33,O35,O38,O41,O44,O47,O50,O52)</f>
        <v>0</v>
      </c>
      <c r="P54" s="172">
        <f t="shared" si="10"/>
        <v>0</v>
      </c>
      <c r="Q54" s="172">
        <f t="shared" si="10"/>
        <v>0</v>
      </c>
      <c r="R54" s="172">
        <f t="shared" si="10"/>
        <v>0</v>
      </c>
      <c r="S54" s="172">
        <f t="shared" si="10"/>
        <v>0</v>
      </c>
    </row>
    <row r="55" spans="1:47">
      <c r="J55" s="107"/>
      <c r="K55" s="107"/>
      <c r="L55" s="107"/>
    </row>
    <row r="56" spans="1:47" s="103" customFormat="1" ht="13">
      <c r="A56" s="94"/>
      <c r="B56" s="95" t="s">
        <v>90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ht="10.5" outlineLevel="1">
      <c r="C58" s="67" t="s">
        <v>42</v>
      </c>
      <c r="D58" s="32" t="s">
        <v>7</v>
      </c>
      <c r="E58" s="32" t="s">
        <v>8</v>
      </c>
      <c r="F58" s="32" t="s">
        <v>22</v>
      </c>
      <c r="J58" s="159" t="str">
        <f>IF(YEAR(J$4)&gt;='Input|General'!$G$13,IF(YEAR(J$4)&lt;='Input|General'!$G$14,J$4,""),"")</f>
        <v/>
      </c>
      <c r="K58" s="159" t="str">
        <f>IF(YEAR(K$4)&gt;='Input|General'!$G$13,IF(YEAR(K$4)&lt;='Input|General'!$G$14,K$4,""),"")</f>
        <v/>
      </c>
      <c r="L58" s="159" t="str">
        <f>IF(YEAR(L$4)&gt;='Input|General'!$G$13,IF(YEAR(L$4)&lt;='Input|General'!$G$14,L$4,""),"")</f>
        <v/>
      </c>
      <c r="M58" s="159" t="str">
        <f>IF(YEAR(M$4)&gt;='Input|General'!$G$13,IF(YEAR(M$4)&lt;='Input|General'!$G$14,M$4,""),"")</f>
        <v/>
      </c>
      <c r="N58" s="159" t="str">
        <f>IF(YEAR(N$4)&gt;='Input|General'!$G$13,IF(YEAR(N$4)&lt;='Input|General'!$G$14,N$4,""),"")</f>
        <v/>
      </c>
      <c r="O58" s="159">
        <f>IF(YEAR(O$4)&gt;='Input|General'!$G$13,IF(YEAR(O$4)&lt;='Input|General'!$G$14,O$4,""),"")</f>
        <v>46539</v>
      </c>
      <c r="P58" s="159">
        <f>IF(YEAR(P$4)&gt;='Input|General'!$G$13,IF(YEAR(P$4)&lt;='Input|General'!$G$14,P$4,""),"")</f>
        <v>46905</v>
      </c>
      <c r="Q58" s="159">
        <f>IF(YEAR(Q$4)&gt;='Input|General'!$G$13,IF(YEAR(Q$4)&lt;='Input|General'!$G$14,Q$4,""),"")</f>
        <v>47270</v>
      </c>
      <c r="R58" s="159">
        <f>IF(YEAR(R$4)&gt;='Input|General'!$G$13,IF(YEAR(R$4)&lt;='Input|General'!$G$14,R$4,""),"")</f>
        <v>47635</v>
      </c>
      <c r="S58" s="159">
        <f>IF(YEAR(S$4)&gt;='Input|General'!$G$13,IF(YEAR(S$4)&lt;='Input|General'!$G$14,S$4,""),"")</f>
        <v>48000</v>
      </c>
    </row>
    <row r="59" spans="1:47" ht="10.5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ht="10.5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110</v>
      </c>
      <c r="D61" s="110" t="s">
        <v>30</v>
      </c>
      <c r="E61" s="30" t="s">
        <v>31</v>
      </c>
      <c r="F61" s="30" t="s">
        <v>36</v>
      </c>
      <c r="J61" s="117">
        <f>IF(J58=J4,AVERAGE('Input|Rate of change'!K106:K109),0)</f>
        <v>0</v>
      </c>
      <c r="K61" s="117">
        <f>IF(K58=K4,AVERAGE('Input|Rate of change'!L106:L109),0)</f>
        <v>0</v>
      </c>
      <c r="L61" s="117">
        <f>IF(L58=L4,AVERAGE('Input|Rate of change'!M106:M109),0)</f>
        <v>0</v>
      </c>
      <c r="M61" s="117">
        <f>IF(M58=M4,AVERAGE('Input|Rate of change'!N106:N109),0)</f>
        <v>0</v>
      </c>
      <c r="N61" s="117">
        <f>IF(N58=N4,AVERAGE('Input|Rate of change'!O106:O109),0)</f>
        <v>0</v>
      </c>
      <c r="O61" s="236">
        <f>IF(O58=O4,AVERAGE('Input|Rate of change'!P106:P109),0)</f>
        <v>8.9696039514937358E-3</v>
      </c>
      <c r="P61" s="117">
        <f>IF(P58=P4,AVERAGE('Input|Rate of change'!Q106:Q109),0)</f>
        <v>1.2602599399358459E-2</v>
      </c>
      <c r="Q61" s="117">
        <f>IF(Q58=Q4,AVERAGE('Input|Rate of change'!R106:R109),0)</f>
        <v>1.5457619355128537E-2</v>
      </c>
      <c r="R61" s="117">
        <f>IF(R58=R4,AVERAGE('Input|Rate of change'!S106:S109),0)</f>
        <v>1.7264276786500776E-2</v>
      </c>
      <c r="S61" s="117">
        <f>IF(S58=S4,AVERAGE('Input|Rate of change'!T106:T109),0)</f>
        <v>2.0747915044668844E-2</v>
      </c>
    </row>
    <row r="62" spans="1:47" outlineLevel="1">
      <c r="C62" s="15" t="s">
        <v>199</v>
      </c>
      <c r="D62" s="110" t="s">
        <v>30</v>
      </c>
      <c r="E62" s="30" t="s">
        <v>31</v>
      </c>
      <c r="F62" s="30" t="s">
        <v>36</v>
      </c>
      <c r="J62" s="117"/>
      <c r="K62" s="117"/>
      <c r="L62" s="117"/>
      <c r="M62" s="117"/>
      <c r="N62" s="117"/>
      <c r="O62" s="117">
        <f t="array" ref="O62">IF(O$58=O$4,PRODUCT(1+$J61:O61)-1,"")</f>
        <v>8.9696039514937098E-3</v>
      </c>
      <c r="P62" s="117">
        <f t="array" ref="P62">IF(P$58=P$4,PRODUCT(1+$J61:P61)-1,"")</f>
        <v>2.1685243676223598E-2</v>
      </c>
      <c r="Q62" s="117">
        <f t="array" ref="Q62">IF(Q$58=Q$4,PRODUCT(1+$J61:Q61)-1,"")</f>
        <v>3.7478065273722549E-2</v>
      </c>
      <c r="R62" s="117">
        <f t="array" ref="R62">IF(R$58=R$4,PRODUCT(1+$J61:R61)-1,"")</f>
        <v>5.5389373752531501E-2</v>
      </c>
      <c r="S62" s="117">
        <f t="array" ref="S62">IF(S$58=S$4,PRODUCT(1+$J61:S61)-1,"")</f>
        <v>7.7286502818195268E-2</v>
      </c>
    </row>
    <row r="63" spans="1:47" outlineLevel="1">
      <c r="J63" s="117"/>
      <c r="K63" s="117"/>
      <c r="L63" s="117"/>
      <c r="M63" s="117"/>
      <c r="N63" s="117"/>
      <c r="O63" s="117"/>
      <c r="P63" s="117"/>
      <c r="Q63" s="117"/>
      <c r="R63" s="117"/>
      <c r="S63" s="117"/>
    </row>
    <row r="64" spans="1:47" outlineLevel="1">
      <c r="C64" s="111" t="s">
        <v>84</v>
      </c>
      <c r="D64" s="110" t="s">
        <v>30</v>
      </c>
      <c r="E64" s="30" t="s">
        <v>31</v>
      </c>
      <c r="F64" s="30" t="s">
        <v>36</v>
      </c>
      <c r="J64" s="117">
        <f>SUMPRODUCT('Input|Rate of change'!K37:K44,'Input|Rate of change'!K50:K57)</f>
        <v>0</v>
      </c>
      <c r="K64" s="117">
        <f>SUMPRODUCT('Input|Rate of change'!L37:L44,'Input|Rate of change'!L50:L57)</f>
        <v>0</v>
      </c>
      <c r="L64" s="117">
        <f>SUMPRODUCT('Input|Rate of change'!M37:M44,'Input|Rate of change'!M50:M57)</f>
        <v>0</v>
      </c>
      <c r="M64" s="117">
        <f>SUMPRODUCT('Input|Rate of change'!N37:N44,'Input|Rate of change'!N50:N57)</f>
        <v>0</v>
      </c>
      <c r="N64" s="117">
        <f>SUMPRODUCT('Input|Rate of change'!O37:O44,'Input|Rate of change'!O50:O57)</f>
        <v>0</v>
      </c>
      <c r="O64" s="236">
        <f>SUMPRODUCT('Input|Rate of change'!P37:P44,'Input|Rate of change'!P50:P57)</f>
        <v>8.8744113222349562E-3</v>
      </c>
      <c r="P64" s="117">
        <f>SUMPRODUCT('Input|Rate of change'!Q37:Q44,'Input|Rate of change'!Q50:Q57)</f>
        <v>5.0543246968888199E-3</v>
      </c>
      <c r="Q64" s="117">
        <f>SUMPRODUCT('Input|Rate of change'!R37:R44,'Input|Rate of change'!R50:R57)</f>
        <v>6.2147810390646464E-3</v>
      </c>
      <c r="R64" s="117">
        <f>SUMPRODUCT('Input|Rate of change'!S37:S44,'Input|Rate of change'!S50:S57)</f>
        <v>7.1736116695389771E-3</v>
      </c>
      <c r="S64" s="117">
        <f>SUMPRODUCT('Input|Rate of change'!T37:T44,'Input|Rate of change'!T50:T57)</f>
        <v>6.7249733255834816E-3</v>
      </c>
    </row>
    <row r="65" spans="1:47" outlineLevel="1">
      <c r="C65" s="15" t="s">
        <v>200</v>
      </c>
      <c r="D65" s="110" t="s">
        <v>30</v>
      </c>
      <c r="E65" s="30" t="s">
        <v>31</v>
      </c>
      <c r="F65" s="30" t="s">
        <v>36</v>
      </c>
      <c r="J65" s="117"/>
      <c r="K65" s="117"/>
      <c r="L65" s="117"/>
      <c r="M65" s="117"/>
      <c r="N65" s="117"/>
      <c r="O65" s="117">
        <f t="array" ref="O65">IF(O$58=O$4,PRODUCT(1+$J64:O64)-1,"")</f>
        <v>8.8744113222349874E-3</v>
      </c>
      <c r="P65" s="117">
        <f t="array" ref="P65">IF(P$58=P$4,PRODUCT(1+$J64:P64)-1,"")</f>
        <v>1.3973590175440087E-2</v>
      </c>
      <c r="Q65" s="117">
        <f t="array" ref="Q65">IF(Q$58=Q$4,PRODUCT(1+$J64:Q64)-1,"")</f>
        <v>2.0275214017774879E-2</v>
      </c>
      <c r="R65" s="117">
        <f t="array" ref="R65">IF(R$58=R$4,PRODUCT(1+$J64:R64)-1,"")</f>
        <v>2.759427219919397E-2</v>
      </c>
      <c r="S65" s="117">
        <f t="array" ref="S65">IF(S$58=S$4,PRODUCT(1+$J64:S64)-1,"")</f>
        <v>3.4504816269255834E-2</v>
      </c>
    </row>
    <row r="66" spans="1:47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</row>
    <row r="67" spans="1:47" outlineLevel="1">
      <c r="C67" s="111" t="s">
        <v>106</v>
      </c>
      <c r="D67" s="110" t="s">
        <v>30</v>
      </c>
      <c r="E67" s="30" t="s">
        <v>31</v>
      </c>
      <c r="F67" s="30" t="s">
        <v>36</v>
      </c>
      <c r="J67" s="117">
        <f>'Input|Rate of change'!K115</f>
        <v>0</v>
      </c>
      <c r="K67" s="117">
        <f>'Input|Rate of change'!L115</f>
        <v>0</v>
      </c>
      <c r="L67" s="117">
        <f>'Input|Rate of change'!M115</f>
        <v>0</v>
      </c>
      <c r="M67" s="117">
        <f>'Input|Rate of change'!N115</f>
        <v>0</v>
      </c>
      <c r="N67" s="117">
        <f>'Input|Rate of change'!O115</f>
        <v>0</v>
      </c>
      <c r="O67" s="117">
        <f>'Input|Rate of change'!P115</f>
        <v>5.0000000000000001E-3</v>
      </c>
      <c r="P67" s="117">
        <f>'Input|Rate of change'!Q115</f>
        <v>5.0000000000000001E-3</v>
      </c>
      <c r="Q67" s="117">
        <f>'Input|Rate of change'!R115</f>
        <v>5.0000000000000001E-3</v>
      </c>
      <c r="R67" s="117">
        <f>'Input|Rate of change'!S115</f>
        <v>5.0000000000000001E-3</v>
      </c>
      <c r="S67" s="117">
        <f>'Input|Rate of change'!T115</f>
        <v>5.0000000000000001E-3</v>
      </c>
    </row>
    <row r="68" spans="1:47" outlineLevel="1">
      <c r="C68" s="15" t="s">
        <v>201</v>
      </c>
      <c r="D68" s="110" t="s">
        <v>30</v>
      </c>
      <c r="E68" s="30" t="s">
        <v>31</v>
      </c>
      <c r="F68" s="30" t="s">
        <v>36</v>
      </c>
      <c r="J68" s="117"/>
      <c r="K68" s="117"/>
      <c r="L68" s="117"/>
      <c r="M68" s="117"/>
      <c r="N68" s="117"/>
      <c r="O68" s="117">
        <f t="array" ref="O68">IF(O$58=O$4,PRODUCT(1+$J67:O67)-1,"")</f>
        <v>4.9999999999998934E-3</v>
      </c>
      <c r="P68" s="117">
        <f t="array" ref="P68">IF(P$58=P$4,PRODUCT(1+$J67:P67)-1,"")</f>
        <v>1.0024999999999729E-2</v>
      </c>
      <c r="Q68" s="117">
        <f t="array" ref="Q68">IF(Q$58=Q$4,PRODUCT(1+$J67:Q67)-1,"")</f>
        <v>1.5075124999999634E-2</v>
      </c>
      <c r="R68" s="117">
        <f t="array" ref="R68">IF(R$58=R$4,PRODUCT(1+$J67:R67)-1,"")</f>
        <v>2.0150500624999568E-2</v>
      </c>
      <c r="S68" s="117">
        <f t="array" ref="S68">IF(S$58=S$4,PRODUCT(1+$J67:S67)-1,"")</f>
        <v>2.5251253128124374E-2</v>
      </c>
    </row>
    <row r="69" spans="1:47" outlineLevel="1">
      <c r="C69" s="111"/>
      <c r="J69" s="168"/>
      <c r="K69" s="168"/>
      <c r="L69" s="168"/>
      <c r="M69" s="168"/>
      <c r="N69" s="168"/>
      <c r="O69" s="168"/>
      <c r="P69" s="142"/>
      <c r="Q69" s="142"/>
      <c r="R69" s="142"/>
      <c r="S69" s="142"/>
    </row>
    <row r="70" spans="1:47" ht="10.5" outlineLevel="1">
      <c r="C70" s="118" t="s">
        <v>143</v>
      </c>
      <c r="D70" s="114" t="s">
        <v>30</v>
      </c>
      <c r="E70" s="114" t="s">
        <v>31</v>
      </c>
      <c r="F70" s="114" t="s">
        <v>36</v>
      </c>
      <c r="J70" s="142">
        <f>(1+J61)*(1+J64)*(1-J67)-1</f>
        <v>0</v>
      </c>
      <c r="K70" s="142">
        <f t="shared" ref="K70:S70" si="11">(1+K61)*(1+K64)*(1-K67)-1</f>
        <v>0</v>
      </c>
      <c r="L70" s="142">
        <f t="shared" si="11"/>
        <v>0</v>
      </c>
      <c r="M70" s="142">
        <f t="shared" si="11"/>
        <v>0</v>
      </c>
      <c r="N70" s="142">
        <f t="shared" si="11"/>
        <v>0</v>
      </c>
      <c r="O70" s="142">
        <f t="shared" si="11"/>
        <v>1.2833997152448706E-2</v>
      </c>
      <c r="P70" s="142">
        <f t="shared" si="11"/>
        <v>1.2632018617008134E-2</v>
      </c>
      <c r="Q70" s="142">
        <f t="shared" si="11"/>
        <v>1.6659623783301214E-2</v>
      </c>
      <c r="R70" s="142">
        <f t="shared" si="11"/>
        <v>1.9438926995094308E-2</v>
      </c>
      <c r="S70" s="142">
        <f t="shared" si="11"/>
        <v>2.2474355457761552E-2</v>
      </c>
    </row>
    <row r="71" spans="1:47" ht="10.5" outlineLevel="1">
      <c r="C71" s="124" t="s">
        <v>144</v>
      </c>
      <c r="D71" s="110" t="s">
        <v>30</v>
      </c>
      <c r="E71" s="30" t="s">
        <v>31</v>
      </c>
      <c r="F71" s="30" t="s">
        <v>36</v>
      </c>
      <c r="J71" s="117" t="str">
        <f t="array" ref="J71">IF(J$58=J$4,PRODUCT(1+$J70:J70)-1,"")</f>
        <v/>
      </c>
      <c r="K71" s="117" t="str">
        <f t="array" ref="K71">IF(K$58=K$4,PRODUCT(1+$J70:K70)-1,"")</f>
        <v/>
      </c>
      <c r="L71" s="117" t="str">
        <f t="array" ref="L71">IF(L$58=L$4,PRODUCT(1+$J70:L70)-1,"")</f>
        <v/>
      </c>
      <c r="M71" s="117" t="str">
        <f t="array" ref="M71">IF(M$58=M$4,PRODUCT(1+$J70:M70)-1,"")</f>
        <v/>
      </c>
      <c r="N71" s="117" t="str">
        <f t="array" ref="N71">IF(N$58=N$4,PRODUCT(1+$J70:N70)-1,"")</f>
        <v/>
      </c>
      <c r="O71" s="117">
        <f t="array" ref="O71">IF(O$58=O$4,PRODUCT(1+$J70:O70)-1,"")</f>
        <v>1.2833997152448706E-2</v>
      </c>
      <c r="P71" s="117">
        <f t="array" ref="P71">IF(P$58=P$4,PRODUCT(1+$J70:P70)-1,"")</f>
        <v>2.5628135060417279E-2</v>
      </c>
      <c r="Q71" s="117">
        <f t="array" ref="Q71">IF(Q$58=Q$4,PRODUCT(1+$J70:Q70)-1,"")</f>
        <v>4.2714713932092696E-2</v>
      </c>
      <c r="R71" s="117">
        <f t="array" ref="R71">IF(R$58=R$4,PRODUCT(1+$J70:R70)-1,"")</f>
        <v>6.2983969132929252E-2</v>
      </c>
      <c r="S71" s="117">
        <f t="array" ref="S71">IF(S$58=S$4,PRODUCT(1+$J70:S70)-1,"")</f>
        <v>8.6873848701124912E-2</v>
      </c>
    </row>
    <row r="72" spans="1:47">
      <c r="J72" s="107"/>
      <c r="K72" s="107"/>
      <c r="L72" s="107"/>
      <c r="M72" s="107"/>
      <c r="N72" s="107"/>
      <c r="O72" s="119"/>
      <c r="P72" s="119"/>
      <c r="Q72" s="119"/>
      <c r="R72" s="119"/>
      <c r="S72" s="119"/>
    </row>
    <row r="73" spans="1:47" s="103" customFormat="1" ht="13">
      <c r="A73" s="94"/>
      <c r="B73" s="95" t="s">
        <v>93</v>
      </c>
      <c r="C73" s="94"/>
      <c r="D73" s="94"/>
      <c r="E73" s="94"/>
      <c r="F73" s="96"/>
      <c r="G73" s="96"/>
      <c r="H73" s="96"/>
      <c r="I73" s="96"/>
      <c r="J73" s="97"/>
      <c r="K73" s="98"/>
      <c r="L73" s="97"/>
      <c r="M73" s="98"/>
      <c r="N73" s="97"/>
      <c r="O73" s="97"/>
      <c r="P73" s="97"/>
      <c r="Q73" s="97"/>
      <c r="R73" s="97"/>
      <c r="S73" s="97"/>
      <c r="T73" s="97"/>
      <c r="U73" s="97"/>
      <c r="V73" s="98"/>
      <c r="W73" s="98"/>
      <c r="X73" s="99"/>
      <c r="Y73" s="99"/>
      <c r="Z73" s="99"/>
      <c r="AA73" s="99"/>
      <c r="AB73" s="100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</row>
    <row r="74" spans="1:47" outlineLevel="1">
      <c r="C74" s="106"/>
      <c r="J74" s="107"/>
      <c r="K74" s="107"/>
      <c r="L74" s="107"/>
    </row>
    <row r="75" spans="1:47" ht="10.5" outlineLevel="1">
      <c r="C75" s="67" t="s">
        <v>107</v>
      </c>
      <c r="D75" s="32" t="s">
        <v>7</v>
      </c>
      <c r="E75" s="32" t="s">
        <v>8</v>
      </c>
      <c r="F75" s="32" t="s">
        <v>22</v>
      </c>
      <c r="J75" s="159" t="str">
        <f>IF(YEAR(J$4)&gt;='Input|General'!$G$13,IF(YEAR(J$4)&lt;='Input|General'!$G$14,J$4,""),"")</f>
        <v/>
      </c>
      <c r="K75" s="159" t="str">
        <f>IF(YEAR(K$4)&gt;='Input|General'!$G$13,IF(YEAR(K$4)&lt;='Input|General'!$G$14,K$4,""),"")</f>
        <v/>
      </c>
      <c r="L75" s="159" t="str">
        <f>IF(YEAR(L$4)&gt;='Input|General'!$G$13,IF(YEAR(L$4)&lt;='Input|General'!$G$14,L$4,""),"")</f>
        <v/>
      </c>
      <c r="M75" s="159" t="str">
        <f>IF(YEAR(M$4)&gt;='Input|General'!$G$13,IF(YEAR(M$4)&lt;='Input|General'!$G$14,M$4,""),"")</f>
        <v/>
      </c>
      <c r="N75" s="159" t="str">
        <f>IF(YEAR(N$4)&gt;='Input|General'!$G$13,IF(YEAR(N$4)&lt;='Input|General'!$G$14,N$4,""),"")</f>
        <v/>
      </c>
      <c r="O75" s="159">
        <f>IF(YEAR(O$4)&gt;='Input|General'!$G$13,IF(YEAR(O$4)&lt;='Input|General'!$G$14,O$4,""),"")</f>
        <v>46539</v>
      </c>
      <c r="P75" s="159">
        <f>IF(YEAR(P$4)&gt;='Input|General'!$G$13,IF(YEAR(P$4)&lt;='Input|General'!$G$14,P$4,""),"")</f>
        <v>46905</v>
      </c>
      <c r="Q75" s="159">
        <f>IF(YEAR(Q$4)&gt;='Input|General'!$G$13,IF(YEAR(Q$4)&lt;='Input|General'!$G$14,Q$4,""),"")</f>
        <v>47270</v>
      </c>
      <c r="R75" s="159">
        <f>IF(YEAR(R$4)&gt;='Input|General'!$G$13,IF(YEAR(R$4)&lt;='Input|General'!$G$14,R$4,""),"")</f>
        <v>47635</v>
      </c>
      <c r="S75" s="159">
        <f>IF(YEAR(S$4)&gt;='Input|General'!$G$13,IF(YEAR(S$4)&lt;='Input|General'!$G$14,S$4,""),"")</f>
        <v>48000</v>
      </c>
    </row>
    <row r="76" spans="1:47" ht="10.5" outlineLevel="1">
      <c r="C76" s="67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1:47" outlineLevel="1">
      <c r="C77" s="121" t="str">
        <f>'Input|Step changes'!C12</f>
        <v>Customer assistance package</v>
      </c>
      <c r="D77" s="110" t="s">
        <v>30</v>
      </c>
      <c r="E77" s="30" t="str">
        <f t="shared" ref="E77:E104" si="12">$E$8</f>
        <v>$millions</v>
      </c>
      <c r="F77" s="158">
        <f t="shared" ref="F77:F94" si="13">$F$8</f>
        <v>46174</v>
      </c>
      <c r="J77" s="127">
        <f>'Input|Step changes'!J12*IF('Input|Step changes'!$F12="nominal",LOOKUP($F77,Nominal_to_Real,'Input|Rate of change'!N$26:N$31),INDEX('Input|Rate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K77" s="127">
        <f>'Input|Step changes'!K12*IF('Input|Step changes'!$F12="nominal",LOOKUP($F77,Nominal_to_Real,'Input|Rate of change'!O$26:O$31),INDEX('Input|Rate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L77" s="127">
        <f>'Input|Step changes'!L12*IF('Input|Step changes'!$F12="nominal",LOOKUP($F77,Nominal_to_Real,'Input|Rate of change'!P$26:P$31),INDEX('Input|Rate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M77" s="127">
        <f>'Input|Step changes'!M12*IF('Input|Step changes'!$F12="nominal",LOOKUP($F77,Nominal_to_Real,'Input|Rate of change'!Q$26:Q$31),INDEX('Input|Rate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N77" s="127">
        <f>'Input|Step changes'!N12*IF('Input|Step changes'!$F12="nominal",LOOKUP($F77,Nominal_to_Real,'Input|Rate of change'!R$26:R$31),INDEX('Input|Rate of change'!$C$14:$O$21,MATCH('Input|Step changes'!$F12,'Input|Rate of change'!$C$14:$C$21,0),MATCH('Calc|Opex forecast'!$F77,'Input|Rate of change'!$C$14:$O$14,0)))*IF('Input|Step changes'!$E12="$millions",1000000,IF('Input|Step changes'!$E12="$000",1000,1))/IF($E77="$millions",1000000,IF($E77="$000",1000,1))</f>
        <v>0</v>
      </c>
      <c r="O77" s="216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1.3572162588566334</v>
      </c>
      <c r="P77" s="216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1.349552616848561</v>
      </c>
      <c r="Q77" s="216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1.3619344666088431</v>
      </c>
      <c r="R77" s="216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1.375735781612818</v>
      </c>
      <c r="S77" s="216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1.3890597459607887</v>
      </c>
    </row>
    <row r="78" spans="1:47" outlineLevel="1">
      <c r="C78" s="121" t="str">
        <f>'Input|Step changes'!C13</f>
        <v>Vegetation management</v>
      </c>
      <c r="D78" s="110" t="s">
        <v>30</v>
      </c>
      <c r="E78" s="30" t="str">
        <f t="shared" si="12"/>
        <v>$millions</v>
      </c>
      <c r="F78" s="158">
        <f t="shared" si="13"/>
        <v>46174</v>
      </c>
      <c r="J78" s="127">
        <f>'Input|Step changes'!J13*IF('Input|Step changes'!$F13="nominal",LOOKUP($F78,Nominal_to_Real,'Input|Rate of change'!N$26:N$31),INDEX('Input|Rate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K78" s="127">
        <f>'Input|Step changes'!K13*IF('Input|Step changes'!$F13="nominal",LOOKUP($F78,Nominal_to_Real,'Input|Rate of change'!O$26:O$31),INDEX('Input|Rate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L78" s="127">
        <f>'Input|Step changes'!L13*IF('Input|Step changes'!$F13="nominal",LOOKUP($F78,Nominal_to_Real,'Input|Rate of change'!P$26:P$31),INDEX('Input|Rate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M78" s="127">
        <f>'Input|Step changes'!M13*IF('Input|Step changes'!$F13="nominal",LOOKUP($F78,Nominal_to_Real,'Input|Rate of change'!Q$26:Q$31),INDEX('Input|Rate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N78" s="127">
        <f>'Input|Step changes'!N13*IF('Input|Step changes'!$F13="nominal",LOOKUP($F78,Nominal_to_Real,'Input|Rate of change'!R$26:R$31),INDEX('Input|Rate of change'!$C$14:$O$21,MATCH('Input|Step changes'!$F13,'Input|Rate of change'!$C$14:$C$21,0),MATCH('Calc|Opex forecast'!$F78,'Input|Rate of change'!$C$14:$O$14,0)))*IF('Input|Step changes'!$E13="$millions",1000000,IF('Input|Step changes'!$E13="$000",1000,1))/IF($E78="$millions",1000000,IF($E78="$000",1000,1))</f>
        <v>0</v>
      </c>
      <c r="O78" s="216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5.7245290523673944</v>
      </c>
      <c r="P78" s="216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6.4737971243532453</v>
      </c>
      <c r="Q78" s="216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7.0427090820406821</v>
      </c>
      <c r="R78" s="216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7.1255700162018112</v>
      </c>
      <c r="S78" s="216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7.2038554838667253</v>
      </c>
    </row>
    <row r="79" spans="1:47" outlineLevel="1">
      <c r="C79" s="121" t="str">
        <f>'Input|Step changes'!C14</f>
        <v>CER integration</v>
      </c>
      <c r="D79" s="110" t="s">
        <v>30</v>
      </c>
      <c r="E79" s="30" t="str">
        <f t="shared" si="12"/>
        <v>$millions</v>
      </c>
      <c r="F79" s="158">
        <f t="shared" si="13"/>
        <v>46174</v>
      </c>
      <c r="J79" s="127">
        <f>'Input|Step changes'!J14*IF('Input|Step changes'!$F14="nominal",LOOKUP($F79,Nominal_to_Real,'Input|Rate of change'!N$26:N$31),INDEX('Input|Rate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K79" s="127">
        <f>'Input|Step changes'!K14*IF('Input|Step changes'!$F14="nominal",LOOKUP($F79,Nominal_to_Real,'Input|Rate of change'!O$26:O$31),INDEX('Input|Rate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L79" s="127">
        <f>'Input|Step changes'!L14*IF('Input|Step changes'!$F14="nominal",LOOKUP($F79,Nominal_to_Real,'Input|Rate of change'!P$26:P$31),INDEX('Input|Rate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M79" s="127">
        <f>'Input|Step changes'!M14*IF('Input|Step changes'!$F14="nominal",LOOKUP($F79,Nominal_to_Real,'Input|Rate of change'!Q$26:Q$31),INDEX('Input|Rate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N79" s="127">
        <f>'Input|Step changes'!N14*IF('Input|Step changes'!$F14="nominal",LOOKUP($F79,Nominal_to_Real,'Input|Rate of change'!R$26:R$31),INDEX('Input|Rate of change'!$C$14:$O$21,MATCH('Input|Step changes'!$F14,'Input|Rate of change'!$C$14:$C$21,0),MATCH('Calc|Opex forecast'!$F79,'Input|Rate of change'!$C$14:$O$14,0)))*IF('Input|Step changes'!$E14="$millions",1000000,IF('Input|Step changes'!$E14="$000",1000,1))/IF($E79="$millions",1000000,IF($E79="$000",1000,1))</f>
        <v>0</v>
      </c>
      <c r="O79" s="216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0.80138639703268799</v>
      </c>
      <c r="P79" s="216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2.6503176741259571</v>
      </c>
      <c r="Q79" s="216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2.6860216385950024</v>
      </c>
      <c r="R79" s="216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3.0075661898627302</v>
      </c>
      <c r="S79" s="216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3.1627610627350502</v>
      </c>
    </row>
    <row r="80" spans="1:47" outlineLevel="1">
      <c r="C80" s="121" t="str">
        <f>'Input|Step changes'!C15</f>
        <v>Cloud services</v>
      </c>
      <c r="D80" s="110" t="s">
        <v>30</v>
      </c>
      <c r="E80" s="30" t="str">
        <f t="shared" si="12"/>
        <v>$millions</v>
      </c>
      <c r="F80" s="158">
        <f t="shared" si="13"/>
        <v>46174</v>
      </c>
      <c r="J80" s="127">
        <f>'Input|Step changes'!J15*IF('Input|Step changes'!$F15="nominal",LOOKUP($F80,Nominal_to_Real,'Input|Rate of change'!N$26:N$31),INDEX('Input|Rate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K80" s="127">
        <f>'Input|Step changes'!K15*IF('Input|Step changes'!$F15="nominal",LOOKUP($F80,Nominal_to_Real,'Input|Rate of change'!O$26:O$31),INDEX('Input|Rate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L80" s="127">
        <f>'Input|Step changes'!L15*IF('Input|Step changes'!$F15="nominal",LOOKUP($F80,Nominal_to_Real,'Input|Rate of change'!P$26:P$31),INDEX('Input|Rate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M80" s="127">
        <f>'Input|Step changes'!M15*IF('Input|Step changes'!$F15="nominal",LOOKUP($F80,Nominal_to_Real,'Input|Rate of change'!Q$26:Q$31),INDEX('Input|Rate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N80" s="127">
        <f>'Input|Step changes'!N15*IF('Input|Step changes'!$F15="nominal",LOOKUP($F80,Nominal_to_Real,'Input|Rate of change'!R$26:R$31),INDEX('Input|Rate of change'!$C$14:$O$21,MATCH('Input|Step changes'!$F15,'Input|Rate of change'!$C$14:$C$21,0),MATCH('Calc|Opex forecast'!$F80,'Input|Rate of change'!$C$14:$O$14,0)))*IF('Input|Step changes'!$E15="$millions",1000000,IF('Input|Step changes'!$E15="$000",1000,1))/IF($E80="$millions",1000000,IF($E80="$000",1000,1))</f>
        <v>0</v>
      </c>
      <c r="O80" s="216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1.4889054007576623</v>
      </c>
      <c r="P80" s="216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3.7881115010021094</v>
      </c>
      <c r="Q80" s="216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2.3083983790356881</v>
      </c>
      <c r="R80" s="216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2.5626968792937288</v>
      </c>
      <c r="S80" s="216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1.0163470995497217</v>
      </c>
    </row>
    <row r="81" spans="1:47" outlineLevel="1">
      <c r="C81" s="121" t="str">
        <f>'Input|Step changes'!C16</f>
        <v>ICT modernisation and new capability</v>
      </c>
      <c r="D81" s="110" t="s">
        <v>30</v>
      </c>
      <c r="E81" s="30" t="str">
        <f t="shared" si="12"/>
        <v>$millions</v>
      </c>
      <c r="F81" s="158">
        <f t="shared" si="13"/>
        <v>46174</v>
      </c>
      <c r="J81" s="127">
        <f>'Input|Step changes'!J16*IF('Input|Step changes'!$F16="nominal",LOOKUP($F81,Nominal_to_Real,'Input|Rate of change'!N$26:N$31),INDEX('Input|Rate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K81" s="127">
        <f>'Input|Step changes'!K16*IF('Input|Step changes'!$F16="nominal",LOOKUP($F81,Nominal_to_Real,'Input|Rate of change'!O$26:O$31),INDEX('Input|Rate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L81" s="127">
        <f>'Input|Step changes'!L16*IF('Input|Step changes'!$F16="nominal",LOOKUP($F81,Nominal_to_Real,'Input|Rate of change'!P$26:P$31),INDEX('Input|Rate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M81" s="127">
        <f>'Input|Step changes'!M16*IF('Input|Step changes'!$F16="nominal",LOOKUP($F81,Nominal_to_Real,'Input|Rate of change'!Q$26:Q$31),INDEX('Input|Rate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N81" s="127">
        <f>'Input|Step changes'!N16*IF('Input|Step changes'!$F16="nominal",LOOKUP($F81,Nominal_to_Real,'Input|Rate of change'!R$26:R$31),INDEX('Input|Rate of change'!$C$14:$O$21,MATCH('Input|Step changes'!$F16,'Input|Rate of change'!$C$14:$C$21,0),MATCH('Calc|Opex forecast'!$F81,'Input|Rate of change'!$C$14:$O$14,0)))*IF('Input|Step changes'!$E16="$millions",1000000,IF('Input|Step changes'!$E16="$000",1000,1))/IF($E81="$millions",1000000,IF($E81="$000",1000,1))</f>
        <v>0</v>
      </c>
      <c r="O81" s="216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-0.1792947131774921</v>
      </c>
      <c r="P81" s="216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0.9718691783368143</v>
      </c>
      <c r="Q81" s="216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3.0369776255660001</v>
      </c>
      <c r="R81" s="216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3.7266377097627981</v>
      </c>
      <c r="S81" s="216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4.0630025132149541</v>
      </c>
    </row>
    <row r="82" spans="1:47" outlineLevel="1">
      <c r="C82" s="121" t="str">
        <f>'Input|Step changes'!C17</f>
        <v>Network and community resilience</v>
      </c>
      <c r="D82" s="110" t="s">
        <v>30</v>
      </c>
      <c r="E82" s="30" t="str">
        <f t="shared" si="12"/>
        <v>$millions</v>
      </c>
      <c r="F82" s="158">
        <f t="shared" si="13"/>
        <v>46174</v>
      </c>
      <c r="J82" s="127">
        <f>'Input|Step changes'!J17*IF('Input|Step changes'!$F17="nominal",LOOKUP($F82,Nominal_to_Real,'Input|Rate of change'!N$26:N$31),INDEX('Input|Rate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K82" s="127">
        <f>'Input|Step changes'!K17*IF('Input|Step changes'!$F17="nominal",LOOKUP($F82,Nominal_to_Real,'Input|Rate of change'!O$26:O$31),INDEX('Input|Rate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L82" s="127">
        <f>'Input|Step changes'!L17*IF('Input|Step changes'!$F17="nominal",LOOKUP($F82,Nominal_to_Real,'Input|Rate of change'!P$26:P$31),INDEX('Input|Rate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M82" s="127">
        <f>'Input|Step changes'!M17*IF('Input|Step changes'!$F17="nominal",LOOKUP($F82,Nominal_to_Real,'Input|Rate of change'!Q$26:Q$31),INDEX('Input|Rate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N82" s="127">
        <f>'Input|Step changes'!N17*IF('Input|Step changes'!$F17="nominal",LOOKUP($F82,Nominal_to_Real,'Input|Rate of change'!R$26:R$31),INDEX('Input|Rate of change'!$C$14:$O$21,MATCH('Input|Step changes'!$F17,'Input|Rate of change'!$C$14:$C$21,0),MATCH('Calc|Opex forecast'!$F82,'Input|Rate of change'!$C$14:$O$14,0)))*IF('Input|Step changes'!$E17="$millions",1000000,IF('Input|Step changes'!$E17="$000",1000,1))/IF($E82="$millions",1000000,IF($E82="$000",1000,1))</f>
        <v>0</v>
      </c>
      <c r="O82" s="216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216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216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216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216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47" outlineLevel="1">
      <c r="C83" s="121" t="str">
        <f>'Input|Step changes'!C18</f>
        <v>Fleet electrification</v>
      </c>
      <c r="D83" s="110" t="s">
        <v>30</v>
      </c>
      <c r="E83" s="30" t="str">
        <f t="shared" si="12"/>
        <v>$millions</v>
      </c>
      <c r="F83" s="158">
        <f t="shared" si="13"/>
        <v>46174</v>
      </c>
      <c r="J83" s="127">
        <f>'Input|Step changes'!J18*IF('Input|Step changes'!$F18="nominal",LOOKUP($F83,Nominal_to_Real,'Input|Rate of change'!N$26:N$31),INDEX('Input|Rate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K83" s="127">
        <f>'Input|Step changes'!K18*IF('Input|Step changes'!$F18="nominal",LOOKUP($F83,Nominal_to_Real,'Input|Rate of change'!O$26:O$31),INDEX('Input|Rate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L83" s="127">
        <f>'Input|Step changes'!L18*IF('Input|Step changes'!$F18="nominal",LOOKUP($F83,Nominal_to_Real,'Input|Rate of change'!P$26:P$31),INDEX('Input|Rate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M83" s="127">
        <f>'Input|Step changes'!M18*IF('Input|Step changes'!$F18="nominal",LOOKUP($F83,Nominal_to_Real,'Input|Rate of change'!Q$26:Q$31),INDEX('Input|Rate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N83" s="127">
        <f>'Input|Step changes'!N18*IF('Input|Step changes'!$F18="nominal",LOOKUP($F83,Nominal_to_Real,'Input|Rate of change'!R$26:R$31),INDEX('Input|Rate of change'!$C$14:$O$21,MATCH('Input|Step changes'!$F18,'Input|Rate of change'!$C$14:$C$21,0),MATCH('Calc|Opex forecast'!$F83,'Input|Rate of change'!$C$14:$O$14,0)))*IF('Input|Step changes'!$E18="$millions",1000000,IF('Input|Step changes'!$E18="$000",1000,1))/IF($E83="$millions",1000000,IF($E83="$000",1000,1))</f>
        <v>0</v>
      </c>
      <c r="O83" s="216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216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-2.6338201753376773E-2</v>
      </c>
      <c r="Q83" s="216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-3.9463824973775374E-2</v>
      </c>
      <c r="R83" s="216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-4.2386964429649961E-2</v>
      </c>
      <c r="S83" s="216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-4.7488206311911953E-2</v>
      </c>
    </row>
    <row r="84" spans="1:47" outlineLevel="1">
      <c r="C84" s="121">
        <f>'Input|Step changes'!C19</f>
        <v>0</v>
      </c>
      <c r="D84" s="110" t="s">
        <v>30</v>
      </c>
      <c r="E84" s="30" t="str">
        <f t="shared" si="12"/>
        <v>$millions</v>
      </c>
      <c r="F84" s="158">
        <f t="shared" si="13"/>
        <v>46174</v>
      </c>
      <c r="J84" s="127">
        <f>'Input|Step changes'!J19*IF('Input|Step changes'!$F19="nominal",LOOKUP($F84,Nominal_to_Real,'Input|Rate of change'!N$26:N$31),INDEX('Input|Rate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K84" s="127">
        <f>'Input|Step changes'!K19*IF('Input|Step changes'!$F19="nominal",LOOKUP($F84,Nominal_to_Real,'Input|Rate of change'!O$26:O$31),INDEX('Input|Rate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L84" s="127">
        <f>'Input|Step changes'!L19*IF('Input|Step changes'!$F19="nominal",LOOKUP($F84,Nominal_to_Real,'Input|Rate of change'!P$26:P$31),INDEX('Input|Rate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M84" s="127">
        <f>'Input|Step changes'!M19*IF('Input|Step changes'!$F19="nominal",LOOKUP($F84,Nominal_to_Real,'Input|Rate of change'!Q$26:Q$31),INDEX('Input|Rate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N84" s="127">
        <f>'Input|Step changes'!N19*IF('Input|Step changes'!$F19="nominal",LOOKUP($F84,Nominal_to_Real,'Input|Rate of change'!R$26:R$31),INDEX('Input|Rate of change'!$C$14:$O$21,MATCH('Input|Step changes'!$F19,'Input|Rate of change'!$C$14:$C$21,0),MATCH('Calc|Opex forecast'!$F84,'Input|Rate of change'!$C$14:$O$14,0)))*IF('Input|Step changes'!$E19="$millions",1000000,IF('Input|Step changes'!$E19="$000",1000,1))/IF($E84="$millions",1000000,IF($E84="$000",1000,1))</f>
        <v>0</v>
      </c>
      <c r="O84" s="216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216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216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216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216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47" outlineLevel="1">
      <c r="C85" s="121">
        <f>'Input|Step changes'!C20</f>
        <v>0</v>
      </c>
      <c r="D85" s="110" t="s">
        <v>30</v>
      </c>
      <c r="E85" s="30" t="str">
        <f t="shared" si="12"/>
        <v>$millions</v>
      </c>
      <c r="F85" s="158">
        <f t="shared" si="13"/>
        <v>46174</v>
      </c>
      <c r="J85" s="127"/>
      <c r="K85" s="127"/>
      <c r="L85" s="127"/>
      <c r="M85" s="127"/>
      <c r="N85" s="127"/>
      <c r="O85" s="216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216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216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216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216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47" outlineLevel="1">
      <c r="C86" s="121">
        <f>'Input|Step changes'!C21</f>
        <v>0</v>
      </c>
      <c r="D86" s="110" t="s">
        <v>30</v>
      </c>
      <c r="E86" s="30" t="str">
        <f t="shared" si="12"/>
        <v>$millions</v>
      </c>
      <c r="F86" s="158">
        <f t="shared" si="13"/>
        <v>46174</v>
      </c>
      <c r="J86" s="127"/>
      <c r="K86" s="127"/>
      <c r="L86" s="127"/>
      <c r="M86" s="127"/>
      <c r="N86" s="127"/>
      <c r="O86" s="216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P86" s="216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Q86" s="216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R86" s="216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  <c r="S86" s="216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0</v>
      </c>
    </row>
    <row r="87" spans="1:47" outlineLevel="1">
      <c r="C87" s="121">
        <f>'Input|Step changes'!C22</f>
        <v>0</v>
      </c>
      <c r="D87" s="110" t="s">
        <v>30</v>
      </c>
      <c r="E87" s="30" t="str">
        <f t="shared" si="12"/>
        <v>$millions</v>
      </c>
      <c r="F87" s="158">
        <f t="shared" si="13"/>
        <v>46174</v>
      </c>
      <c r="J87" s="127"/>
      <c r="K87" s="127"/>
      <c r="L87" s="127"/>
      <c r="M87" s="127"/>
      <c r="N87" s="127"/>
      <c r="O87" s="216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P87" s="216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Q87" s="216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R87" s="216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  <c r="S87" s="216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0</v>
      </c>
    </row>
    <row r="88" spans="1:47" outlineLevel="1">
      <c r="C88" s="121">
        <f>'Input|Step changes'!C23</f>
        <v>0</v>
      </c>
      <c r="D88" s="110" t="s">
        <v>30</v>
      </c>
      <c r="E88" s="30" t="str">
        <f t="shared" si="12"/>
        <v>$millions</v>
      </c>
      <c r="F88" s="158">
        <f t="shared" si="13"/>
        <v>46174</v>
      </c>
      <c r="J88" s="127"/>
      <c r="K88" s="127"/>
      <c r="L88" s="127"/>
      <c r="M88" s="127"/>
      <c r="N88" s="127"/>
      <c r="O88" s="216">
        <f>'Input|Step changes'!O23*INDEX('Input|Rate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P88" s="216">
        <f>'Input|Step changes'!P23*INDEX('Input|Rate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Q88" s="216">
        <f>'Input|Step changes'!Q23*INDEX('Input|Rate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R88" s="216">
        <f>'Input|Step changes'!R23*INDEX('Input|Rate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  <c r="S88" s="216">
        <f>'Input|Step changes'!S23*INDEX('Input|Rate of change'!$C$14:$P$22,MATCH('Input|Step changes'!$F23,'Input|Rate of change'!$C$14:$C$22,0),MATCH('Calc|Opex forecast'!$F88,'Input|Rate of change'!$C$14:$P$14,0))*IF('Input|Step changes'!$E23="$millions",1000000,IF('Input|Step changes'!$E23="$000",1000,1))/IF($E88="$millions",1000000,IF($E88="$000",1000,1))</f>
        <v>0</v>
      </c>
    </row>
    <row r="89" spans="1:47" outlineLevel="1">
      <c r="C89" s="121">
        <f>'Input|Step changes'!C24</f>
        <v>0</v>
      </c>
      <c r="D89" s="110" t="s">
        <v>30</v>
      </c>
      <c r="E89" s="30" t="str">
        <f t="shared" si="12"/>
        <v>$millions</v>
      </c>
      <c r="F89" s="158">
        <f t="shared" si="13"/>
        <v>46174</v>
      </c>
      <c r="J89" s="127"/>
      <c r="K89" s="127"/>
      <c r="L89" s="127"/>
      <c r="M89" s="127"/>
      <c r="N89" s="127"/>
      <c r="O89" s="216">
        <f>'Input|Step changes'!O24*INDEX('Input|Rate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P89" s="216">
        <f>'Input|Step changes'!P24*INDEX('Input|Rate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Q89" s="216">
        <f>'Input|Step changes'!Q24*INDEX('Input|Rate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R89" s="216">
        <f>'Input|Step changes'!R24*INDEX('Input|Rate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  <c r="S89" s="216">
        <f>'Input|Step changes'!S24*INDEX('Input|Rate of change'!$C$14:$P$22,MATCH('Input|Step changes'!$F24,'Input|Rate of change'!$C$14:$C$22,0),MATCH('Calc|Opex forecast'!$F89,'Input|Rate of change'!$C$14:$P$14,0))*IF('Input|Step changes'!$E24="$millions",1000000,IF('Input|Step changes'!$E24="$000",1000,1))/IF($E89="$millions",1000000,IF($E89="$000",1000,1))</f>
        <v>0</v>
      </c>
    </row>
    <row r="90" spans="1:47" outlineLevel="1">
      <c r="C90" s="121">
        <f>'Input|Step changes'!C25</f>
        <v>0</v>
      </c>
      <c r="D90" s="110" t="s">
        <v>30</v>
      </c>
      <c r="E90" s="30" t="str">
        <f t="shared" si="12"/>
        <v>$millions</v>
      </c>
      <c r="F90" s="158">
        <f t="shared" si="13"/>
        <v>46174</v>
      </c>
      <c r="J90" s="127"/>
      <c r="K90" s="127"/>
      <c r="L90" s="127"/>
      <c r="M90" s="127"/>
      <c r="N90" s="127"/>
      <c r="O90" s="216">
        <f>'Input|Step changes'!O25*INDEX('Input|Rate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P90" s="216">
        <f>'Input|Step changes'!P25*INDEX('Input|Rate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Q90" s="216">
        <f>'Input|Step changes'!Q25*INDEX('Input|Rate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R90" s="216">
        <f>'Input|Step changes'!R25*INDEX('Input|Rate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  <c r="S90" s="216">
        <f>'Input|Step changes'!S25*INDEX('Input|Rate of change'!$C$14:$P$22,MATCH('Input|Step changes'!$F25,'Input|Rate of change'!$C$14:$C$22,0),MATCH('Calc|Opex forecast'!$F90,'Input|Rate of change'!$C$14:$P$14,0))*IF('Input|Step changes'!$E25="$millions",1000000,IF('Input|Step changes'!$E25="$000",1000,1))/IF($E90="$millions",1000000,IF($E90="$000",1000,1))</f>
        <v>0</v>
      </c>
    </row>
    <row r="91" spans="1:47" outlineLevel="1">
      <c r="C91" s="121">
        <f>'Input|Step changes'!C26</f>
        <v>0</v>
      </c>
      <c r="D91" s="110" t="s">
        <v>30</v>
      </c>
      <c r="E91" s="30" t="str">
        <f t="shared" si="12"/>
        <v>$millions</v>
      </c>
      <c r="F91" s="158">
        <f t="shared" si="13"/>
        <v>46174</v>
      </c>
      <c r="J91" s="127"/>
      <c r="K91" s="127"/>
      <c r="L91" s="127"/>
      <c r="M91" s="127"/>
      <c r="N91" s="127"/>
      <c r="O91" s="216">
        <f>'Input|Step changes'!O26*INDEX('Input|Rate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P91" s="216">
        <f>'Input|Step changes'!P26*INDEX('Input|Rate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Q91" s="216">
        <f>'Input|Step changes'!Q26*INDEX('Input|Rate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R91" s="216">
        <f>'Input|Step changes'!R26*INDEX('Input|Rate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  <c r="S91" s="216">
        <f>'Input|Step changes'!S26*INDEX('Input|Rate of change'!$C$14:$P$22,MATCH('Input|Step changes'!$F26,'Input|Rate of change'!$C$14:$C$22,0),MATCH('Calc|Opex forecast'!$F91,'Input|Rate of change'!$C$14:$P$14,0))*IF('Input|Step changes'!$E26="$millions",1000000,IF('Input|Step changes'!$E26="$000",1000,1))/IF($E91="$millions",1000000,IF($E91="$000",1000,1))</f>
        <v>0</v>
      </c>
    </row>
    <row r="92" spans="1:47" outlineLevel="1">
      <c r="C92" s="121">
        <f>'Input|Step changes'!C27</f>
        <v>0</v>
      </c>
      <c r="D92" s="110" t="s">
        <v>30</v>
      </c>
      <c r="E92" s="30" t="str">
        <f t="shared" si="12"/>
        <v>$millions</v>
      </c>
      <c r="F92" s="158">
        <f t="shared" si="13"/>
        <v>46174</v>
      </c>
      <c r="J92" s="127">
        <f>'Input|Step changes'!J27*IF('Input|Step changes'!$F27="nominal",LOOKUP($F92,Nominal_to_Real,'Input|Rate of change'!N$26:N$31),INDEX('Input|Rate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K92" s="127">
        <f>'Input|Step changes'!K27*IF('Input|Step changes'!$F27="nominal",LOOKUP($F92,Nominal_to_Real,'Input|Rate of change'!O$26:O$31),INDEX('Input|Rate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L92" s="127">
        <f>'Input|Step changes'!L27*IF('Input|Step changes'!$F27="nominal",LOOKUP($F92,Nominal_to_Real,'Input|Rate of change'!P$26:P$31),INDEX('Input|Rate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M92" s="127">
        <f>'Input|Step changes'!M27*IF('Input|Step changes'!$F27="nominal",LOOKUP($F92,Nominal_to_Real,'Input|Rate of change'!Q$26:Q$31),INDEX('Input|Rate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N92" s="127">
        <f>'Input|Step changes'!N27*IF('Input|Step changes'!$F27="nominal",LOOKUP($F92,Nominal_to_Real,'Input|Rate of change'!R$26:R$31),INDEX('Input|Rate of change'!$C$14:$O$21,MATCH('Input|Step changes'!$F27,'Input|Rate of change'!$C$14:$C$21,0),MATCH('Calc|Opex forecast'!$F92,'Input|Rate of change'!$C$14:$O$14,0)))*IF('Input|Step changes'!$E27="$millions",1000000,IF('Input|Step changes'!$E27="$000",1000,1))/IF($E92="$millions",1000000,IF($E92="$000",1000,1))</f>
        <v>0</v>
      </c>
      <c r="O92" s="216">
        <f>'Input|Step changes'!O27*INDEX('Input|Rate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P92" s="216">
        <f>'Input|Step changes'!P27*INDEX('Input|Rate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Q92" s="216">
        <f>'Input|Step changes'!Q27*INDEX('Input|Rate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R92" s="216">
        <f>'Input|Step changes'!R27*INDEX('Input|Rate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  <c r="S92" s="216">
        <f>'Input|Step changes'!S27*INDEX('Input|Rate of change'!$C$14:$P$22,MATCH('Input|Step changes'!$F27,'Input|Rate of change'!$C$14:$C$22,0),MATCH('Calc|Opex forecast'!$F92,'Input|Rate of change'!$C$14:$P$14,0))*IF('Input|Step changes'!$E27="$millions",1000000,IF('Input|Step changes'!$E27="$000",1000,1))/IF($E92="$millions",1000000,IF($E92="$000",1000,1))</f>
        <v>0</v>
      </c>
    </row>
    <row r="93" spans="1:47" outlineLevel="1">
      <c r="C93" s="121"/>
      <c r="D93" s="110"/>
      <c r="F93" s="112"/>
      <c r="J93" s="170"/>
      <c r="K93" s="170"/>
      <c r="L93" s="170"/>
      <c r="M93" s="170"/>
      <c r="N93" s="170"/>
      <c r="O93" s="170"/>
      <c r="P93" s="170"/>
      <c r="Q93" s="170"/>
      <c r="R93" s="170"/>
      <c r="S93" s="170"/>
    </row>
    <row r="94" spans="1:47" ht="10.5" outlineLevel="1">
      <c r="C94" s="113" t="s">
        <v>49</v>
      </c>
      <c r="D94" s="122" t="s">
        <v>30</v>
      </c>
      <c r="E94" s="122" t="str">
        <f>$E$8</f>
        <v>$millions</v>
      </c>
      <c r="F94" s="169">
        <f t="shared" si="13"/>
        <v>46174</v>
      </c>
      <c r="G94" s="32"/>
      <c r="H94" s="32"/>
      <c r="I94" s="32"/>
      <c r="J94" s="171">
        <f>SUM(J76:J93)</f>
        <v>0</v>
      </c>
      <c r="K94" s="171">
        <f t="shared" ref="K94:S94" si="14">SUM(K76:K93)</f>
        <v>0</v>
      </c>
      <c r="L94" s="171">
        <f t="shared" si="14"/>
        <v>0</v>
      </c>
      <c r="M94" s="171">
        <f t="shared" si="14"/>
        <v>0</v>
      </c>
      <c r="N94" s="171">
        <f t="shared" si="14"/>
        <v>0</v>
      </c>
      <c r="O94" s="171">
        <f t="shared" si="14"/>
        <v>9.1927423958368859</v>
      </c>
      <c r="P94" s="171">
        <f t="shared" si="14"/>
        <v>15.20730989291331</v>
      </c>
      <c r="Q94" s="171">
        <f t="shared" si="14"/>
        <v>16.396577366872442</v>
      </c>
      <c r="R94" s="171">
        <f t="shared" si="14"/>
        <v>17.755819612304236</v>
      </c>
      <c r="S94" s="171">
        <f t="shared" si="14"/>
        <v>16.787537699015331</v>
      </c>
      <c r="U94" s="67"/>
    </row>
    <row r="95" spans="1:47" ht="10.5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3">
      <c r="A96" s="94"/>
      <c r="B96" s="95" t="s">
        <v>123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ht="10.5" outlineLevel="1">
      <c r="C98" s="67" t="s">
        <v>113</v>
      </c>
      <c r="D98" s="32" t="s">
        <v>7</v>
      </c>
      <c r="E98" s="32" t="s">
        <v>8</v>
      </c>
      <c r="F98" s="32" t="s">
        <v>22</v>
      </c>
      <c r="J98" s="159" t="str">
        <f>IF(YEAR(J$4)&gt;='Input|General'!$G$13,IF(YEAR(J$4)&lt;='Input|General'!$G$14,J$4,""),"")</f>
        <v/>
      </c>
      <c r="K98" s="159" t="str">
        <f>IF(YEAR(K$4)&gt;='Input|General'!$G$13,IF(YEAR(K$4)&lt;='Input|General'!$G$14,K$4,""),"")</f>
        <v/>
      </c>
      <c r="L98" s="159" t="str">
        <f>IF(YEAR(L$4)&gt;='Input|General'!$G$13,IF(YEAR(L$4)&lt;='Input|General'!$G$14,L$4,""),"")</f>
        <v/>
      </c>
      <c r="M98" s="159" t="str">
        <f>IF(YEAR(M$4)&gt;='Input|General'!$G$13,IF(YEAR(M$4)&lt;='Input|General'!$G$14,M$4,""),"")</f>
        <v/>
      </c>
      <c r="N98" s="159" t="str">
        <f>IF(YEAR(N$4)&gt;='Input|General'!$G$13,IF(YEAR(N$4)&lt;='Input|General'!$G$14,N$4,""),"")</f>
        <v/>
      </c>
      <c r="O98" s="159">
        <f>IF(YEAR(O$4)&gt;='Input|General'!$G$13,IF(YEAR(O$4)&lt;='Input|General'!$G$14,O$4,""),"")</f>
        <v>46539</v>
      </c>
      <c r="P98" s="159">
        <f>IF(YEAR(P$4)&gt;='Input|General'!$G$13,IF(YEAR(P$4)&lt;='Input|General'!$G$14,P$4,""),"")</f>
        <v>46905</v>
      </c>
      <c r="Q98" s="159">
        <f>IF(YEAR(Q$4)&gt;='Input|General'!$G$13,IF(YEAR(Q$4)&lt;='Input|General'!$G$14,Q$4,""),"")</f>
        <v>47270</v>
      </c>
      <c r="R98" s="159">
        <f>IF(YEAR(R$4)&gt;='Input|General'!$G$13,IF(YEAR(R$4)&lt;='Input|General'!$G$14,R$4,""),"")</f>
        <v>47635</v>
      </c>
      <c r="S98" s="159">
        <f>IF(YEAR(S$4)&gt;='Input|General'!$G$13,IF(YEAR(S$4)&lt;='Input|General'!$G$14,S$4,""),"")</f>
        <v>48000</v>
      </c>
    </row>
    <row r="99" spans="1:47" ht="10.5" outlineLevel="1">
      <c r="C99" s="67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1:47" outlineLevel="1">
      <c r="C100" s="121" t="str">
        <f>'Input|Step changes'!C35</f>
        <v>GSL payments</v>
      </c>
      <c r="D100" s="110" t="s">
        <v>30</v>
      </c>
      <c r="E100" s="30" t="str">
        <f t="shared" si="12"/>
        <v>$millions</v>
      </c>
      <c r="F100" s="158">
        <f t="shared" ref="F100:F104" si="15">$F$8</f>
        <v>46174</v>
      </c>
      <c r="J100" s="216">
        <f>'Input|Step changes'!J35*INDEX('Input|Rate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K100" s="216">
        <f>'Input|Step changes'!K35*INDEX('Input|Rate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L100" s="216">
        <f>'Input|Step changes'!L35*INDEX('Input|Rate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M100" s="216">
        <f>'Input|Step changes'!M35*INDEX('Input|Rate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N100" s="216">
        <f>'Input|Step changes'!N35*INDEX('Input|Rate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0</v>
      </c>
      <c r="O100" s="216">
        <f>'Input|Step changes'!O35*INDEX('Input|Rate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5.6336674523479353E-2</v>
      </c>
      <c r="P100" s="216">
        <f>'Input|Step changes'!P35*INDEX('Input|Rate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5.4828961460829127E-2</v>
      </c>
      <c r="Q100" s="216">
        <f>'Input|Step changes'!Q35*INDEX('Input|Rate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5.336159864423997E-2</v>
      </c>
      <c r="R100" s="216">
        <f>'Input|Step changes'!R35*INDEX('Input|Rate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5.1933506198238596E-2</v>
      </c>
      <c r="S100" s="216">
        <f>'Input|Step changes'!S35*INDEX('Input|Rate of change'!$C$14:$P$22,MATCH('Input|Step changes'!$F35,'Input|Rate of change'!$C$14:$C$22,0),MATCH('Calc|Opex forecast'!$F100,'Input|Rate of change'!$C$14:$P$14,0))*IF('Input|Step changes'!$E35="$millions",1000000,IF('Input|Step changes'!$E35="$000",1000,1))/IF($E100="$millions",1000000,IF($E100="$000",1000,1))</f>
        <v>5.0543633147572847E-2</v>
      </c>
    </row>
    <row r="101" spans="1:47" outlineLevel="1">
      <c r="C101" s="121" t="str">
        <f>'Input|Step changes'!C36</f>
        <v>Network innovation fund</v>
      </c>
      <c r="D101" s="110" t="s">
        <v>30</v>
      </c>
      <c r="E101" s="30" t="str">
        <f t="shared" si="12"/>
        <v>$millions</v>
      </c>
      <c r="F101" s="158">
        <f t="shared" si="15"/>
        <v>46174</v>
      </c>
      <c r="J101" s="216">
        <f>'Input|Step changes'!J36*INDEX('Input|Rate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K101" s="216">
        <f>'Input|Step changes'!K36*INDEX('Input|Rate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L101" s="216">
        <f>'Input|Step changes'!L36*INDEX('Input|Rate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M101" s="216">
        <f>'Input|Step changes'!M36*INDEX('Input|Rate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N101" s="216">
        <f>'Input|Step changes'!N36*INDEX('Input|Rate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</v>
      </c>
      <c r="O101" s="216">
        <f>'Input|Step changes'!O36*INDEX('Input|Rate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0.71250000000000002</v>
      </c>
      <c r="P101" s="216">
        <f>'Input|Step changes'!P36*INDEX('Input|Rate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0.71250000000000002</v>
      </c>
      <c r="Q101" s="216">
        <f>'Input|Step changes'!Q36*INDEX('Input|Rate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0.47500000000000003</v>
      </c>
      <c r="R101" s="216">
        <f>'Input|Step changes'!R36*INDEX('Input|Rate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0.47500000000000003</v>
      </c>
      <c r="S101" s="216">
        <f>'Input|Step changes'!S36*INDEX('Input|Rate of change'!$C$14:$P$22,MATCH('Input|Step changes'!$F36,'Input|Rate of change'!$C$14:$C$22,0),MATCH('Calc|Opex forecast'!$F101,'Input|Rate of change'!$C$14:$P$14,0))*IF('Input|Step changes'!$E36="$millions",1000000,IF('Input|Step changes'!$E36="$000",1000,1))/IF($E101="$millions",1000000,IF($E101="$000",1000,1))</f>
        <v>0.47500000000000003</v>
      </c>
    </row>
    <row r="102" spans="1:47" outlineLevel="1">
      <c r="C102" s="121">
        <f>'Input|Step changes'!C37</f>
        <v>0</v>
      </c>
      <c r="D102" s="110" t="s">
        <v>30</v>
      </c>
      <c r="E102" s="30" t="str">
        <f t="shared" si="12"/>
        <v>$millions</v>
      </c>
      <c r="F102" s="158">
        <f t="shared" si="15"/>
        <v>46174</v>
      </c>
      <c r="J102" s="216">
        <f>'Input|Step changes'!J37*INDEX('Input|Rate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K102" s="216">
        <f>'Input|Step changes'!K37*INDEX('Input|Rate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L102" s="216">
        <f>'Input|Step changes'!L37*INDEX('Input|Rate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M102" s="216">
        <f>'Input|Step changes'!M37*INDEX('Input|Rate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N102" s="216">
        <f>'Input|Step changes'!N37*INDEX('Input|Rate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O102" s="216">
        <f>'Input|Step changes'!O37*INDEX('Input|Rate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P102" s="216">
        <f>'Input|Step changes'!P37*INDEX('Input|Rate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Q102" s="216">
        <f>'Input|Step changes'!Q37*INDEX('Input|Rate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R102" s="216">
        <f>'Input|Step changes'!R37*INDEX('Input|Rate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  <c r="S102" s="216">
        <f>'Input|Step changes'!S37*INDEX('Input|Rate of change'!$C$14:$P$22,MATCH('Input|Step changes'!$F37,'Input|Rate of change'!$C$14:$C$22,0),MATCH('Calc|Opex forecast'!$F102,'Input|Rate of change'!$C$14:$P$14,0))*IF('Input|Step changes'!$E37="$millions",1000000,IF('Input|Step changes'!$E37="$000",1000,1))/IF($E102="$millions",1000000,IF($E102="$000",1000,1))</f>
        <v>0</v>
      </c>
    </row>
    <row r="103" spans="1:47" outlineLevel="1">
      <c r="C103" s="121">
        <f>'Input|Step changes'!C38</f>
        <v>0</v>
      </c>
      <c r="D103" s="110" t="s">
        <v>30</v>
      </c>
      <c r="E103" s="30" t="str">
        <f t="shared" si="12"/>
        <v>$millions</v>
      </c>
      <c r="F103" s="158">
        <f t="shared" si="15"/>
        <v>46174</v>
      </c>
      <c r="J103" s="216">
        <f>'Input|Step changes'!J38*INDEX('Input|Rate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K103" s="216">
        <f>'Input|Step changes'!K38*INDEX('Input|Rate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L103" s="216">
        <f>'Input|Step changes'!L38*INDEX('Input|Rate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M103" s="216">
        <f>'Input|Step changes'!M38*INDEX('Input|Rate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N103" s="216">
        <f>'Input|Step changes'!N38*INDEX('Input|Rate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O103" s="216">
        <f>'Input|Step changes'!O38*INDEX('Input|Rate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P103" s="216">
        <f>'Input|Step changes'!P38*INDEX('Input|Rate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Q103" s="216">
        <f>'Input|Step changes'!Q38*INDEX('Input|Rate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R103" s="216">
        <f>'Input|Step changes'!R38*INDEX('Input|Rate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  <c r="S103" s="216">
        <f>'Input|Step changes'!S38*INDEX('Input|Rate of change'!$C$14:$P$22,MATCH('Input|Step changes'!$F38,'Input|Rate of change'!$C$14:$C$22,0),MATCH('Calc|Opex forecast'!$F103,'Input|Rate of change'!$C$14:$P$14,0))*IF('Input|Step changes'!$E38="$millions",1000000,IF('Input|Step changes'!$E38="$000",1000,1))/IF($E103="$millions",1000000,IF($E103="$000",1000,1))</f>
        <v>0</v>
      </c>
    </row>
    <row r="104" spans="1:47" outlineLevel="1">
      <c r="C104" s="121">
        <f>'Input|Step changes'!C39</f>
        <v>0</v>
      </c>
      <c r="D104" s="110" t="s">
        <v>30</v>
      </c>
      <c r="E104" s="30" t="str">
        <f t="shared" si="12"/>
        <v>$millions</v>
      </c>
      <c r="F104" s="158">
        <f t="shared" si="15"/>
        <v>46174</v>
      </c>
      <c r="J104" s="216">
        <f>'Input|Step changes'!J39*INDEX('Input|Rate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K104" s="216">
        <f>'Input|Step changes'!K39*INDEX('Input|Rate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L104" s="216">
        <f>'Input|Step changes'!L39*INDEX('Input|Rate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M104" s="216">
        <f>'Input|Step changes'!M39*INDEX('Input|Rate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N104" s="216">
        <f>'Input|Step changes'!N39*INDEX('Input|Rate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O104" s="216">
        <f>'Input|Step changes'!O39*INDEX('Input|Rate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P104" s="216">
        <f>'Input|Step changes'!P39*INDEX('Input|Rate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Q104" s="216">
        <f>'Input|Step changes'!Q39*INDEX('Input|Rate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R104" s="216">
        <f>'Input|Step changes'!R39*INDEX('Input|Rate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  <c r="S104" s="216">
        <f>'Input|Step changes'!S39*INDEX('Input|Rate of change'!$C$14:$P$22,MATCH('Input|Step changes'!$F39,'Input|Rate of change'!$C$14:$C$22,0),MATCH('Calc|Opex forecast'!$F104,'Input|Rate of change'!$C$14:$P$14,0))*IF('Input|Step changes'!$E39="$millions",1000000,IF('Input|Step changes'!$E39="$000",1000,1))/IF($E104="$millions",1000000,IF($E104="$000",1000,1))</f>
        <v>0</v>
      </c>
    </row>
    <row r="105" spans="1:47" outlineLevel="1">
      <c r="C105" s="121"/>
      <c r="D105" s="108"/>
      <c r="F105" s="112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47" ht="10.5" outlineLevel="1">
      <c r="C106" s="113" t="s">
        <v>124</v>
      </c>
      <c r="D106" s="122" t="s">
        <v>30</v>
      </c>
      <c r="E106" s="122" t="str">
        <f>$E$8</f>
        <v>$millions</v>
      </c>
      <c r="F106" s="169">
        <f t="shared" ref="F106" si="16">$F$8</f>
        <v>46174</v>
      </c>
      <c r="G106" s="32"/>
      <c r="H106" s="32"/>
      <c r="I106" s="32"/>
      <c r="J106" s="128">
        <f t="shared" ref="J106:S106" si="17">SUM(J99:J105)</f>
        <v>0</v>
      </c>
      <c r="K106" s="128">
        <f t="shared" si="17"/>
        <v>0</v>
      </c>
      <c r="L106" s="128">
        <f t="shared" si="17"/>
        <v>0</v>
      </c>
      <c r="M106" s="128">
        <f t="shared" si="17"/>
        <v>0</v>
      </c>
      <c r="N106" s="128">
        <f t="shared" si="17"/>
        <v>0</v>
      </c>
      <c r="O106" s="128">
        <f t="shared" si="17"/>
        <v>0.76883667452347937</v>
      </c>
      <c r="P106" s="128">
        <f t="shared" si="17"/>
        <v>0.76732896146082918</v>
      </c>
      <c r="Q106" s="128">
        <f t="shared" si="17"/>
        <v>0.52836159864424004</v>
      </c>
      <c r="R106" s="128">
        <f t="shared" si="17"/>
        <v>0.52693350619823864</v>
      </c>
      <c r="S106" s="128">
        <f t="shared" si="17"/>
        <v>0.52554363314757291</v>
      </c>
      <c r="U106" s="67"/>
    </row>
    <row r="107" spans="1:47" ht="10.5">
      <c r="C107" s="123"/>
      <c r="D107" s="110"/>
      <c r="E107" s="110"/>
      <c r="F107" s="110"/>
      <c r="J107" s="107"/>
      <c r="K107" s="107"/>
      <c r="L107" s="107"/>
      <c r="M107" s="107"/>
      <c r="N107" s="23"/>
      <c r="O107" s="23"/>
      <c r="P107" s="23"/>
      <c r="Q107" s="23"/>
      <c r="R107" s="23"/>
      <c r="S107" s="23"/>
    </row>
    <row r="108" spans="1:47" s="103" customFormat="1" ht="13">
      <c r="A108" s="94"/>
      <c r="B108" s="95" t="s">
        <v>94</v>
      </c>
      <c r="C108" s="94"/>
      <c r="D108" s="94"/>
      <c r="E108" s="94"/>
      <c r="F108" s="96"/>
      <c r="G108" s="96"/>
      <c r="H108" s="96"/>
      <c r="I108" s="96"/>
      <c r="J108" s="97"/>
      <c r="K108" s="98"/>
      <c r="L108" s="97"/>
      <c r="M108" s="98"/>
      <c r="N108" s="97"/>
      <c r="O108" s="97"/>
      <c r="P108" s="97"/>
      <c r="Q108" s="97"/>
      <c r="R108" s="97"/>
      <c r="S108" s="97"/>
      <c r="T108" s="97"/>
      <c r="U108" s="97"/>
      <c r="V108" s="98"/>
      <c r="W108" s="98"/>
      <c r="X108" s="99"/>
      <c r="Y108" s="99"/>
      <c r="Z108" s="99"/>
      <c r="AA108" s="99"/>
      <c r="AB108" s="100"/>
      <c r="AC108" s="101"/>
      <c r="AD108" s="101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</row>
    <row r="109" spans="1:47" outlineLevel="1">
      <c r="C109" s="106"/>
      <c r="J109" s="107"/>
      <c r="K109" s="107"/>
      <c r="L109" s="107"/>
    </row>
    <row r="110" spans="1:47" ht="10.5" outlineLevel="1">
      <c r="C110" s="67"/>
      <c r="J110" s="159" t="str">
        <f>IF(YEAR(J$4)&gt;='Input|General'!$G$13,IF(YEAR(J$4)&lt;='Input|General'!$G$14,J$4,""),"")</f>
        <v/>
      </c>
      <c r="K110" s="159" t="str">
        <f>IF(YEAR(K$4)&gt;='Input|General'!$G$13,IF(YEAR(K$4)&lt;='Input|General'!$G$14,K$4,""),"")</f>
        <v/>
      </c>
      <c r="L110" s="159" t="str">
        <f>IF(YEAR(L$4)&gt;='Input|General'!$G$13,IF(YEAR(L$4)&lt;='Input|General'!$G$14,L$4,""),"")</f>
        <v/>
      </c>
      <c r="M110" s="159" t="str">
        <f>IF(YEAR(M$4)&gt;='Input|General'!$G$13,IF(YEAR(M$4)&lt;='Input|General'!$G$14,M$4,""),"")</f>
        <v/>
      </c>
      <c r="N110" s="159" t="str">
        <f>IF(YEAR(N$4)&gt;='Input|General'!$G$13,IF(YEAR(N$4)&lt;='Input|General'!$G$14,N$4,""),"")</f>
        <v/>
      </c>
      <c r="O110" s="159">
        <f>IF(YEAR(O$4)&gt;='Input|General'!$G$13,IF(YEAR(O$4)&lt;='Input|General'!$G$14,O$4,""),"")</f>
        <v>46539</v>
      </c>
      <c r="P110" s="159">
        <f>IF(YEAR(P$4)&gt;='Input|General'!$G$13,IF(YEAR(P$4)&lt;='Input|General'!$G$14,P$4,""),"")</f>
        <v>46905</v>
      </c>
      <c r="Q110" s="159">
        <f>IF(YEAR(Q$4)&gt;='Input|General'!$G$13,IF(YEAR(Q$4)&lt;='Input|General'!$G$14,Q$4,""),"")</f>
        <v>47270</v>
      </c>
      <c r="R110" s="159">
        <f>IF(YEAR(R$4)&gt;='Input|General'!$G$13,IF(YEAR(R$4)&lt;='Input|General'!$G$14,R$4,""),"")</f>
        <v>47635</v>
      </c>
      <c r="S110" s="159">
        <f>IF(YEAR(S$4)&gt;='Input|General'!$G$13,IF(YEAR(S$4)&lt;='Input|General'!$G$14,S$4,""),"")</f>
        <v>48000</v>
      </c>
    </row>
    <row r="111" spans="1:47" ht="10.5" outlineLevel="1">
      <c r="C111" s="124"/>
      <c r="D111" s="110"/>
      <c r="E111" s="110"/>
      <c r="F111" s="110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</row>
    <row r="112" spans="1:47" ht="10.5" outlineLevel="1">
      <c r="C112" s="123" t="s">
        <v>140</v>
      </c>
      <c r="D112" s="126" t="s">
        <v>30</v>
      </c>
      <c r="E112" s="126" t="str">
        <f>$E$8</f>
        <v>$millions</v>
      </c>
      <c r="F112" s="169">
        <f t="shared" ref="F112:F114" si="18">$F$8</f>
        <v>46174</v>
      </c>
      <c r="J112" s="149" t="str">
        <f t="shared" ref="J112:N112" si="19">IF(YEAR(J$4)&gt;=FPFirstYear,IF(YEAR(J$4)&lt;=FPLastYear,IF(ISBLANK(J110),"",(1+J71)*SUM($J54:$S54)+J94),""),"")</f>
        <v/>
      </c>
      <c r="K112" s="149" t="str">
        <f t="shared" si="19"/>
        <v/>
      </c>
      <c r="L112" s="149" t="str">
        <f t="shared" si="19"/>
        <v/>
      </c>
      <c r="M112" s="149" t="str">
        <f t="shared" si="19"/>
        <v/>
      </c>
      <c r="N112" s="149" t="str">
        <f t="shared" si="19"/>
        <v/>
      </c>
      <c r="O112" s="149">
        <f ca="1">IF(YEAR(O$4)&gt;=FPFirstYear,IF(YEAR(O$4)&lt;=FPLastYear,IF(ISBLANK(O110),"",(1+O71)*SUM($J54:$S54)+O94),""),"")</f>
        <v>106.23096502878683</v>
      </c>
      <c r="P112" s="149">
        <f ca="1">IF(YEAR(P$4)&gt;=FPFirstYear,IF(YEAR(P$4)&lt;=FPLastYear,IF(ISBLANK(P110),"",(1+P71)*SUM($J54:$S54)+P94),""),"")</f>
        <v>113.47132116072407</v>
      </c>
      <c r="Q112" s="149">
        <f ca="1">IF(YEAR(Q$4)&gt;=FPFirstYear,IF(YEAR(Q$4)&lt;=FPLastYear,IF(ISBLANK(Q110),"",(1+Q71)*SUM($J54:$S54)+Q94),""),"")</f>
        <v>116.297630093843</v>
      </c>
      <c r="R112" s="149">
        <f ca="1">IF(YEAR(R$4)&gt;=FPFirstYear,IF(YEAR(R$4)&lt;=FPLastYear,IF(ISBLANK(R110),"",(1+R71)*SUM($J54:$S54)+R94),""),"")</f>
        <v>119.59884160996744</v>
      </c>
      <c r="S112" s="149">
        <f ca="1">IF(YEAR(S$4)&gt;=FPFirstYear,IF(YEAR(S$4)&lt;=FPLastYear,IF(ISBLANK(S110),"",(1+S71)*SUM($J54:$S54)+S94),""),"")</f>
        <v>120.91941597394664</v>
      </c>
    </row>
    <row r="113" spans="1:47" ht="10.5" outlineLevel="1">
      <c r="C113" s="123" t="s">
        <v>111</v>
      </c>
      <c r="D113" s="126" t="s">
        <v>30</v>
      </c>
      <c r="E113" s="126" t="str">
        <f>$E$8</f>
        <v>$millions</v>
      </c>
      <c r="F113" s="169">
        <f t="shared" si="18"/>
        <v>46174</v>
      </c>
      <c r="J113" s="149" t="str">
        <f t="shared" ref="J113:S113" si="20">IF(YEAR(J$4)&gt;=FPFirstYear,IF(YEAR(J$4)&lt;=FPLastYear,IF(ISBLANK(J110),"",(1+J71)*SUM($J54:$S54)+J94+J106),""),"")</f>
        <v/>
      </c>
      <c r="K113" s="149" t="str">
        <f t="shared" si="20"/>
        <v/>
      </c>
      <c r="L113" s="149" t="str">
        <f t="shared" si="20"/>
        <v/>
      </c>
      <c r="M113" s="149" t="str">
        <f t="shared" si="20"/>
        <v/>
      </c>
      <c r="N113" s="149" t="str">
        <f t="shared" si="20"/>
        <v/>
      </c>
      <c r="O113" s="149">
        <f t="shared" ca="1" si="20"/>
        <v>106.99980170331031</v>
      </c>
      <c r="P113" s="149">
        <f t="shared" ca="1" si="20"/>
        <v>114.23865012218491</v>
      </c>
      <c r="Q113" s="149">
        <f t="shared" ca="1" si="20"/>
        <v>116.82599169248724</v>
      </c>
      <c r="R113" s="149">
        <f t="shared" ca="1" si="20"/>
        <v>120.12577511616567</v>
      </c>
      <c r="S113" s="149">
        <f t="shared" ca="1" si="20"/>
        <v>121.44495960709422</v>
      </c>
    </row>
    <row r="114" spans="1:47" ht="10.5" outlineLevel="1">
      <c r="C114" s="123" t="s">
        <v>112</v>
      </c>
      <c r="D114" s="126" t="s">
        <v>30</v>
      </c>
      <c r="E114" s="126" t="str">
        <f>$E$8</f>
        <v>$millions</v>
      </c>
      <c r="F114" s="169">
        <f t="shared" si="18"/>
        <v>46174</v>
      </c>
      <c r="J114" s="149" t="str">
        <f>IF(YEAR(J$4)&gt;=FPFirstYear,IF(YEAR(J$4)&lt;=FPLastYear,J113+'Input|Step changes'!J47,""),"")</f>
        <v/>
      </c>
      <c r="K114" s="149" t="str">
        <f>IF(YEAR(K$4)&gt;=FPFirstYear,IF(YEAR(K$4)&lt;=FPLastYear,K113+'Input|Step changes'!K47,""),"")</f>
        <v/>
      </c>
      <c r="L114" s="149" t="str">
        <f>IF(YEAR(L$4)&gt;=FPFirstYear,IF(YEAR(L$4)&lt;=FPLastYear,L113+'Input|Step changes'!L47,""),"")</f>
        <v/>
      </c>
      <c r="M114" s="149" t="str">
        <f>IF(YEAR(M$4)&gt;=FPFirstYear,IF(YEAR(M$4)&lt;=FPLastYear,M113+'Input|Step changes'!M47,""),"")</f>
        <v/>
      </c>
      <c r="N114" s="149" t="str">
        <f>IF(YEAR(N$4)&gt;=FPFirstYear,IF(YEAR(N$4)&lt;=FPLastYear,N113+'Input|Step changes'!N47,""),"")</f>
        <v/>
      </c>
      <c r="O114" s="149">
        <f ca="1">IF(YEAR(O$4)&gt;=FPFirstYear,IF(YEAR(O$4)&lt;=FPLastYear,O113+'Input|Step changes'!O47,""),"")</f>
        <v>108.18320128310739</v>
      </c>
      <c r="P114" s="149">
        <f ca="1">IF(YEAR(P$4)&gt;=FPFirstYear,IF(YEAR(P$4)&lt;=FPLastYear,P113+'Input|Step changes'!P47,""),"")</f>
        <v>115.49121499422019</v>
      </c>
      <c r="Q114" s="149">
        <f ca="1">IF(YEAR(Q$4)&gt;=FPFirstYear,IF(YEAR(Q$4)&lt;=FPLastYear,Q113+'Input|Step changes'!Q47,""),"")</f>
        <v>118.1438203864697</v>
      </c>
      <c r="R114" s="149">
        <f ca="1">IF(YEAR(R$4)&gt;=FPFirstYear,IF(YEAR(R$4)&lt;=FPLastYear,R113+'Input|Step changes'!R47,""),"")</f>
        <v>121.4781548160918</v>
      </c>
      <c r="S114" s="149">
        <f ca="1">IF(YEAR(S$4)&gt;=FPFirstYear,IF(YEAR(S$4)&lt;=FPLastYear,S113+'Input|Step changes'!S47,""),"")</f>
        <v>122.81480044927659</v>
      </c>
      <c r="U114" s="65"/>
    </row>
    <row r="115" spans="1:47" ht="10.5">
      <c r="C115" s="123"/>
      <c r="D115" s="110"/>
      <c r="E115" s="110"/>
      <c r="F115" s="110"/>
      <c r="J115" s="107"/>
      <c r="K115" s="107"/>
      <c r="L115" s="107"/>
      <c r="M115" s="107"/>
      <c r="N115" s="23"/>
      <c r="O115" s="23"/>
      <c r="P115" s="23"/>
      <c r="Q115" s="23"/>
      <c r="R115" s="23"/>
      <c r="S115" s="23"/>
    </row>
    <row r="116" spans="1:47" s="103" customFormat="1" ht="13">
      <c r="A116" s="94"/>
      <c r="B116" s="95" t="s">
        <v>21</v>
      </c>
      <c r="C116" s="94"/>
      <c r="D116" s="94"/>
      <c r="E116" s="94"/>
      <c r="F116" s="96"/>
      <c r="G116" s="96"/>
      <c r="H116" s="96"/>
      <c r="I116" s="96"/>
      <c r="J116" s="97"/>
      <c r="K116" s="98"/>
      <c r="L116" s="97"/>
      <c r="M116" s="98"/>
      <c r="N116" s="97"/>
      <c r="O116" s="97"/>
      <c r="P116" s="97"/>
      <c r="Q116" s="97"/>
      <c r="R116" s="97"/>
      <c r="S116" s="97"/>
      <c r="T116" s="97"/>
      <c r="U116" s="97"/>
      <c r="V116" s="98"/>
      <c r="W116" s="98"/>
      <c r="X116" s="99"/>
      <c r="Y116" s="99"/>
      <c r="Z116" s="99"/>
      <c r="AA116" s="99"/>
      <c r="AB116" s="100"/>
      <c r="AC116" s="101"/>
      <c r="AD116" s="101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</row>
    <row r="121" spans="1:47" s="8" customFormat="1" hidden="1">
      <c r="C121" s="29"/>
      <c r="D121" s="30"/>
      <c r="E121" s="30"/>
      <c r="F121" s="30"/>
      <c r="G121" s="30"/>
      <c r="H121" s="30"/>
      <c r="I121" s="30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47" s="8" customFormat="1" hidden="1">
      <c r="C122" s="29"/>
      <c r="D122" s="30"/>
      <c r="E122" s="30"/>
      <c r="F122" s="30"/>
      <c r="G122" s="30"/>
      <c r="H122" s="30"/>
      <c r="I122" s="30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47" s="8" customFormat="1" hidden="1">
      <c r="C123" s="29"/>
      <c r="D123" s="30"/>
      <c r="E123" s="30"/>
      <c r="F123" s="30"/>
      <c r="G123" s="30"/>
      <c r="H123" s="30"/>
      <c r="I123" s="30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47" s="8" customFormat="1" hidden="1">
      <c r="C124" s="29"/>
      <c r="D124" s="30"/>
      <c r="E124" s="30"/>
      <c r="F124" s="30"/>
      <c r="G124" s="30"/>
      <c r="H124" s="30"/>
      <c r="I124" s="30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47" s="8" customFormat="1" hidden="1">
      <c r="C125" s="29"/>
      <c r="D125" s="30"/>
      <c r="E125" s="30"/>
      <c r="F125" s="30"/>
      <c r="G125" s="30"/>
      <c r="H125" s="30"/>
      <c r="I125" s="30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47" s="8" customFormat="1" hidden="1">
      <c r="C126" s="29"/>
      <c r="D126" s="30"/>
      <c r="E126" s="30"/>
      <c r="F126" s="30"/>
      <c r="G126" s="30"/>
      <c r="H126" s="30"/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</sheetData>
  <mergeCells count="1">
    <mergeCell ref="N3:S3"/>
  </mergeCells>
  <conditionalFormatting sqref="J10:S10">
    <cfRule type="expression" dxfId="52" priority="25">
      <formula>J$10=J$4</formula>
    </cfRule>
  </conditionalFormatting>
  <conditionalFormatting sqref="J12:S24">
    <cfRule type="cellIs" dxfId="51" priority="6" operator="equal">
      <formula>0</formula>
    </cfRule>
  </conditionalFormatting>
  <conditionalFormatting sqref="J25:S25">
    <cfRule type="expression" dxfId="50" priority="24">
      <formula>J$10=J$4</formula>
    </cfRule>
  </conditionalFormatting>
  <conditionalFormatting sqref="J26:S54">
    <cfRule type="cellIs" dxfId="49" priority="12" operator="equal">
      <formula>0</formula>
    </cfRule>
  </conditionalFormatting>
  <conditionalFormatting sqref="J54:S54">
    <cfRule type="expression" dxfId="48" priority="23">
      <formula>J$10=J$4</formula>
    </cfRule>
  </conditionalFormatting>
  <conditionalFormatting sqref="J58:S58 J75:S75 J98:S98">
    <cfRule type="expression" dxfId="47" priority="115">
      <formula>J$58=J$4</formula>
    </cfRule>
  </conditionalFormatting>
  <conditionalFormatting sqref="J61:S68">
    <cfRule type="cellIs" dxfId="46" priority="3" operator="equal">
      <formula>0</formula>
    </cfRule>
  </conditionalFormatting>
  <conditionalFormatting sqref="J70:S70">
    <cfRule type="expression" dxfId="45" priority="109">
      <formula>J$58=J$4</formula>
    </cfRule>
  </conditionalFormatting>
  <conditionalFormatting sqref="J70:S71">
    <cfRule type="cellIs" dxfId="44" priority="16" operator="equal">
      <formula>0</formula>
    </cfRule>
  </conditionalFormatting>
  <conditionalFormatting sqref="J77:S92">
    <cfRule type="cellIs" dxfId="43" priority="1" operator="equal">
      <formula>0</formula>
    </cfRule>
  </conditionalFormatting>
  <conditionalFormatting sqref="J94:S94">
    <cfRule type="expression" dxfId="42" priority="113">
      <formula>J$75=J$4</formula>
    </cfRule>
    <cfRule type="cellIs" dxfId="41" priority="114" operator="equal">
      <formula>0</formula>
    </cfRule>
  </conditionalFormatting>
  <conditionalFormatting sqref="J100:S104">
    <cfRule type="cellIs" dxfId="40" priority="2" operator="equal">
      <formula>0</formula>
    </cfRule>
  </conditionalFormatting>
  <conditionalFormatting sqref="J106:S106">
    <cfRule type="expression" dxfId="39" priority="111">
      <formula>J$98=J$4</formula>
    </cfRule>
    <cfRule type="cellIs" dxfId="38" priority="112" operator="equal">
      <formula>0</formula>
    </cfRule>
  </conditionalFormatting>
  <conditionalFormatting sqref="J110:S110">
    <cfRule type="expression" dxfId="37" priority="118">
      <formula>J$110=J$4</formula>
    </cfRule>
  </conditionalFormatting>
  <conditionalFormatting sqref="J112:S114">
    <cfRule type="cellIs" dxfId="36" priority="26" operator="equal">
      <formula>0</formula>
    </cfRule>
  </conditionalFormatting>
  <conditionalFormatting sqref="S1">
    <cfRule type="cellIs" dxfId="35" priority="104" operator="equal">
      <formula>"Check"</formula>
    </cfRule>
    <cfRule type="cellIs" dxfId="34" priority="105" operator="equal">
      <formula>"Ok"</formula>
    </cfRule>
  </conditionalFormatting>
  <conditionalFormatting sqref="V1">
    <cfRule type="cellIs" dxfId="33" priority="106" operator="equal">
      <formula>"Check"</formula>
    </cfRule>
    <cfRule type="cellIs" dxfId="32" priority="107" operator="equal">
      <formula>"Ok"</formula>
    </cfRule>
  </conditionalFormatting>
  <dataValidations disablePrompts="1" count="2">
    <dataValidation type="list" allowBlank="1" showInputMessage="1" showErrorMessage="1" sqref="F107 F105 F115 F95" xr:uid="{00000000-0002-0000-0600-000000000000}">
      <formula1>"Real 2010,Real 2011,Real 2012,Real 2013,Real 2014,Real 2015,Nominal"</formula1>
    </dataValidation>
    <dataValidation type="list" allowBlank="1" showInputMessage="1" showErrorMessage="1" sqref="F93" xr:uid="{00000000-0002-0000-0600-000001000000}">
      <formula1>$G$60:$G$69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'Lookup|Tables'!$H$74:$H$78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26"/>
  <sheetViews>
    <sheetView showGridLines="0" workbookViewId="0">
      <selection activeCell="O14" sqref="O14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3" width="10.77734375" style="29" customWidth="1"/>
    <col min="24" max="47" width="0" style="29" hidden="1" customWidth="1"/>
    <col min="48" max="16384" width="10.44140625" style="29" hidden="1"/>
  </cols>
  <sheetData>
    <row r="1" spans="1:26" s="69" customFormat="1" ht="15.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85</v>
      </c>
      <c r="S1" s="76" t="s">
        <v>36</v>
      </c>
      <c r="U1" s="182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 ht="10.5">
      <c r="C3" s="81"/>
      <c r="D3" s="177"/>
      <c r="E3" s="177"/>
      <c r="F3" s="177"/>
      <c r="G3" s="177"/>
      <c r="H3" s="177"/>
      <c r="I3" s="177"/>
      <c r="J3" s="167" t="s">
        <v>125</v>
      </c>
      <c r="K3" s="167"/>
      <c r="L3" s="167"/>
      <c r="M3" s="177"/>
      <c r="N3" s="280"/>
      <c r="O3" s="280"/>
      <c r="P3" s="280"/>
      <c r="Q3" s="280"/>
      <c r="R3" s="280"/>
      <c r="S3" s="28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DATE(PPFirstYear,MONTH('Input|General'!$G$9),1)</f>
        <v>44713</v>
      </c>
      <c r="K4" s="153">
        <f>DATE(PPFirstYear+1,MONTH('Input|General'!$G$9),1)</f>
        <v>45078</v>
      </c>
      <c r="L4" s="153">
        <f>DATE(PPFirstYear+2,MONTH('Input|General'!$G$9),1)</f>
        <v>45444</v>
      </c>
      <c r="M4" s="153">
        <f>DATE(PPFirstYear+3,MONTH('Input|General'!$G$9),1)</f>
        <v>45809</v>
      </c>
      <c r="N4" s="153">
        <f>DATE(PPFirstYear+4,MONTH('Input|General'!$G$9),1)</f>
        <v>46174</v>
      </c>
      <c r="O4" s="153">
        <f>DATE(PPFirstYear+5,MONTH('Input|General'!$G$9),1)</f>
        <v>46539</v>
      </c>
      <c r="P4" s="153">
        <f>DATE(PPFirstYear+6,MONTH('Input|General'!$G$9),1)</f>
        <v>46905</v>
      </c>
      <c r="Q4" s="153">
        <f>DATE(PPFirstYear+7,MONTH('Input|General'!$G$9),1)</f>
        <v>47270</v>
      </c>
      <c r="R4" s="153">
        <f>DATE(PPFirstYear+8,MONTH('Input|General'!$G$9),1)</f>
        <v>47635</v>
      </c>
      <c r="S4" s="153">
        <f>DATE(PPFirstYear+9,MONTH('Input|General'!$G$9),1)</f>
        <v>48000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3">
      <c r="A8" s="94"/>
      <c r="B8" s="95" t="s">
        <v>58</v>
      </c>
      <c r="C8" s="94"/>
      <c r="D8" s="94"/>
      <c r="E8" s="68" t="str">
        <f>units</f>
        <v>$millions</v>
      </c>
      <c r="F8" s="197">
        <f>DATE(PPLastYear,MONTH('Input|General'!$G$9),1)</f>
        <v>46174</v>
      </c>
      <c r="G8" s="96"/>
      <c r="H8" s="96"/>
      <c r="I8" s="96"/>
      <c r="J8" s="148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 ht="10.5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59" t="str">
        <f>IF(YEAR(J$4)&gt;='Input|General'!$G$13,IF(YEAR(J$4)&lt;='Input|General'!$G$14,J$4,""),"")</f>
        <v/>
      </c>
      <c r="K11" s="159" t="str">
        <f>IF(YEAR(K$4)&gt;='Input|General'!$G$13,IF(YEAR(K$4)&lt;='Input|General'!$G$14,K$4,""),"")</f>
        <v/>
      </c>
      <c r="L11" s="159" t="str">
        <f>IF(YEAR(L$4)&gt;='Input|General'!$G$13,IF(YEAR(L$4)&lt;='Input|General'!$G$14,L$4,""),"")</f>
        <v/>
      </c>
      <c r="M11" s="159" t="str">
        <f>IF(YEAR(M$4)&gt;='Input|General'!$G$13,IF(YEAR(M$4)&lt;='Input|General'!$G$14,M$4,""),"")</f>
        <v/>
      </c>
      <c r="N11" s="159" t="str">
        <f>IF(YEAR(N$4)&gt;='Input|General'!$G$13,IF(YEAR(N$4)&lt;='Input|General'!$G$14,N$4,""),"")</f>
        <v/>
      </c>
      <c r="O11" s="159">
        <f>IF(YEAR(O$4)&gt;='Input|General'!$G$13,IF(YEAR(O$4)&lt;='Input|General'!$G$14,O$4,""),"")</f>
        <v>46539</v>
      </c>
      <c r="P11" s="159">
        <f>IF(YEAR(P$4)&gt;='Input|General'!$G$13,IF(YEAR(P$4)&lt;='Input|General'!$G$14,P$4,""),"")</f>
        <v>46905</v>
      </c>
      <c r="Q11" s="159">
        <f>IF(YEAR(Q$4)&gt;='Input|General'!$G$13,IF(YEAR(Q$4)&lt;='Input|General'!$G$14,Q$4,""),"")</f>
        <v>47270</v>
      </c>
      <c r="R11" s="159">
        <f>IF(YEAR(R$4)&gt;='Input|General'!$G$13,IF(YEAR(R$4)&lt;='Input|General'!$G$14,R$4,""),"")</f>
        <v>47635</v>
      </c>
      <c r="S11" s="159">
        <f>IF(YEAR(S$4)&gt;='Input|General'!$G$13,IF(YEAR(S$4)&lt;='Input|General'!$G$14,S$4,""),"")</f>
        <v>48000</v>
      </c>
      <c r="U11" s="136" t="s">
        <v>57</v>
      </c>
      <c r="V11" s="137"/>
      <c r="W11" s="137"/>
    </row>
    <row r="12" spans="1:26" ht="10.5">
      <c r="C12" s="67"/>
      <c r="D12" s="32"/>
      <c r="E12" s="32"/>
      <c r="F12" s="32"/>
      <c r="H12" s="32"/>
      <c r="I12" s="32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U12" s="124"/>
      <c r="V12" s="141"/>
      <c r="W12" s="141"/>
    </row>
    <row r="13" spans="1:26">
      <c r="C13" s="111" t="str">
        <f>'Calc|Opex forecast'!C112</f>
        <v>Total forecast opex, excluding category specific forecasts</v>
      </c>
      <c r="D13" s="34" t="s">
        <v>108</v>
      </c>
      <c r="E13" s="30" t="str">
        <f>$E$8</f>
        <v>$millions</v>
      </c>
      <c r="F13" s="158">
        <f>$F$8</f>
        <v>46174</v>
      </c>
      <c r="H13" s="32"/>
      <c r="I13" s="32"/>
      <c r="J13" s="175">
        <f>IF(J11="",0,'Calc|Opex forecast'!J112)</f>
        <v>0</v>
      </c>
      <c r="K13" s="175">
        <f>IF(K11="",0,'Calc|Opex forecast'!K112)</f>
        <v>0</v>
      </c>
      <c r="L13" s="175">
        <f>IF(L11="",0,'Calc|Opex forecast'!L112)</f>
        <v>0</v>
      </c>
      <c r="M13" s="175">
        <f>IF(M11="",0,'Calc|Opex forecast'!M112)</f>
        <v>0</v>
      </c>
      <c r="N13" s="175">
        <f>IF(N11="",0,'Calc|Opex forecast'!N112)</f>
        <v>0</v>
      </c>
      <c r="O13" s="175">
        <f ca="1">IF(O11="",0,'Calc|Opex forecast'!O112)</f>
        <v>106.23096502878683</v>
      </c>
      <c r="P13" s="175">
        <f ca="1">IF(P11="",0,'Calc|Opex forecast'!P112)</f>
        <v>113.47132116072407</v>
      </c>
      <c r="Q13" s="175">
        <f ca="1">IF(Q11="",0,'Calc|Opex forecast'!Q112)</f>
        <v>116.297630093843</v>
      </c>
      <c r="R13" s="175">
        <f ca="1">IF(R11="",0,'Calc|Opex forecast'!R112)</f>
        <v>119.59884160996744</v>
      </c>
      <c r="S13" s="175">
        <f ca="1">IF(S11="",0,'Calc|Opex forecast'!S112)</f>
        <v>120.91941597394664</v>
      </c>
      <c r="T13" s="111"/>
      <c r="U13" s="150"/>
    </row>
    <row r="14" spans="1:26">
      <c r="C14" s="111" t="str">
        <f>'Input|Step changes'!C35</f>
        <v>GSL payments</v>
      </c>
      <c r="D14" s="34" t="s">
        <v>108</v>
      </c>
      <c r="E14" s="30" t="str">
        <f t="shared" ref="E14:E18" si="0">$E$8</f>
        <v>$millions</v>
      </c>
      <c r="F14" s="158">
        <f t="shared" ref="F14:F18" si="1">$F$8</f>
        <v>46174</v>
      </c>
      <c r="H14" s="32"/>
      <c r="I14" s="32"/>
      <c r="J14" s="175">
        <f>IF(J$11="",0,'Calc|Opex forecast'!J100)</f>
        <v>0</v>
      </c>
      <c r="K14" s="175">
        <f>IF(K$11="",0,'Calc|Opex forecast'!K100)</f>
        <v>0</v>
      </c>
      <c r="L14" s="175">
        <f>IF(L$11="",0,'Calc|Opex forecast'!L100)</f>
        <v>0</v>
      </c>
      <c r="M14" s="175">
        <f>IF(M$11="",0,'Calc|Opex forecast'!M100)</f>
        <v>0</v>
      </c>
      <c r="N14" s="175">
        <f>IF(N$11="",0,'Calc|Opex forecast'!N100)</f>
        <v>0</v>
      </c>
      <c r="O14" s="175">
        <f>IF(O$11="",0,'Calc|Opex forecast'!O100)</f>
        <v>5.6336674523479353E-2</v>
      </c>
      <c r="P14" s="175">
        <f>IF(P$11="",0,'Calc|Opex forecast'!P100)</f>
        <v>5.4828961460829127E-2</v>
      </c>
      <c r="Q14" s="175">
        <f>IF(Q$11="",0,'Calc|Opex forecast'!Q100)</f>
        <v>5.336159864423997E-2</v>
      </c>
      <c r="R14" s="175">
        <f>IF(R$11="",0,'Calc|Opex forecast'!R100)</f>
        <v>5.1933506198238596E-2</v>
      </c>
      <c r="S14" s="175">
        <f>IF(S$11="",0,'Calc|Opex forecast'!S100)</f>
        <v>5.0543633147572847E-2</v>
      </c>
      <c r="T14" s="111"/>
      <c r="U14" s="150"/>
    </row>
    <row r="15" spans="1:26">
      <c r="C15" s="111" t="str">
        <f>'Input|Step changes'!C36</f>
        <v>Network innovation fund</v>
      </c>
      <c r="D15" s="34" t="s">
        <v>108</v>
      </c>
      <c r="E15" s="30" t="str">
        <f t="shared" si="0"/>
        <v>$millions</v>
      </c>
      <c r="F15" s="158">
        <f t="shared" si="1"/>
        <v>46174</v>
      </c>
      <c r="H15" s="32"/>
      <c r="I15" s="32"/>
      <c r="J15" s="175">
        <f>IF(J$11="",0,'Calc|Opex forecast'!J101)</f>
        <v>0</v>
      </c>
      <c r="K15" s="175">
        <f>IF(K$11="",0,'Calc|Opex forecast'!K101)</f>
        <v>0</v>
      </c>
      <c r="L15" s="175">
        <f>IF(L$11="",0,'Calc|Opex forecast'!L101)</f>
        <v>0</v>
      </c>
      <c r="M15" s="175">
        <f>IF(M$11="",0,'Calc|Opex forecast'!M101)</f>
        <v>0</v>
      </c>
      <c r="N15" s="175">
        <f>IF(N$11="",0,'Calc|Opex forecast'!N101)</f>
        <v>0</v>
      </c>
      <c r="O15" s="175">
        <f>IF(O$11="",0,'Calc|Opex forecast'!O101)</f>
        <v>0.71250000000000002</v>
      </c>
      <c r="P15" s="175">
        <f>IF(P$11="",0,'Calc|Opex forecast'!P101)</f>
        <v>0.71250000000000002</v>
      </c>
      <c r="Q15" s="175">
        <f>IF(Q$11="",0,'Calc|Opex forecast'!Q101)</f>
        <v>0.47500000000000003</v>
      </c>
      <c r="R15" s="175">
        <f>IF(R$11="",0,'Calc|Opex forecast'!R101)</f>
        <v>0.47500000000000003</v>
      </c>
      <c r="S15" s="175">
        <f>IF(S$11="",0,'Calc|Opex forecast'!S101)</f>
        <v>0.47500000000000003</v>
      </c>
      <c r="T15" s="111"/>
      <c r="U15" s="150"/>
    </row>
    <row r="16" spans="1:26">
      <c r="C16" s="111">
        <f>'Input|Step changes'!C37</f>
        <v>0</v>
      </c>
      <c r="D16" s="34" t="s">
        <v>108</v>
      </c>
      <c r="E16" s="30" t="str">
        <f t="shared" si="0"/>
        <v>$millions</v>
      </c>
      <c r="F16" s="158">
        <f t="shared" si="1"/>
        <v>46174</v>
      </c>
      <c r="H16" s="32"/>
      <c r="I16" s="32"/>
      <c r="J16" s="175">
        <f>IF(J$11="",0,'Calc|Opex forecast'!J102)</f>
        <v>0</v>
      </c>
      <c r="K16" s="175">
        <f>IF(K$11="",0,'Calc|Opex forecast'!K102)</f>
        <v>0</v>
      </c>
      <c r="L16" s="175">
        <f>IF(L$11="",0,'Calc|Opex forecast'!L102)</f>
        <v>0</v>
      </c>
      <c r="M16" s="175">
        <f>IF(M$11="",0,'Calc|Opex forecast'!M102)</f>
        <v>0</v>
      </c>
      <c r="N16" s="175">
        <f>IF(N$11="",0,'Calc|Opex forecast'!N102)</f>
        <v>0</v>
      </c>
      <c r="O16" s="175">
        <f>IF(O$11="",0,'Calc|Opex forecast'!O102)</f>
        <v>0</v>
      </c>
      <c r="P16" s="175">
        <f>IF(P$11="",0,'Calc|Opex forecast'!P102)</f>
        <v>0</v>
      </c>
      <c r="Q16" s="175">
        <f>IF(Q$11="",0,'Calc|Opex forecast'!Q102)</f>
        <v>0</v>
      </c>
      <c r="R16" s="175">
        <f>IF(R$11="",0,'Calc|Opex forecast'!R102)</f>
        <v>0</v>
      </c>
      <c r="S16" s="175">
        <f>IF(S$11="",0,'Calc|Opex forecast'!S102)</f>
        <v>0</v>
      </c>
      <c r="T16" s="111"/>
      <c r="U16" s="198"/>
    </row>
    <row r="17" spans="1:23">
      <c r="C17" s="111">
        <f>'Input|Step changes'!C38</f>
        <v>0</v>
      </c>
      <c r="D17" s="34" t="s">
        <v>108</v>
      </c>
      <c r="E17" s="30" t="str">
        <f t="shared" si="0"/>
        <v>$millions</v>
      </c>
      <c r="F17" s="158">
        <f t="shared" si="1"/>
        <v>46174</v>
      </c>
      <c r="H17" s="32"/>
      <c r="I17" s="32"/>
      <c r="J17" s="175">
        <f>IF(J$11="",0,'Calc|Opex forecast'!J103)</f>
        <v>0</v>
      </c>
      <c r="K17" s="175">
        <f>IF(K$11="",0,'Calc|Opex forecast'!K103)</f>
        <v>0</v>
      </c>
      <c r="L17" s="175">
        <f>IF(L$11="",0,'Calc|Opex forecast'!L103)</f>
        <v>0</v>
      </c>
      <c r="M17" s="175">
        <f>IF(M$11="",0,'Calc|Opex forecast'!M103)</f>
        <v>0</v>
      </c>
      <c r="N17" s="175">
        <f>IF(N$11="",0,'Calc|Opex forecast'!N103)</f>
        <v>0</v>
      </c>
      <c r="O17" s="175">
        <f>IF(O$11="",0,'Calc|Opex forecast'!O103)</f>
        <v>0</v>
      </c>
      <c r="P17" s="175">
        <f>IF(P$11="",0,'Calc|Opex forecast'!P103)</f>
        <v>0</v>
      </c>
      <c r="Q17" s="175">
        <f>IF(Q$11="",0,'Calc|Opex forecast'!Q103)</f>
        <v>0</v>
      </c>
      <c r="R17" s="175">
        <f>IF(R$11="",0,'Calc|Opex forecast'!R103)</f>
        <v>0</v>
      </c>
      <c r="S17" s="175">
        <f>IF(S$11="",0,'Calc|Opex forecast'!S103)</f>
        <v>0</v>
      </c>
      <c r="T17" s="111"/>
      <c r="U17" s="198"/>
    </row>
    <row r="18" spans="1:23">
      <c r="C18" s="111">
        <f>'Input|Step changes'!C39</f>
        <v>0</v>
      </c>
      <c r="D18" s="34" t="s">
        <v>108</v>
      </c>
      <c r="E18" s="30" t="str">
        <f t="shared" si="0"/>
        <v>$millions</v>
      </c>
      <c r="F18" s="158">
        <f t="shared" si="1"/>
        <v>46174</v>
      </c>
      <c r="H18" s="32"/>
      <c r="I18" s="32"/>
      <c r="J18" s="175">
        <f>IF(J$11="",0,'Calc|Opex forecast'!J104)</f>
        <v>0</v>
      </c>
      <c r="K18" s="175">
        <f>IF(K$11="",0,'Calc|Opex forecast'!K104)</f>
        <v>0</v>
      </c>
      <c r="L18" s="175">
        <f>IF(L$11="",0,'Calc|Opex forecast'!L104)</f>
        <v>0</v>
      </c>
      <c r="M18" s="175">
        <f>IF(M$11="",0,'Calc|Opex forecast'!M104)</f>
        <v>0</v>
      </c>
      <c r="N18" s="175">
        <f>IF(N$11="",0,'Calc|Opex forecast'!N104)</f>
        <v>0</v>
      </c>
      <c r="O18" s="175">
        <f>IF(O$11="",0,'Calc|Opex forecast'!O104)</f>
        <v>0</v>
      </c>
      <c r="P18" s="175">
        <f>IF(P$11="",0,'Calc|Opex forecast'!P104)</f>
        <v>0</v>
      </c>
      <c r="Q18" s="175">
        <f>IF(Q$11="",0,'Calc|Opex forecast'!Q104)</f>
        <v>0</v>
      </c>
      <c r="R18" s="175">
        <f>IF(R$11="",0,'Calc|Opex forecast'!R104)</f>
        <v>0</v>
      </c>
      <c r="S18" s="175">
        <f>IF(S$11="",0,'Calc|Opex forecast'!S104)</f>
        <v>0</v>
      </c>
      <c r="T18" s="111"/>
      <c r="U18" s="198"/>
    </row>
    <row r="19" spans="1:23" ht="10.5">
      <c r="D19" s="34"/>
      <c r="H19" s="32"/>
      <c r="I19" s="32"/>
      <c r="N19" s="141"/>
      <c r="S19" s="23"/>
    </row>
    <row r="20" spans="1:23" s="103" customFormat="1" ht="13">
      <c r="A20" s="94"/>
      <c r="B20" s="95" t="s">
        <v>21</v>
      </c>
      <c r="C20" s="94"/>
      <c r="D20" s="94"/>
      <c r="E20" s="94"/>
      <c r="F20" s="96"/>
      <c r="G20" s="96"/>
      <c r="H20" s="96"/>
      <c r="I20" s="96"/>
      <c r="J20" s="97"/>
      <c r="K20" s="98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8"/>
      <c r="W20" s="98"/>
    </row>
    <row r="26" spans="1:23" hidden="1">
      <c r="M26" s="145"/>
      <c r="N26" s="145"/>
      <c r="O26" s="145"/>
      <c r="P26" s="145"/>
      <c r="Q26" s="145"/>
      <c r="R26" s="145"/>
      <c r="S26" s="145"/>
    </row>
  </sheetData>
  <mergeCells count="1">
    <mergeCell ref="N3:S3"/>
  </mergeCells>
  <conditionalFormatting sqref="J11:S11">
    <cfRule type="expression" dxfId="31" priority="7">
      <formula>J$11=J$4</formula>
    </cfRule>
  </conditionalFormatting>
  <conditionalFormatting sqref="J13:S18">
    <cfRule type="expression" dxfId="30" priority="3">
      <formula>AND($C13=0,J$11=J$4)</formula>
    </cfRule>
    <cfRule type="expression" dxfId="29" priority="4">
      <formula>NOT(J$11=J$4)</formula>
    </cfRule>
    <cfRule type="expression" dxfId="28" priority="5">
      <formula>J$11=J$4</formula>
    </cfRule>
  </conditionalFormatting>
  <conditionalFormatting sqref="S1">
    <cfRule type="cellIs" dxfId="27" priority="1" operator="equal">
      <formula>"Check"</formula>
    </cfRule>
    <cfRule type="cellIs" dxfId="26" priority="2" operator="equal">
      <formula>"Ok"</formula>
    </cfRule>
  </conditionalFormatting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dataValidations count="2">
    <dataValidation type="list" allowBlank="1" showInputMessage="1" showErrorMessage="1" sqref="F13:F18" xr:uid="{00000000-0002-0000-0700-000000000000}">
      <formula1>$G$22:$G$28</formula1>
    </dataValidation>
    <dataValidation type="list" allowBlank="1" showInputMessage="1" showErrorMessage="1" sqref="F19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U1" location="'Check|List'!A1" display="Overall Check:" xr:uid="{00000000-0004-0000-0700-000005000000}"/>
    <hyperlink ref="D16" location="'Calc|Opex forecast'!A1" display="Calc | Opex forecast" xr:uid="{B72537E1-E087-43B3-927E-E82C34C55464}"/>
    <hyperlink ref="D17" location="'Calc|Opex forecast'!A1" display="Calc | Opex forecast" xr:uid="{42218907-A612-47EA-9978-E5D27F363E4E}"/>
    <hyperlink ref="D18" location="'Calc|Opex forecast'!A1" display="Calc | Opex forecast" xr:uid="{5B9613E0-FEA6-4B44-BA8F-071D2A73268D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E753-23D2-43AA-8909-5F60D7D99B99}">
  <sheetPr codeName="Sheet4">
    <tabColor theme="3" tint="0.59999389629810485"/>
  </sheetPr>
  <dimension ref="A1:BG31"/>
  <sheetViews>
    <sheetView showGridLines="0" zoomScaleNormal="100" workbookViewId="0">
      <selection activeCell="O9" sqref="O9"/>
    </sheetView>
  </sheetViews>
  <sheetFormatPr defaultColWidth="0" defaultRowHeight="11.25" customHeight="1" zeroHeight="1" outlineLevelCol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13" width="11" hidden="1" customWidth="1" outlineLevel="1"/>
    <col min="14" max="14" width="11" customWidth="1" collapsed="1"/>
    <col min="15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40"/>
      <c r="B1" s="241" t="str">
        <f>Index!$B$1</f>
        <v>AER opex model</v>
      </c>
      <c r="C1" s="241"/>
      <c r="D1" s="241"/>
      <c r="E1" s="241"/>
      <c r="F1" s="242"/>
      <c r="G1" s="242"/>
      <c r="H1" s="242"/>
      <c r="I1" s="243" t="s">
        <v>2</v>
      </c>
      <c r="J1" s="240"/>
      <c r="K1" s="244" t="s">
        <v>3</v>
      </c>
      <c r="L1" s="245" t="s">
        <v>4</v>
      </c>
      <c r="M1" s="246" t="s">
        <v>5</v>
      </c>
      <c r="N1" s="247" t="s">
        <v>6</v>
      </c>
      <c r="O1" s="240"/>
      <c r="P1" s="240"/>
      <c r="Q1" s="240"/>
      <c r="R1" s="240"/>
      <c r="S1" s="240"/>
      <c r="T1" s="240"/>
      <c r="U1" s="244" t="s">
        <v>85</v>
      </c>
      <c r="V1" s="248" t="s">
        <v>36</v>
      </c>
      <c r="W1" s="240"/>
      <c r="X1" s="249" t="s">
        <v>24</v>
      </c>
      <c r="Y1" s="248" t="str">
        <f>'Check|List'!$S$1</f>
        <v>Ok</v>
      </c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13">
      <c r="A2" s="240"/>
      <c r="B2" s="250" t="s">
        <v>215</v>
      </c>
      <c r="C2" s="250"/>
      <c r="D2" s="250"/>
      <c r="E2" s="250"/>
      <c r="F2" s="251"/>
      <c r="G2" s="251"/>
      <c r="H2" s="251"/>
      <c r="I2" s="252" t="s">
        <v>125</v>
      </c>
      <c r="J2" s="252"/>
      <c r="K2" s="252"/>
      <c r="L2" s="251"/>
      <c r="M2" s="281"/>
      <c r="N2" s="281"/>
      <c r="O2" s="281"/>
      <c r="P2" s="281"/>
      <c r="Q2" s="281"/>
      <c r="R2" s="281"/>
      <c r="S2" s="251"/>
      <c r="T2" s="253"/>
      <c r="U2" s="253"/>
      <c r="V2" s="253"/>
      <c r="W2" s="253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</row>
    <row r="3" spans="1:39" ht="13">
      <c r="A3" s="43"/>
      <c r="B3" s="51"/>
      <c r="C3" s="254" t="s">
        <v>7</v>
      </c>
      <c r="D3" s="254" t="s">
        <v>8</v>
      </c>
      <c r="E3" s="255" t="s">
        <v>22</v>
      </c>
      <c r="F3" s="256"/>
      <c r="G3" s="256"/>
      <c r="H3" s="256"/>
      <c r="I3" s="257">
        <v>44713</v>
      </c>
      <c r="J3" s="257">
        <v>45078</v>
      </c>
      <c r="K3" s="257">
        <v>45444</v>
      </c>
      <c r="L3" s="257">
        <v>45809</v>
      </c>
      <c r="M3" s="257">
        <v>46174</v>
      </c>
      <c r="N3" s="277">
        <v>46539</v>
      </c>
      <c r="O3" s="277">
        <v>46905</v>
      </c>
      <c r="P3" s="277">
        <v>47270</v>
      </c>
      <c r="Q3" s="277">
        <v>47635</v>
      </c>
      <c r="R3" s="277">
        <v>48000</v>
      </c>
      <c r="S3" s="277">
        <v>48366</v>
      </c>
      <c r="T3" s="258"/>
      <c r="U3" s="258"/>
      <c r="V3" s="259"/>
      <c r="W3" s="259"/>
      <c r="X3" s="45"/>
      <c r="Y3" s="217"/>
      <c r="Z3" s="45"/>
      <c r="AA3" s="45"/>
      <c r="AB3" s="45"/>
      <c r="AC3" s="45"/>
      <c r="AD3" s="45"/>
      <c r="AE3" s="45"/>
      <c r="AF3" s="45"/>
      <c r="AG3" s="45"/>
      <c r="AH3" s="217"/>
      <c r="AI3" s="217"/>
      <c r="AJ3" s="217"/>
      <c r="AK3" s="217"/>
      <c r="AL3" s="217"/>
      <c r="AM3" s="217"/>
    </row>
    <row r="4" spans="1:39" ht="3" customHeight="1">
      <c r="A4" s="6"/>
      <c r="B4" s="6"/>
      <c r="C4" s="6"/>
      <c r="D4" s="6"/>
      <c r="E4" s="6"/>
      <c r="F4" s="260"/>
      <c r="G4" s="260"/>
      <c r="H4" s="260"/>
      <c r="I4" s="6"/>
      <c r="J4" s="6"/>
      <c r="K4" s="6"/>
      <c r="L4" s="6"/>
      <c r="M4" s="6"/>
      <c r="N4" s="6"/>
      <c r="O4" s="260"/>
      <c r="P4" s="260"/>
      <c r="Q4" s="260"/>
      <c r="R4" s="260"/>
      <c r="S4" s="260"/>
      <c r="T4" s="260"/>
      <c r="U4" s="260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60"/>
      <c r="G5" s="260"/>
      <c r="H5" s="260"/>
      <c r="I5" s="6"/>
      <c r="J5" s="6"/>
      <c r="K5" s="6"/>
      <c r="L5" s="6"/>
      <c r="M5" s="6"/>
      <c r="N5" s="6"/>
      <c r="O5" s="260"/>
      <c r="P5" s="260"/>
      <c r="Q5" s="260"/>
      <c r="R5" s="260"/>
      <c r="S5" s="260"/>
      <c r="T5" s="260"/>
      <c r="U5" s="260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60"/>
      <c r="G6" s="260"/>
      <c r="H6" s="260"/>
      <c r="I6" s="6"/>
      <c r="J6" s="6"/>
      <c r="K6" s="6"/>
      <c r="L6" s="6"/>
      <c r="M6" s="6"/>
      <c r="N6" s="6"/>
      <c r="O6" s="260"/>
      <c r="P6" s="260"/>
      <c r="Q6" s="260"/>
      <c r="R6" s="260"/>
      <c r="S6" s="260"/>
      <c r="T6" s="260"/>
      <c r="U6" s="260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43"/>
      <c r="B7" s="51" t="s">
        <v>216</v>
      </c>
      <c r="C7" s="51"/>
      <c r="D7" s="51"/>
      <c r="E7" s="51"/>
      <c r="F7" s="44"/>
      <c r="G7" s="44"/>
      <c r="H7" s="44"/>
      <c r="I7" s="51"/>
      <c r="J7" s="51"/>
      <c r="K7" s="51"/>
      <c r="L7" s="51"/>
      <c r="M7" s="51"/>
      <c r="N7" s="43"/>
      <c r="O7" s="43"/>
      <c r="P7" s="43"/>
      <c r="Q7" s="44"/>
      <c r="R7" s="44"/>
      <c r="S7" s="44"/>
      <c r="T7" s="44"/>
      <c r="U7" s="44"/>
      <c r="V7" s="45"/>
      <c r="W7" s="217"/>
      <c r="X7" s="45"/>
      <c r="Y7" s="217"/>
      <c r="Z7" s="45"/>
      <c r="AA7" s="45"/>
      <c r="AB7" s="45"/>
      <c r="AC7" s="45"/>
      <c r="AD7" s="45"/>
      <c r="AE7" s="45"/>
      <c r="AF7" s="45"/>
      <c r="AG7" s="45"/>
      <c r="AH7" s="217"/>
      <c r="AI7" s="217"/>
      <c r="AJ7" s="217"/>
      <c r="AK7" s="217"/>
      <c r="AL7" s="217"/>
      <c r="AM7" s="217"/>
    </row>
    <row r="8" spans="1:39" ht="14.5">
      <c r="A8" s="261"/>
      <c r="B8" s="261"/>
      <c r="C8" s="261"/>
      <c r="D8" s="261"/>
      <c r="E8" s="261"/>
      <c r="F8" s="16"/>
      <c r="G8" s="16"/>
      <c r="H8" s="16"/>
      <c r="I8" s="262"/>
      <c r="J8" s="261"/>
      <c r="K8" s="261"/>
      <c r="L8" s="261"/>
      <c r="M8" s="261"/>
      <c r="N8" s="262"/>
      <c r="O8" s="261"/>
      <c r="P8" s="261"/>
      <c r="Q8" s="261"/>
      <c r="R8" s="261"/>
      <c r="S8" s="261"/>
      <c r="T8" s="261"/>
      <c r="U8" s="261"/>
      <c r="V8" s="261"/>
      <c r="W8" s="261"/>
      <c r="X8" s="262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</row>
    <row r="9" spans="1:39" ht="14.5">
      <c r="A9" s="261"/>
      <c r="B9" s="261"/>
      <c r="C9" s="21" t="s">
        <v>7</v>
      </c>
      <c r="D9" s="21" t="s">
        <v>8</v>
      </c>
      <c r="E9" s="21" t="s">
        <v>22</v>
      </c>
      <c r="F9" s="16"/>
      <c r="G9" s="16"/>
      <c r="H9" s="16"/>
      <c r="I9" s="263" t="str">
        <f>'Calc|Opex forecast'!J110</f>
        <v/>
      </c>
      <c r="J9" s="263" t="str">
        <f>'Calc|Opex forecast'!K110</f>
        <v/>
      </c>
      <c r="K9" s="263" t="str">
        <f>'Calc|Opex forecast'!L110</f>
        <v/>
      </c>
      <c r="L9" s="263" t="str">
        <f>'Calc|Opex forecast'!M110</f>
        <v/>
      </c>
      <c r="M9" s="263" t="str">
        <f>'Calc|Opex forecast'!N110</f>
        <v/>
      </c>
      <c r="N9" s="263">
        <f>'Calc|Opex forecast'!O110</f>
        <v>46539</v>
      </c>
      <c r="O9" s="263">
        <f>'Calc|Opex forecast'!P110</f>
        <v>46905</v>
      </c>
      <c r="P9" s="263">
        <f>'Calc|Opex forecast'!Q110</f>
        <v>47270</v>
      </c>
      <c r="Q9" s="263">
        <f>'Calc|Opex forecast'!R110</f>
        <v>47635</v>
      </c>
      <c r="R9" s="263">
        <f>'Calc|Opex forecast'!S110</f>
        <v>48000</v>
      </c>
      <c r="S9" s="263"/>
      <c r="T9" s="264"/>
      <c r="U9" s="261"/>
      <c r="V9" s="261"/>
      <c r="W9" s="261"/>
      <c r="X9" s="265" t="s">
        <v>217</v>
      </c>
      <c r="Y9" s="265" t="s">
        <v>218</v>
      </c>
      <c r="Z9" s="265" t="s">
        <v>219</v>
      </c>
      <c r="AA9" s="265" t="s">
        <v>220</v>
      </c>
      <c r="AB9" s="264"/>
      <c r="AC9" s="264"/>
      <c r="AD9" s="264"/>
      <c r="AE9" s="261"/>
      <c r="AF9" s="261"/>
      <c r="AG9" s="261"/>
      <c r="AH9" s="261"/>
      <c r="AI9" s="261"/>
      <c r="AJ9" s="261"/>
      <c r="AK9" s="261"/>
      <c r="AL9" s="261"/>
      <c r="AM9" s="261"/>
    </row>
    <row r="10" spans="1:39" ht="14.5">
      <c r="A10" s="261"/>
      <c r="B10" s="261"/>
      <c r="C10" s="16"/>
      <c r="D10" s="16"/>
      <c r="E10" s="16"/>
      <c r="F10" s="16"/>
      <c r="G10" s="16"/>
      <c r="H10" s="16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78"/>
      <c r="V10" s="278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</row>
    <row r="11" spans="1:39" ht="14.5">
      <c r="A11" s="261"/>
      <c r="B11" s="15" t="s">
        <v>230</v>
      </c>
      <c r="C11" s="108" t="s">
        <v>221</v>
      </c>
      <c r="D11" s="16" t="str">
        <f>'Calc|Opex forecast'!$E$8</f>
        <v>$millions</v>
      </c>
      <c r="E11" s="233">
        <f>'Calc|Opex forecast'!$F$8</f>
        <v>46174</v>
      </c>
      <c r="F11" s="16"/>
      <c r="G11" s="16"/>
      <c r="H11" s="16"/>
      <c r="I11" s="266" t="str">
        <f>IF('Calc|Opex forecast'!J110='Calc|Opex forecast'!J4,SUM('Calc|Opex forecast'!$J$26:$S$26),"")</f>
        <v/>
      </c>
      <c r="J11" s="266" t="str">
        <f>IF('Calc|Opex forecast'!K110='Calc|Opex forecast'!K4,SUM('Calc|Opex forecast'!$J$26:$S$26),"")</f>
        <v/>
      </c>
      <c r="K11" s="266" t="str">
        <f>IF('Calc|Opex forecast'!L110='Calc|Opex forecast'!L4,SUM('Calc|Opex forecast'!$J$26:$S$26),"")</f>
        <v/>
      </c>
      <c r="L11" s="266" t="str">
        <f>IF('Calc|Opex forecast'!M110='Calc|Opex forecast'!M4,SUM('Calc|Opex forecast'!$J$26:$S$26),"")</f>
        <v/>
      </c>
      <c r="M11" s="266" t="str">
        <f>IF('Calc|Opex forecast'!N110='Calc|Opex forecast'!N4,SUM('Calc|Opex forecast'!$J$26:$S$26),"")</f>
        <v/>
      </c>
      <c r="N11" s="266">
        <f>IF('Calc|Opex forecast'!O110='Calc|Opex forecast'!O4,SUM('Calc|Opex forecast'!$J$26:$S$26),"")</f>
        <v>94.82316216912497</v>
      </c>
      <c r="O11" s="266">
        <f>IF('Calc|Opex forecast'!P110='Calc|Opex forecast'!P4,SUM('Calc|Opex forecast'!$J$26:$S$26),"")</f>
        <v>94.82316216912497</v>
      </c>
      <c r="P11" s="266">
        <f>IF('Calc|Opex forecast'!Q110='Calc|Opex forecast'!Q4,SUM('Calc|Opex forecast'!$J$26:$S$26),"")</f>
        <v>94.82316216912497</v>
      </c>
      <c r="Q11" s="266">
        <f>IF('Calc|Opex forecast'!R110='Calc|Opex forecast'!R4,SUM('Calc|Opex forecast'!$J$26:$S$26),"")</f>
        <v>94.82316216912497</v>
      </c>
      <c r="R11" s="266">
        <f>IF('Calc|Opex forecast'!S110='Calc|Opex forecast'!S4,SUM('Calc|Opex forecast'!$J$26:$S$26),"")</f>
        <v>94.82316216912497</v>
      </c>
      <c r="S11" s="266"/>
      <c r="T11" s="266"/>
      <c r="U11" s="279">
        <f>SUM(I11:S11)</f>
        <v>474.11581084562488</v>
      </c>
      <c r="V11" s="278"/>
      <c r="W11" s="261"/>
      <c r="X11" s="266"/>
      <c r="Y11" s="266">
        <f>U11</f>
        <v>474.11581084562488</v>
      </c>
      <c r="Z11" s="266"/>
      <c r="AA11" s="266"/>
      <c r="AB11" s="264"/>
      <c r="AC11" s="264"/>
      <c r="AD11" s="264"/>
      <c r="AE11" s="264"/>
      <c r="AF11" s="264"/>
      <c r="AG11" s="261"/>
      <c r="AH11" s="261"/>
      <c r="AI11" s="261"/>
      <c r="AJ11" s="261"/>
      <c r="AK11" s="261"/>
      <c r="AL11" s="261"/>
      <c r="AM11" s="261"/>
    </row>
    <row r="12" spans="1:39" ht="14.5">
      <c r="A12" s="261"/>
      <c r="B12" s="15" t="s">
        <v>92</v>
      </c>
      <c r="C12" s="108" t="s">
        <v>221</v>
      </c>
      <c r="D12" s="16" t="str">
        <f>'Calc|Opex forecast'!$E$8</f>
        <v>$millions</v>
      </c>
      <c r="E12" s="233">
        <f>'Calc|Opex forecast'!$F$8</f>
        <v>46174</v>
      </c>
      <c r="F12" s="16"/>
      <c r="G12" s="16"/>
      <c r="H12" s="16"/>
      <c r="I12" s="266" t="str">
        <f>IF('Calc|Opex forecast'!J110='Calc|Opex forecast'!J4,SUM('Calc|Opex forecast'!$J$52:$S$52),"")</f>
        <v/>
      </c>
      <c r="J12" s="266" t="str">
        <f>IF('Calc|Opex forecast'!K110='Calc|Opex forecast'!K4,SUM('Calc|Opex forecast'!$J$52:$S$52),"")</f>
        <v/>
      </c>
      <c r="K12" s="266" t="str">
        <f>IF('Calc|Opex forecast'!L110='Calc|Opex forecast'!L4,SUM('Calc|Opex forecast'!$J$52:$S$52),"")</f>
        <v/>
      </c>
      <c r="L12" s="266" t="str">
        <f>IF('Calc|Opex forecast'!M110='Calc|Opex forecast'!M4,SUM('Calc|Opex forecast'!$J$52:$S$52),"")</f>
        <v/>
      </c>
      <c r="M12" s="266" t="str">
        <f>IF('Calc|Opex forecast'!N110='Calc|Opex forecast'!N4,SUM('Calc|Opex forecast'!$J$52:$S$52),"")</f>
        <v/>
      </c>
      <c r="N12" s="266">
        <f>IF('Calc|Opex forecast'!O110='Calc|Opex forecast'!O4,SUM('Calc|Opex forecast'!$J$52:$S$52),"")</f>
        <v>0</v>
      </c>
      <c r="O12" s="266">
        <f>IF('Calc|Opex forecast'!P110='Calc|Opex forecast'!P4,SUM('Calc|Opex forecast'!$J$52:$S$52),"")</f>
        <v>0</v>
      </c>
      <c r="P12" s="266">
        <f>IF('Calc|Opex forecast'!Q110='Calc|Opex forecast'!Q4,SUM('Calc|Opex forecast'!$J$52:$S$52),"")</f>
        <v>0</v>
      </c>
      <c r="Q12" s="266">
        <f>IF('Calc|Opex forecast'!R110='Calc|Opex forecast'!R4,SUM('Calc|Opex forecast'!$J$52:$S$52),"")</f>
        <v>0</v>
      </c>
      <c r="R12" s="266">
        <f>IF('Calc|Opex forecast'!S110='Calc|Opex forecast'!S4,SUM('Calc|Opex forecast'!$J$52:$S$52),"")</f>
        <v>0</v>
      </c>
      <c r="S12" s="266"/>
      <c r="T12" s="266"/>
      <c r="U12" s="267">
        <f>SUM(I12:S12)</f>
        <v>0</v>
      </c>
      <c r="V12" s="268">
        <f t="shared" ref="V12:V22" ca="1" si="0">U12/($U$23-U12)</f>
        <v>0</v>
      </c>
      <c r="W12" s="261"/>
      <c r="X12" s="266">
        <f>SUM($U$11:$U11)-AA12</f>
        <v>474.11581084562488</v>
      </c>
      <c r="Y12" s="266"/>
      <c r="Z12" s="266">
        <f>IF(U12&gt;0,U12,0)</f>
        <v>0</v>
      </c>
      <c r="AA12" s="266">
        <f>IF(U12&lt;0,-U12,0)</f>
        <v>0</v>
      </c>
      <c r="AB12" s="264"/>
      <c r="AC12" s="264"/>
      <c r="AD12" s="264"/>
      <c r="AE12" s="264"/>
      <c r="AF12" s="264"/>
      <c r="AG12" s="261"/>
      <c r="AH12" s="261"/>
      <c r="AI12" s="261"/>
      <c r="AJ12" s="261"/>
      <c r="AK12" s="261"/>
      <c r="AL12" s="261"/>
      <c r="AM12" s="261"/>
    </row>
    <row r="13" spans="1:39" ht="14.5">
      <c r="A13" s="261"/>
      <c r="B13" s="15" t="s">
        <v>222</v>
      </c>
      <c r="C13" s="108" t="s">
        <v>221</v>
      </c>
      <c r="D13" s="16" t="str">
        <f>'Calc|Opex forecast'!$E$8</f>
        <v>$millions</v>
      </c>
      <c r="E13" s="233">
        <f>'Calc|Opex forecast'!$F$8</f>
        <v>46174</v>
      </c>
      <c r="F13" s="16"/>
      <c r="G13" s="16"/>
      <c r="H13" s="16"/>
      <c r="I13" s="266" t="str">
        <f>IF('Calc|Opex forecast'!J110='Calc|Opex forecast'!J4,SUM('Calc|Opex forecast'!$J$29:$S$29),"")</f>
        <v/>
      </c>
      <c r="J13" s="266" t="str">
        <f>IF('Calc|Opex forecast'!K110='Calc|Opex forecast'!K4,SUM('Calc|Opex forecast'!$J$29:$S$29),"")</f>
        <v/>
      </c>
      <c r="K13" s="266" t="str">
        <f>IF('Calc|Opex forecast'!L110='Calc|Opex forecast'!L4,SUM('Calc|Opex forecast'!$J$29:$S$29),"")</f>
        <v/>
      </c>
      <c r="L13" s="266" t="str">
        <f>IF('Calc|Opex forecast'!M110='Calc|Opex forecast'!M4,SUM('Calc|Opex forecast'!$J$29:$S$29),"")</f>
        <v/>
      </c>
      <c r="M13" s="266" t="str">
        <f>IF('Calc|Opex forecast'!N110='Calc|Opex forecast'!N4,SUM('Calc|Opex forecast'!$J$29:$S$29),"")</f>
        <v/>
      </c>
      <c r="N13" s="266">
        <f>IF('Calc|Opex forecast'!O110='Calc|Opex forecast'!O4,SUM('Calc|Opex forecast'!$J$29:$S$29),"")</f>
        <v>0</v>
      </c>
      <c r="O13" s="266">
        <f>IF('Calc|Opex forecast'!P110='Calc|Opex forecast'!P4,SUM('Calc|Opex forecast'!$J$29:$S$29),"")</f>
        <v>0</v>
      </c>
      <c r="P13" s="266">
        <f>IF('Calc|Opex forecast'!Q110='Calc|Opex forecast'!Q4,SUM('Calc|Opex forecast'!$J$29:$S$29),"")</f>
        <v>0</v>
      </c>
      <c r="Q13" s="266">
        <f>IF('Calc|Opex forecast'!R110='Calc|Opex forecast'!R4,SUM('Calc|Opex forecast'!$J$29:$S$29),"")</f>
        <v>0</v>
      </c>
      <c r="R13" s="266">
        <f>IF('Calc|Opex forecast'!S110='Calc|Opex forecast'!S4,SUM('Calc|Opex forecast'!$J$29:$S$29),"")</f>
        <v>0</v>
      </c>
      <c r="S13" s="266"/>
      <c r="T13" s="266"/>
      <c r="U13" s="267">
        <f>SUM(I13:S13)</f>
        <v>0</v>
      </c>
      <c r="V13" s="268">
        <f t="shared" ca="1" si="0"/>
        <v>0</v>
      </c>
      <c r="W13" s="261"/>
      <c r="X13" s="266">
        <f>SUM($U$11:$U12)-AA13</f>
        <v>474.11581084562488</v>
      </c>
      <c r="Y13" s="266"/>
      <c r="Z13" s="266">
        <f t="shared" ref="Z13:Z22" si="1">IF(U13&gt;0,U13,0)</f>
        <v>0</v>
      </c>
      <c r="AA13" s="266">
        <f t="shared" ref="AA13:AA22" si="2">IF(U13&lt;0,-U13,0)</f>
        <v>0</v>
      </c>
      <c r="AB13" s="264"/>
      <c r="AC13" s="264"/>
      <c r="AD13" s="264"/>
      <c r="AE13" s="264"/>
      <c r="AF13" s="264"/>
      <c r="AG13" s="261"/>
      <c r="AH13" s="261"/>
      <c r="AI13" s="261"/>
      <c r="AJ13" s="261"/>
      <c r="AK13" s="261"/>
      <c r="AL13" s="261"/>
      <c r="AM13" s="261"/>
    </row>
    <row r="14" spans="1:39" ht="14.5">
      <c r="A14" s="261"/>
      <c r="B14" s="15" t="s">
        <v>223</v>
      </c>
      <c r="C14" s="108" t="s">
        <v>221</v>
      </c>
      <c r="D14" s="16" t="str">
        <f>'Calc|Opex forecast'!$E$8</f>
        <v>$millions</v>
      </c>
      <c r="E14" s="233">
        <f>'Calc|Opex forecast'!$F$8</f>
        <v>46174</v>
      </c>
      <c r="F14" s="16"/>
      <c r="G14" s="16"/>
      <c r="H14" s="16"/>
      <c r="I14" s="266" t="str">
        <f>IF('Calc|Opex forecast'!J110='Calc|Opex forecast'!J4,SUM('Calc|Opex forecast'!$J$38:$S$38,'Calc|Opex forecast'!$J$41:$S$41,'Calc|Opex forecast'!$J$44:$S$44,'Calc|Opex forecast'!$J$47:$S$47,'Calc|Opex forecast'!$J$50:$S$50),"")</f>
        <v/>
      </c>
      <c r="J14" s="266" t="str">
        <f>IF('Calc|Opex forecast'!K110='Calc|Opex forecast'!K4,SUM('Calc|Opex forecast'!$J$38:$S$38,'Calc|Opex forecast'!$J$41:$S$41,'Calc|Opex forecast'!$J$44:$S$44,'Calc|Opex forecast'!$J$47:$S$47,'Calc|Opex forecast'!$J$50:$S$50),"")</f>
        <v/>
      </c>
      <c r="K14" s="266" t="str">
        <f>IF('Calc|Opex forecast'!L110='Calc|Opex forecast'!L4,SUM('Calc|Opex forecast'!$J$38:$S$38,'Calc|Opex forecast'!$J$41:$S$41,'Calc|Opex forecast'!$J$44:$S$44,'Calc|Opex forecast'!$J$47:$S$47,'Calc|Opex forecast'!$J$50:$S$50),"")</f>
        <v/>
      </c>
      <c r="L14" s="266" t="str">
        <f>IF('Calc|Opex forecast'!M110='Calc|Opex forecast'!M4,SUM('Calc|Opex forecast'!$J$38:$S$38,'Calc|Opex forecast'!$J$41:$S$41,'Calc|Opex forecast'!$J$44:$S$44,'Calc|Opex forecast'!$J$47:$S$47,'Calc|Opex forecast'!$J$50:$S$50),"")</f>
        <v/>
      </c>
      <c r="M14" s="266" t="str">
        <f>IF('Calc|Opex forecast'!N110='Calc|Opex forecast'!N4,SUM('Calc|Opex forecast'!$J$38:$S$38,'Calc|Opex forecast'!$J$41:$S$41,'Calc|Opex forecast'!$J$44:$S$44,'Calc|Opex forecast'!$J$47:$S$47,'Calc|Opex forecast'!$J$50:$S$50),"")</f>
        <v/>
      </c>
      <c r="N14" s="266">
        <f>IF('Calc|Opex forecast'!O110='Calc|Opex forecast'!O4,SUM('Calc|Opex forecast'!$J$38:$S$38,'Calc|Opex forecast'!$J$41:$S$41,'Calc|Opex forecast'!$J$44:$S$44,'Calc|Opex forecast'!$J$47:$S$47,'Calc|Opex forecast'!$J$50:$S$50),"")</f>
        <v>0</v>
      </c>
      <c r="O14" s="266">
        <f>IF('Calc|Opex forecast'!P110='Calc|Opex forecast'!P4,SUM('Calc|Opex forecast'!$J$38:$S$38,'Calc|Opex forecast'!$J$41:$S$41,'Calc|Opex forecast'!$J$44:$S$44,'Calc|Opex forecast'!$J$47:$S$47,'Calc|Opex forecast'!$J$50:$S$50),"")</f>
        <v>0</v>
      </c>
      <c r="P14" s="266">
        <f>IF('Calc|Opex forecast'!Q110='Calc|Opex forecast'!Q4,SUM('Calc|Opex forecast'!$J$38:$S$38,'Calc|Opex forecast'!$J$41:$S$41,'Calc|Opex forecast'!$J$44:$S$44,'Calc|Opex forecast'!$J$47:$S$47,'Calc|Opex forecast'!$J$50:$S$50),"")</f>
        <v>0</v>
      </c>
      <c r="Q14" s="266">
        <f>IF('Calc|Opex forecast'!R110='Calc|Opex forecast'!R4,SUM('Calc|Opex forecast'!$J$38:$S$38,'Calc|Opex forecast'!$J$41:$S$41,'Calc|Opex forecast'!$J$44:$S$44,'Calc|Opex forecast'!$J$47:$S$47,'Calc|Opex forecast'!$J$50:$S$50),"")</f>
        <v>0</v>
      </c>
      <c r="R14" s="266">
        <f>IF('Calc|Opex forecast'!S110='Calc|Opex forecast'!S4,SUM('Calc|Opex forecast'!$J$38:$S$38,'Calc|Opex forecast'!$J$41:$S$41,'Calc|Opex forecast'!$J$44:$S$44,'Calc|Opex forecast'!$J$47:$S$47,'Calc|Opex forecast'!$J$50:$S$50),"")</f>
        <v>0</v>
      </c>
      <c r="S14" s="266"/>
      <c r="T14" s="266"/>
      <c r="U14" s="267">
        <f>SUM(I14:S14)</f>
        <v>0</v>
      </c>
      <c r="V14" s="268">
        <f t="shared" ca="1" si="0"/>
        <v>0</v>
      </c>
      <c r="W14" s="261"/>
      <c r="X14" s="266">
        <f>SUM($U$11:$U13)-AA14</f>
        <v>474.11581084562488</v>
      </c>
      <c r="Y14" s="266"/>
      <c r="Z14" s="266">
        <f t="shared" si="1"/>
        <v>0</v>
      </c>
      <c r="AA14" s="266">
        <f t="shared" si="2"/>
        <v>0</v>
      </c>
      <c r="AB14" s="264"/>
      <c r="AC14" s="264"/>
      <c r="AD14" s="264"/>
      <c r="AE14" s="264"/>
      <c r="AF14" s="264"/>
      <c r="AG14" s="261"/>
      <c r="AH14" s="261"/>
      <c r="AI14" s="261"/>
      <c r="AJ14" s="261"/>
      <c r="AK14" s="261"/>
      <c r="AL14" s="261"/>
      <c r="AM14" s="261"/>
    </row>
    <row r="15" spans="1:39" ht="14.5">
      <c r="A15" s="261"/>
      <c r="B15" s="15" t="s">
        <v>231</v>
      </c>
      <c r="C15" s="108" t="s">
        <v>221</v>
      </c>
      <c r="D15" s="16" t="str">
        <f>'Calc|Opex forecast'!$E$8</f>
        <v>$millions</v>
      </c>
      <c r="E15" s="233">
        <f>'Calc|Opex forecast'!$F$8</f>
        <v>46174</v>
      </c>
      <c r="F15" s="16"/>
      <c r="G15" s="16"/>
      <c r="H15" s="16"/>
      <c r="I15" s="266" t="str">
        <f>IF('Calc|Opex forecast'!J110='Calc|Opex forecast'!J4,SUM('Calc|Opex forecast'!$J$31:$S$31),"")</f>
        <v/>
      </c>
      <c r="J15" s="266" t="str">
        <f>IF('Calc|Opex forecast'!K110='Calc|Opex forecast'!K4,SUM('Calc|Opex forecast'!$J$31:$S$31),"")</f>
        <v/>
      </c>
      <c r="K15" s="266" t="str">
        <f>IF('Calc|Opex forecast'!L110='Calc|Opex forecast'!L4,SUM('Calc|Opex forecast'!$J$31:$S$31),"")</f>
        <v/>
      </c>
      <c r="L15" s="266" t="str">
        <f>IF('Calc|Opex forecast'!M110='Calc|Opex forecast'!M4,SUM('Calc|Opex forecast'!$J$31:$S$31),"")</f>
        <v/>
      </c>
      <c r="M15" s="266" t="str">
        <f>IF('Calc|Opex forecast'!N110='Calc|Opex forecast'!N4,SUM('Calc|Opex forecast'!$J$31:$S$31),"")</f>
        <v/>
      </c>
      <c r="N15" s="266">
        <f>IF('Calc|Opex forecast'!O110='Calc|Opex forecast'!O4,SUM('Calc|Opex forecast'!$J$31:$S$31),"")</f>
        <v>1.1078621461643365</v>
      </c>
      <c r="O15" s="266">
        <f>IF('Calc|Opex forecast'!P110='Calc|Opex forecast'!P4,SUM('Calc|Opex forecast'!$J$31:$S$31),"")</f>
        <v>1.1078621461643365</v>
      </c>
      <c r="P15" s="266">
        <f>IF('Calc|Opex forecast'!Q110='Calc|Opex forecast'!Q4,SUM('Calc|Opex forecast'!$J$31:$S$31),"")</f>
        <v>1.1078621461643365</v>
      </c>
      <c r="Q15" s="266">
        <f>IF('Calc|Opex forecast'!R110='Calc|Opex forecast'!R4,SUM('Calc|Opex forecast'!$J$31:$S$31),"")</f>
        <v>1.1078621461643365</v>
      </c>
      <c r="R15" s="266">
        <f>IF('Calc|Opex forecast'!S110='Calc|Opex forecast'!S4,SUM('Calc|Opex forecast'!$J$31:$S$31),"")</f>
        <v>1.1078621461643365</v>
      </c>
      <c r="S15" s="266"/>
      <c r="T15" s="266"/>
      <c r="U15" s="267">
        <f>SUM(I15:S15)</f>
        <v>5.5393107308216827</v>
      </c>
      <c r="V15" s="268">
        <f t="shared" ca="1" si="0"/>
        <v>9.5411281707066635E-3</v>
      </c>
      <c r="W15" s="261"/>
      <c r="X15" s="266">
        <f>SUM($U$11:$U14)-AA15</f>
        <v>474.11581084562488</v>
      </c>
      <c r="Y15" s="266"/>
      <c r="Z15" s="266">
        <f t="shared" si="1"/>
        <v>5.5393107308216827</v>
      </c>
      <c r="AA15" s="266">
        <f t="shared" si="2"/>
        <v>0</v>
      </c>
      <c r="AB15" s="264"/>
      <c r="AC15" s="264"/>
      <c r="AD15" s="264"/>
      <c r="AE15" s="264"/>
      <c r="AF15" s="264"/>
      <c r="AG15" s="261"/>
      <c r="AH15" s="261"/>
      <c r="AI15" s="261"/>
      <c r="AJ15" s="261"/>
      <c r="AK15" s="261"/>
      <c r="AL15" s="261"/>
      <c r="AM15" s="261"/>
    </row>
    <row r="16" spans="1:39" ht="14.5">
      <c r="A16" s="261"/>
      <c r="B16" s="15" t="s">
        <v>224</v>
      </c>
      <c r="C16" s="108" t="s">
        <v>221</v>
      </c>
      <c r="D16" s="16" t="str">
        <f>'Calc|Opex forecast'!$E$8</f>
        <v>$millions</v>
      </c>
      <c r="E16" s="233">
        <f>'Calc|Opex forecast'!$F$8</f>
        <v>46174</v>
      </c>
      <c r="F16" s="16"/>
      <c r="G16" s="16"/>
      <c r="H16" s="16"/>
      <c r="I16" s="266" t="str">
        <f>IF('Calc|Opex forecast'!J110='Calc|Opex forecast'!J4,SUM('Calc|Opex forecast'!$J$35:$T$35),"")</f>
        <v/>
      </c>
      <c r="J16" s="266" t="str">
        <f>IF('Calc|Opex forecast'!K110='Calc|Opex forecast'!K4,SUM('Calc|Opex forecast'!$J$35:$T$35),"")</f>
        <v/>
      </c>
      <c r="K16" s="266" t="str">
        <f>IF('Calc|Opex forecast'!L110='Calc|Opex forecast'!L4,SUM('Calc|Opex forecast'!$J$35:$T$35),"")</f>
        <v/>
      </c>
      <c r="L16" s="266" t="str">
        <f>IF('Calc|Opex forecast'!M110='Calc|Opex forecast'!M4,SUM('Calc|Opex forecast'!$J$35:$T$35),"")</f>
        <v/>
      </c>
      <c r="M16" s="266" t="str">
        <f>IF('Calc|Opex forecast'!N110='Calc|Opex forecast'!N4,SUM('Calc|Opex forecast'!$J$35:$T$35),"")</f>
        <v/>
      </c>
      <c r="N16" s="266">
        <f ca="1">IF('Calc|Opex forecast'!O110='Calc|Opex forecast'!O4,SUM('Calc|Opex forecast'!$J$35:$T$35),"")</f>
        <v>-0.12240917621431002</v>
      </c>
      <c r="O16" s="266">
        <f ca="1">IF('Calc|Opex forecast'!P110='Calc|Opex forecast'!P4,SUM('Calc|Opex forecast'!$J$35:$T$35),"")</f>
        <v>-0.12240917621431002</v>
      </c>
      <c r="P16" s="266">
        <f ca="1">IF('Calc|Opex forecast'!Q110='Calc|Opex forecast'!Q4,SUM('Calc|Opex forecast'!$J$35:$T$35),"")</f>
        <v>-0.12240917621431002</v>
      </c>
      <c r="Q16" s="266">
        <f ca="1">IF('Calc|Opex forecast'!R110='Calc|Opex forecast'!R4,SUM('Calc|Opex forecast'!$J$35:$T$35),"")</f>
        <v>-0.12240917621431002</v>
      </c>
      <c r="R16" s="266">
        <f ca="1">IF('Calc|Opex forecast'!S110='Calc|Opex forecast'!S4,SUM('Calc|Opex forecast'!$J$35:$T$35),"")</f>
        <v>-0.12240917621431002</v>
      </c>
      <c r="S16" s="266"/>
      <c r="T16" s="266"/>
      <c r="U16" s="267">
        <f t="shared" ref="U16:U22" ca="1" si="3">SUM(I16:S16)</f>
        <v>-0.61204588107155011</v>
      </c>
      <c r="V16" s="268">
        <f t="shared" ca="1" si="0"/>
        <v>-1.0431594346864831E-3</v>
      </c>
      <c r="W16" s="261"/>
      <c r="X16" s="266">
        <f ca="1">SUM($U$11:$U15)-AA16</f>
        <v>479.04307569537502</v>
      </c>
      <c r="Y16" s="266"/>
      <c r="Z16" s="266">
        <f t="shared" ca="1" si="1"/>
        <v>0</v>
      </c>
      <c r="AA16" s="266">
        <f t="shared" ca="1" si="2"/>
        <v>0.61204588107155011</v>
      </c>
      <c r="AB16" s="264"/>
      <c r="AC16" s="264"/>
      <c r="AD16" s="264"/>
      <c r="AE16" s="264"/>
      <c r="AF16" s="264"/>
      <c r="AG16" s="261"/>
      <c r="AH16" s="261"/>
      <c r="AI16" s="261"/>
      <c r="AJ16" s="261"/>
      <c r="AK16" s="261"/>
      <c r="AL16" s="261"/>
      <c r="AM16" s="261"/>
    </row>
    <row r="17" spans="1:39" ht="14.5">
      <c r="A17" s="261"/>
      <c r="B17" s="15" t="s">
        <v>225</v>
      </c>
      <c r="C17" s="16" t="s">
        <v>30</v>
      </c>
      <c r="D17" s="16" t="str">
        <f>'Calc|Opex forecast'!$E$8</f>
        <v>$millions</v>
      </c>
      <c r="E17" s="233">
        <f>'Calc|Opex forecast'!$F$8</f>
        <v>46174</v>
      </c>
      <c r="F17" s="16"/>
      <c r="G17" s="16"/>
      <c r="H17" s="16"/>
      <c r="I17" s="266" t="str">
        <f>IF('Calc|Opex forecast'!J110='Calc|Opex forecast'!J4,'Calc|Opex forecast'!J62/('Calc|Opex forecast'!J$62+'Calc|Opex forecast'!J$65-'Calc|Opex forecast'!J$68)*'Calc|Opex forecast'!J$71*SUM('Calc|Opex forecast'!$J$54:$T$54),"")</f>
        <v/>
      </c>
      <c r="J17" s="266" t="str">
        <f>IF('Calc|Opex forecast'!K110='Calc|Opex forecast'!K4,'Calc|Opex forecast'!K62/('Calc|Opex forecast'!K$62+'Calc|Opex forecast'!K$65-'Calc|Opex forecast'!K$68)*'Calc|Opex forecast'!K$71*SUM('Calc|Opex forecast'!$J$54:$T$54),"")</f>
        <v/>
      </c>
      <c r="K17" s="266" t="str">
        <f>IF('Calc|Opex forecast'!L110='Calc|Opex forecast'!L4,'Calc|Opex forecast'!L62/('Calc|Opex forecast'!L$62+'Calc|Opex forecast'!L$65-'Calc|Opex forecast'!L$68)*'Calc|Opex forecast'!L$71*SUM('Calc|Opex forecast'!$J$54:$T$54),"")</f>
        <v/>
      </c>
      <c r="L17" s="266" t="str">
        <f>IF('Calc|Opex forecast'!M110='Calc|Opex forecast'!M4,'Calc|Opex forecast'!M62/('Calc|Opex forecast'!M$62+'Calc|Opex forecast'!M$65-'Calc|Opex forecast'!M$68)*'Calc|Opex forecast'!M$71*SUM('Calc|Opex forecast'!$J$54:$T$54),"")</f>
        <v/>
      </c>
      <c r="M17" s="266" t="str">
        <f>IF('Calc|Opex forecast'!N110='Calc|Opex forecast'!N4,'Calc|Opex forecast'!N62/('Calc|Opex forecast'!N$62+'Calc|Opex forecast'!N$65-'Calc|Opex forecast'!N$68)*'Calc|Opex forecast'!N$71*SUM('Calc|Opex forecast'!$J$54:$T$54),"")</f>
        <v/>
      </c>
      <c r="N17" s="266">
        <f ca="1">IF('Calc|Opex forecast'!O110='Calc|Opex forecast'!O4,'Calc|Opex forecast'!O62/('Calc|Opex forecast'!O$62+'Calc|Opex forecast'!O$65-'Calc|Opex forecast'!O$68)*'Calc|Opex forecast'!O$71*SUM('Calc|Opex forecast'!$J$54:$T$54),"")</f>
        <v>0.85869504207192193</v>
      </c>
      <c r="O17" s="266">
        <f ca="1">IF('Calc|Opex forecast'!P110='Calc|Opex forecast'!P4,'Calc|Opex forecast'!P62/('Calc|Opex forecast'!P$62+'Calc|Opex forecast'!P$65-'Calc|Opex forecast'!P$68)*'Calc|Opex forecast'!P$71*SUM('Calc|Opex forecast'!$J$54:$T$54),"")</f>
        <v>2.0771712761114971</v>
      </c>
      <c r="P17" s="266">
        <f ca="1">IF('Calc|Opex forecast'!Q110='Calc|Opex forecast'!Q4,'Calc|Opex forecast'!Q62/('Calc|Opex forecast'!Q$62+'Calc|Opex forecast'!Q$65-'Calc|Opex forecast'!Q$68)*'Calc|Opex forecast'!Q$71*SUM('Calc|Opex forecast'!$J$54:$T$54),"")</f>
        <v>3.5937974730631788</v>
      </c>
      <c r="Q17" s="266">
        <f ca="1">IF('Calc|Opex forecast'!R110='Calc|Opex forecast'!R4,'Calc|Opex forecast'!R62/('Calc|Opex forecast'!R$62+'Calc|Opex forecast'!R$65-'Calc|Opex forecast'!R$68)*'Calc|Opex forecast'!R$71*SUM('Calc|Opex forecast'!$J$54:$T$54),"")</f>
        <v>5.3195175114528652</v>
      </c>
      <c r="R17" s="266">
        <f ca="1">IF('Calc|Opex forecast'!S110='Calc|Opex forecast'!S4,'Calc|Opex forecast'!S62/('Calc|Opex forecast'!S$62+'Calc|Opex forecast'!S$65-'Calc|Opex forecast'!S$68)*'Calc|Opex forecast'!S$71*SUM('Calc|Opex forecast'!$J$54:$T$54),"")</f>
        <v>7.4332725850737722</v>
      </c>
      <c r="S17" s="266"/>
      <c r="T17" s="266"/>
      <c r="U17" s="269">
        <f t="shared" ca="1" si="3"/>
        <v>19.282453887773237</v>
      </c>
      <c r="V17" s="268">
        <f t="shared" ca="1" si="0"/>
        <v>3.4018130334043058E-2</v>
      </c>
      <c r="W17" s="261"/>
      <c r="X17" s="266">
        <f ca="1">SUM($U$11:$U16)-AA17</f>
        <v>479.04307569537502</v>
      </c>
      <c r="Y17" s="266"/>
      <c r="Z17" s="266">
        <f t="shared" ca="1" si="1"/>
        <v>19.282453887773237</v>
      </c>
      <c r="AA17" s="266">
        <f t="shared" ca="1" si="2"/>
        <v>0</v>
      </c>
      <c r="AB17" s="264"/>
      <c r="AC17" s="264"/>
      <c r="AD17" s="264"/>
      <c r="AE17" s="264"/>
      <c r="AF17" s="270"/>
      <c r="AG17" s="261"/>
      <c r="AH17" s="261"/>
      <c r="AI17" s="261"/>
      <c r="AJ17" s="261"/>
      <c r="AK17" s="261"/>
      <c r="AL17" s="261"/>
      <c r="AM17" s="261"/>
    </row>
    <row r="18" spans="1:39" ht="14.5">
      <c r="A18" s="261"/>
      <c r="B18" s="15" t="s">
        <v>226</v>
      </c>
      <c r="C18" s="16" t="s">
        <v>30</v>
      </c>
      <c r="D18" s="16" t="str">
        <f>'Calc|Opex forecast'!$E$8</f>
        <v>$millions</v>
      </c>
      <c r="E18" s="233">
        <f>'Calc|Opex forecast'!$F$8</f>
        <v>46174</v>
      </c>
      <c r="F18" s="16"/>
      <c r="G18" s="16"/>
      <c r="H18" s="16"/>
      <c r="I18" s="266" t="str">
        <f>IF('Calc|Opex forecast'!J110='Calc|Opex forecast'!J4,'Calc|Opex forecast'!J65/('Calc|Opex forecast'!J$62+'Calc|Opex forecast'!J$65-'Calc|Opex forecast'!J$68)*'Calc|Opex forecast'!J$71*SUM('Calc|Opex forecast'!$J$54:$T$54),"")</f>
        <v/>
      </c>
      <c r="J18" s="266" t="str">
        <f>IF('Calc|Opex forecast'!K110='Calc|Opex forecast'!K4,'Calc|Opex forecast'!K65/('Calc|Opex forecast'!K$62+'Calc|Opex forecast'!K$65-'Calc|Opex forecast'!K$68)*'Calc|Opex forecast'!K$71*SUM('Calc|Opex forecast'!$J$54:$T$54),"")</f>
        <v/>
      </c>
      <c r="K18" s="266" t="str">
        <f>IF('Calc|Opex forecast'!L110='Calc|Opex forecast'!L4,'Calc|Opex forecast'!L65/('Calc|Opex forecast'!L$62+'Calc|Opex forecast'!L$65-'Calc|Opex forecast'!L$68)*'Calc|Opex forecast'!L$71*SUM('Calc|Opex forecast'!$J$54:$T$54),"")</f>
        <v/>
      </c>
      <c r="L18" s="266" t="str">
        <f>IF('Calc|Opex forecast'!M110='Calc|Opex forecast'!M4,'Calc|Opex forecast'!M65/('Calc|Opex forecast'!M$62+'Calc|Opex forecast'!M$65-'Calc|Opex forecast'!M$68)*'Calc|Opex forecast'!M$71*SUM('Calc|Opex forecast'!$J$54:$T$54),"")</f>
        <v/>
      </c>
      <c r="M18" s="266" t="str">
        <f>IF('Calc|Opex forecast'!N110='Calc|Opex forecast'!N4,'Calc|Opex forecast'!N65/('Calc|Opex forecast'!N$62+'Calc|Opex forecast'!N$65-'Calc|Opex forecast'!N$68)*'Calc|Opex forecast'!N$71*SUM('Calc|Opex forecast'!$J$54:$T$54),"")</f>
        <v/>
      </c>
      <c r="N18" s="266">
        <f ca="1">IF('Calc|Opex forecast'!O110='Calc|Opex forecast'!O4,'Calc|Opex forecast'!O65/('Calc|Opex forecast'!O$62+'Calc|Opex forecast'!O$65-'Calc|Opex forecast'!O$68)*'Calc|Opex forecast'!O$71*SUM('Calc|Opex forecast'!$J$54:$T$54),"")</f>
        <v>0.84958188175533467</v>
      </c>
      <c r="O18" s="266">
        <f ca="1">IF('Calc|Opex forecast'!P110='Calc|Opex forecast'!P4,'Calc|Opex forecast'!P65/('Calc|Opex forecast'!P$62+'Calc|Opex forecast'!P$65-'Calc|Opex forecast'!P$68)*'Calc|Opex forecast'!P$71*SUM('Calc|Opex forecast'!$J$54:$T$54),"")</f>
        <v>1.3384926897732998</v>
      </c>
      <c r="P18" s="266">
        <f ca="1">IF('Calc|Opex forecast'!Q110='Calc|Opex forecast'!Q4,'Calc|Opex forecast'!Q65/('Calc|Opex forecast'!Q$62+'Calc|Opex forecast'!Q$65-'Calc|Opex forecast'!Q$68)*'Calc|Opex forecast'!Q$71*SUM('Calc|Opex forecast'!$J$54:$T$54),"")</f>
        <v>1.9442042264114212</v>
      </c>
      <c r="Q18" s="266">
        <f ca="1">IF('Calc|Opex forecast'!R110='Calc|Opex forecast'!R4,'Calc|Opex forecast'!R65/('Calc|Opex forecast'!R$62+'Calc|Opex forecast'!R$65-'Calc|Opex forecast'!R$68)*'Calc|Opex forecast'!R$71*SUM('Calc|Opex forecast'!$J$54:$T$54),"")</f>
        <v>2.6501150714436545</v>
      </c>
      <c r="R18" s="266">
        <f ca="1">IF('Calc|Opex forecast'!S110='Calc|Opex forecast'!S4,'Calc|Opex forecast'!S65/('Calc|Opex forecast'!S$62+'Calc|Opex forecast'!S$65-'Calc|Opex forecast'!S$68)*'Calc|Opex forecast'!S$71*SUM('Calc|Opex forecast'!$J$54:$T$54),"")</f>
        <v>3.3186092716681164</v>
      </c>
      <c r="S18" s="266"/>
      <c r="T18" s="266"/>
      <c r="U18" s="269">
        <f t="shared" ca="1" si="3"/>
        <v>10.101003141051827</v>
      </c>
      <c r="V18" s="268">
        <f t="shared" ca="1" si="0"/>
        <v>1.7536153591837755E-2</v>
      </c>
      <c r="W18" s="261"/>
      <c r="X18" s="266">
        <f ca="1">SUM($U$11:$U17)-AA18</f>
        <v>498.32552958314824</v>
      </c>
      <c r="Y18" s="266"/>
      <c r="Z18" s="266">
        <f t="shared" ca="1" si="1"/>
        <v>10.101003141051827</v>
      </c>
      <c r="AA18" s="266">
        <f t="shared" ca="1" si="2"/>
        <v>0</v>
      </c>
      <c r="AB18" s="264"/>
      <c r="AC18" s="264"/>
      <c r="AD18" s="264"/>
      <c r="AE18" s="264"/>
      <c r="AF18" s="264"/>
      <c r="AG18" s="261"/>
      <c r="AH18" s="261"/>
      <c r="AI18" s="261"/>
      <c r="AJ18" s="261"/>
      <c r="AK18" s="261"/>
      <c r="AL18" s="261"/>
      <c r="AM18" s="261"/>
    </row>
    <row r="19" spans="1:39" ht="14.5">
      <c r="A19" s="261"/>
      <c r="B19" s="15" t="s">
        <v>227</v>
      </c>
      <c r="C19" s="16" t="s">
        <v>30</v>
      </c>
      <c r="D19" s="16" t="str">
        <f>'Calc|Opex forecast'!$E$8</f>
        <v>$millions</v>
      </c>
      <c r="E19" s="233">
        <f>'Calc|Opex forecast'!$F$8</f>
        <v>46174</v>
      </c>
      <c r="F19" s="16"/>
      <c r="G19" s="16"/>
      <c r="H19" s="16"/>
      <c r="I19" s="266" t="str">
        <f>IF('Calc|Opex forecast'!J110='Calc|Opex forecast'!J4,-'Calc|Opex forecast'!J68/('Calc|Opex forecast'!J$62+'Calc|Opex forecast'!J$65-'Calc|Opex forecast'!J$68)*'Calc|Opex forecast'!J$71*SUM('Calc|Opex forecast'!$J$54:$T$54),"")</f>
        <v/>
      </c>
      <c r="J19" s="266" t="str">
        <f>IF('Calc|Opex forecast'!K110='Calc|Opex forecast'!K4,-'Calc|Opex forecast'!K68/('Calc|Opex forecast'!K$62+'Calc|Opex forecast'!K$65-'Calc|Opex forecast'!K$68)*'Calc|Opex forecast'!K$71*SUM('Calc|Opex forecast'!$J$54:$T$54),"")</f>
        <v/>
      </c>
      <c r="K19" s="266" t="str">
        <f>IF('Calc|Opex forecast'!L110='Calc|Opex forecast'!L4,-'Calc|Opex forecast'!L68/('Calc|Opex forecast'!L$62+'Calc|Opex forecast'!L$65-'Calc|Opex forecast'!L$68)*'Calc|Opex forecast'!L$71*SUM('Calc|Opex forecast'!$J$54:$T$54),"")</f>
        <v/>
      </c>
      <c r="L19" s="266" t="str">
        <f>IF('Calc|Opex forecast'!M110='Calc|Opex forecast'!M4,-'Calc|Opex forecast'!M68/('Calc|Opex forecast'!M$62+'Calc|Opex forecast'!M$65-'Calc|Opex forecast'!M$68)*'Calc|Opex forecast'!M$71*SUM('Calc|Opex forecast'!$J$54:$T$54),"")</f>
        <v/>
      </c>
      <c r="M19" s="266" t="str">
        <f>IF('Calc|Opex forecast'!N110='Calc|Opex forecast'!N4,-'Calc|Opex forecast'!N68/('Calc|Opex forecast'!N$62+'Calc|Opex forecast'!N$65-'Calc|Opex forecast'!N$68)*'Calc|Opex forecast'!N$71*SUM('Calc|Opex forecast'!$J$54:$T$54),"")</f>
        <v/>
      </c>
      <c r="N19" s="266">
        <f ca="1">IF('Calc|Opex forecast'!O110='Calc|Opex forecast'!O4,-'Calc|Opex forecast'!O68/('Calc|Opex forecast'!O$62+'Calc|Opex forecast'!O$65-'Calc|Opex forecast'!O$68)*'Calc|Opex forecast'!O$71*SUM('Calc|Opex forecast'!$J$54:$T$54),"")</f>
        <v>-0.4786694299523141</v>
      </c>
      <c r="O19" s="266">
        <f ca="1">IF('Calc|Opex forecast'!P110='Calc|Opex forecast'!P4,-'Calc|Opex forecast'!P68/('Calc|Opex forecast'!P$62+'Calc|Opex forecast'!P$65-'Calc|Opex forecast'!P$68)*'Calc|Opex forecast'!P$71*SUM('Calc|Opex forecast'!$J$54:$T$54),"")</f>
        <v>-0.96026783714904274</v>
      </c>
      <c r="P19" s="266">
        <f ca="1">IF('Calc|Opex forecast'!Q110='Calc|Opex forecast'!Q4,-'Calc|Opex forecast'!Q68/('Calc|Opex forecast'!Q$62+'Calc|Opex forecast'!Q$65-'Calc|Opex forecast'!Q$68)*'Calc|Opex forecast'!Q$71*SUM('Calc|Opex forecast'!$J$54:$T$54),"")</f>
        <v>-1.4455641115790463</v>
      </c>
      <c r="Q19" s="266">
        <f ca="1">IF('Calc|Opex forecast'!R110='Calc|Opex forecast'!R4,-'Calc|Opex forecast'!R68/('Calc|Opex forecast'!R$62+'Calc|Opex forecast'!R$65-'Calc|Opex forecast'!R$68)*'Calc|Opex forecast'!R$71*SUM('Calc|Opex forecast'!$J$54:$T$54),"")</f>
        <v>-1.9352257243083217</v>
      </c>
      <c r="R19" s="266">
        <f ca="1">IF('Calc|Opex forecast'!S110='Calc|Opex forecast'!S4,-'Calc|Opex forecast'!S68/('Calc|Opex forecast'!S$62+'Calc|Opex forecast'!S$65-'Calc|Opex forecast'!S$68)*'Calc|Opex forecast'!S$71*SUM('Calc|Opex forecast'!$J$54:$T$54),"")</f>
        <v>-2.4286187208855807</v>
      </c>
      <c r="S19" s="266"/>
      <c r="T19" s="266"/>
      <c r="U19" s="269">
        <f t="shared" ca="1" si="3"/>
        <v>-7.2483458238743053</v>
      </c>
      <c r="V19" s="268">
        <f t="shared" ca="1" si="0"/>
        <v>-1.2215773679686116E-2</v>
      </c>
      <c r="W19" s="261"/>
      <c r="X19" s="266">
        <f ca="1">SUM($U$11:$U18)-AA19</f>
        <v>501.17818690032573</v>
      </c>
      <c r="Y19" s="266"/>
      <c r="Z19" s="266">
        <f t="shared" ca="1" si="1"/>
        <v>0</v>
      </c>
      <c r="AA19" s="266">
        <f t="shared" ca="1" si="2"/>
        <v>7.2483458238743053</v>
      </c>
      <c r="AB19" s="264"/>
      <c r="AC19" s="264"/>
      <c r="AD19" s="264"/>
      <c r="AE19" s="264"/>
      <c r="AF19" s="264"/>
      <c r="AG19" s="261"/>
      <c r="AH19" s="261"/>
      <c r="AI19" s="261"/>
      <c r="AJ19" s="261"/>
      <c r="AK19" s="261"/>
      <c r="AL19" s="261"/>
      <c r="AM19" s="261"/>
    </row>
    <row r="20" spans="1:39" ht="14.5">
      <c r="A20" s="261"/>
      <c r="B20" s="15" t="s">
        <v>107</v>
      </c>
      <c r="C20" s="108" t="s">
        <v>221</v>
      </c>
      <c r="D20" s="16" t="str">
        <f>'Calc|Opex forecast'!$E$8</f>
        <v>$millions</v>
      </c>
      <c r="E20" s="233">
        <f>'Calc|Opex forecast'!$F$8</f>
        <v>46174</v>
      </c>
      <c r="F20" s="16"/>
      <c r="G20" s="16"/>
      <c r="H20" s="16"/>
      <c r="I20" s="266" t="str">
        <f>IF('Calc|Opex forecast'!J110='Calc|Opex forecast'!J4,'Calc|Opex forecast'!J94,"")</f>
        <v/>
      </c>
      <c r="J20" s="266" t="str">
        <f>IF('Calc|Opex forecast'!K110='Calc|Opex forecast'!K4,'Calc|Opex forecast'!K94,"")</f>
        <v/>
      </c>
      <c r="K20" s="266" t="str">
        <f>IF('Calc|Opex forecast'!L110='Calc|Opex forecast'!L4,'Calc|Opex forecast'!L94,"")</f>
        <v/>
      </c>
      <c r="L20" s="266" t="str">
        <f>IF('Calc|Opex forecast'!M110='Calc|Opex forecast'!M4,'Calc|Opex forecast'!M94,"")</f>
        <v/>
      </c>
      <c r="M20" s="266" t="str">
        <f>IF('Calc|Opex forecast'!N110='Calc|Opex forecast'!N4,'Calc|Opex forecast'!N94,"")</f>
        <v/>
      </c>
      <c r="N20" s="266">
        <f>IF('Calc|Opex forecast'!O110='Calc|Opex forecast'!O4,'Calc|Opex forecast'!O94,"")</f>
        <v>9.1927423958368859</v>
      </c>
      <c r="O20" s="266">
        <f>IF('Calc|Opex forecast'!P110='Calc|Opex forecast'!P4,'Calc|Opex forecast'!P94,"")</f>
        <v>15.20730989291331</v>
      </c>
      <c r="P20" s="266">
        <f>IF('Calc|Opex forecast'!Q110='Calc|Opex forecast'!Q4,'Calc|Opex forecast'!Q94,"")</f>
        <v>16.396577366872442</v>
      </c>
      <c r="Q20" s="266">
        <f>IF('Calc|Opex forecast'!R110='Calc|Opex forecast'!R4,'Calc|Opex forecast'!R94,"")</f>
        <v>17.755819612304236</v>
      </c>
      <c r="R20" s="266">
        <f>IF('Calc|Opex forecast'!S110='Calc|Opex forecast'!S4,'Calc|Opex forecast'!S94,"")</f>
        <v>16.787537699015331</v>
      </c>
      <c r="S20" s="266">
        <f>IF('Calc|Opex forecast'!T110='Calc|Opex forecast'!T4,'Calc|Opex forecast'!T94,"")</f>
        <v>0</v>
      </c>
      <c r="T20" s="266"/>
      <c r="U20" s="267">
        <f t="shared" si="3"/>
        <v>75.339986966942206</v>
      </c>
      <c r="V20" s="268">
        <f t="shared" ca="1" si="0"/>
        <v>0.14750241641463391</v>
      </c>
      <c r="W20" s="261"/>
      <c r="X20" s="266">
        <f ca="1">SUM($U$11:$U19)-AA20</f>
        <v>501.17818690032573</v>
      </c>
      <c r="Y20" s="266"/>
      <c r="Z20" s="266">
        <f t="shared" si="1"/>
        <v>75.339986966942206</v>
      </c>
      <c r="AA20" s="266">
        <f t="shared" si="2"/>
        <v>0</v>
      </c>
      <c r="AB20" s="264"/>
      <c r="AC20" s="264"/>
      <c r="AD20" s="264"/>
      <c r="AE20" s="264"/>
      <c r="AF20" s="264"/>
      <c r="AG20" s="261"/>
      <c r="AH20" s="261"/>
      <c r="AI20" s="261"/>
      <c r="AJ20" s="261"/>
      <c r="AK20" s="261"/>
      <c r="AL20" s="261"/>
      <c r="AM20" s="261"/>
    </row>
    <row r="21" spans="1:39" ht="14.5">
      <c r="A21" s="261"/>
      <c r="B21" s="15" t="s">
        <v>113</v>
      </c>
      <c r="C21" s="108" t="s">
        <v>221</v>
      </c>
      <c r="D21" s="16" t="str">
        <f>'Calc|Opex forecast'!$E$8</f>
        <v>$millions</v>
      </c>
      <c r="E21" s="233">
        <f>'Calc|Opex forecast'!$F$8</f>
        <v>46174</v>
      </c>
      <c r="F21" s="16"/>
      <c r="G21" s="16"/>
      <c r="H21" s="16"/>
      <c r="I21" s="266" t="str">
        <f>IF('Calc|Opex forecast'!J110='Calc|Opex forecast'!J4,'Calc|Opex forecast'!J106,"")</f>
        <v/>
      </c>
      <c r="J21" s="266" t="str">
        <f>IF('Calc|Opex forecast'!K110='Calc|Opex forecast'!K4,'Calc|Opex forecast'!K106,"")</f>
        <v/>
      </c>
      <c r="K21" s="266" t="str">
        <f>IF('Calc|Opex forecast'!L110='Calc|Opex forecast'!L4,'Calc|Opex forecast'!L106,"")</f>
        <v/>
      </c>
      <c r="L21" s="266" t="str">
        <f>IF('Calc|Opex forecast'!M110='Calc|Opex forecast'!M4,'Calc|Opex forecast'!M106,"")</f>
        <v/>
      </c>
      <c r="M21" s="266" t="str">
        <f>IF('Calc|Opex forecast'!N110='Calc|Opex forecast'!N4,'Calc|Opex forecast'!N106,"")</f>
        <v/>
      </c>
      <c r="N21" s="266">
        <f>IF('Calc|Opex forecast'!O110='Calc|Opex forecast'!O4,'Calc|Opex forecast'!O106,"")</f>
        <v>0.76883667452347937</v>
      </c>
      <c r="O21" s="266">
        <f>IF('Calc|Opex forecast'!P110='Calc|Opex forecast'!P4,'Calc|Opex forecast'!P106,"")</f>
        <v>0.76732896146082918</v>
      </c>
      <c r="P21" s="266">
        <f>IF('Calc|Opex forecast'!Q110='Calc|Opex forecast'!Q4,'Calc|Opex forecast'!Q106,"")</f>
        <v>0.52836159864424004</v>
      </c>
      <c r="Q21" s="266">
        <f>IF('Calc|Opex forecast'!R110='Calc|Opex forecast'!R4,'Calc|Opex forecast'!R106,"")</f>
        <v>0.52693350619823864</v>
      </c>
      <c r="R21" s="266">
        <f>IF('Calc|Opex forecast'!S110='Calc|Opex forecast'!S4,'Calc|Opex forecast'!S106,"")</f>
        <v>0.52554363314757291</v>
      </c>
      <c r="S21" s="266">
        <f>IF('Calc|Opex forecast'!T110='Calc|Opex forecast'!T4,'Calc|Opex forecast'!T106,"")</f>
        <v>0</v>
      </c>
      <c r="T21" s="266"/>
      <c r="U21" s="267">
        <f t="shared" si="3"/>
        <v>3.11700437397436</v>
      </c>
      <c r="V21" s="268">
        <f t="shared" ca="1" si="0"/>
        <v>5.3465445119541223E-3</v>
      </c>
      <c r="W21" s="261"/>
      <c r="X21" s="266">
        <f ca="1">SUM($U$11:$U20)-AA21</f>
        <v>576.51817386726793</v>
      </c>
      <c r="Y21" s="266"/>
      <c r="Z21" s="266">
        <f t="shared" si="1"/>
        <v>3.11700437397436</v>
      </c>
      <c r="AA21" s="266">
        <f t="shared" si="2"/>
        <v>0</v>
      </c>
      <c r="AB21" s="264"/>
      <c r="AC21" s="264"/>
      <c r="AD21" s="264"/>
      <c r="AE21" s="264"/>
      <c r="AF21" s="264"/>
      <c r="AG21" s="261"/>
      <c r="AH21" s="261"/>
      <c r="AI21" s="261"/>
      <c r="AJ21" s="261"/>
      <c r="AK21" s="261"/>
      <c r="AL21" s="261"/>
      <c r="AM21" s="261"/>
    </row>
    <row r="22" spans="1:39" ht="14.5">
      <c r="A22" s="261"/>
      <c r="B22" s="15" t="s">
        <v>39</v>
      </c>
      <c r="C22" s="108" t="s">
        <v>221</v>
      </c>
      <c r="D22" s="16" t="str">
        <f>'Calc|Opex forecast'!$E$8</f>
        <v>$millions</v>
      </c>
      <c r="E22" s="233">
        <f>'Calc|Opex forecast'!$F$8</f>
        <v>46174</v>
      </c>
      <c r="F22" s="16"/>
      <c r="G22" s="16"/>
      <c r="H22" s="16"/>
      <c r="I22" s="266" t="str">
        <f>IF('Calc|Opex forecast'!J110='Calc|Opex forecast'!J4,'Input|Step changes'!J47,"")</f>
        <v/>
      </c>
      <c r="J22" s="266" t="str">
        <f>IF('Calc|Opex forecast'!K110='Calc|Opex forecast'!K4,'Input|Step changes'!K47,"")</f>
        <v/>
      </c>
      <c r="K22" s="266" t="str">
        <f>IF('Calc|Opex forecast'!L110='Calc|Opex forecast'!L4,'Input|Step changes'!L47,"")</f>
        <v/>
      </c>
      <c r="L22" s="266" t="str">
        <f>IF('Calc|Opex forecast'!M110='Calc|Opex forecast'!M4,'Input|Step changes'!M47,"")</f>
        <v/>
      </c>
      <c r="M22" s="266" t="str">
        <f>IF('Calc|Opex forecast'!N110='Calc|Opex forecast'!N4,'Input|Step changes'!N47,"")</f>
        <v/>
      </c>
      <c r="N22" s="266">
        <f>IF('Calc|Opex forecast'!O110='Calc|Opex forecast'!O4,'Input|Step changes'!O47,"")</f>
        <v>1.1833995797970864</v>
      </c>
      <c r="O22" s="266">
        <f>IF('Calc|Opex forecast'!P110='Calc|Opex forecast'!P4,'Input|Step changes'!P47,"")</f>
        <v>1.2525648720352842</v>
      </c>
      <c r="P22" s="266">
        <f>IF('Calc|Opex forecast'!Q110='Calc|Opex forecast'!Q4,'Input|Step changes'!Q47,"")</f>
        <v>1.3178286939824657</v>
      </c>
      <c r="Q22" s="266">
        <f>IF('Calc|Opex forecast'!R110='Calc|Opex forecast'!R4,'Input|Step changes'!R47,"")</f>
        <v>1.3523796999261264</v>
      </c>
      <c r="R22" s="266">
        <f>IF('Calc|Opex forecast'!S110='Calc|Opex forecast'!S4,'Input|Step changes'!S47,"")</f>
        <v>1.3698408421823731</v>
      </c>
      <c r="S22" s="266">
        <f>IF('Calc|Opex forecast'!T110='Calc|Opex forecast'!T4,'Input|Step changes'!T47,"")</f>
        <v>0</v>
      </c>
      <c r="T22" s="266"/>
      <c r="U22" s="267">
        <f t="shared" si="3"/>
        <v>6.4760136879233361</v>
      </c>
      <c r="V22" s="268">
        <f t="shared" ca="1" si="0"/>
        <v>1.1172568420662764E-2</v>
      </c>
      <c r="W22" s="261"/>
      <c r="X22" s="266">
        <f ca="1">SUM($U$11:$U21)-AA22</f>
        <v>579.63517824124233</v>
      </c>
      <c r="Y22" s="266"/>
      <c r="Z22" s="266">
        <f t="shared" si="1"/>
        <v>6.4760136879233361</v>
      </c>
      <c r="AA22" s="266">
        <f t="shared" si="2"/>
        <v>0</v>
      </c>
      <c r="AB22" s="264"/>
      <c r="AC22" s="264"/>
      <c r="AD22" s="264"/>
      <c r="AE22" s="264"/>
      <c r="AF22" s="264"/>
      <c r="AG22" s="261"/>
      <c r="AH22" s="261"/>
      <c r="AI22" s="261"/>
      <c r="AJ22" s="261"/>
      <c r="AK22" s="261"/>
      <c r="AL22" s="261"/>
      <c r="AM22" s="261"/>
    </row>
    <row r="23" spans="1:39" ht="14.5">
      <c r="A23" s="261"/>
      <c r="B23" s="15" t="s">
        <v>228</v>
      </c>
      <c r="C23" s="108" t="s">
        <v>221</v>
      </c>
      <c r="D23" s="16" t="str">
        <f>'Calc|Opex forecast'!$E$8</f>
        <v>$millions</v>
      </c>
      <c r="E23" s="233">
        <f>'Calc|Opex forecast'!$F$8</f>
        <v>46174</v>
      </c>
      <c r="F23" s="16"/>
      <c r="G23" s="16"/>
      <c r="H23" s="16"/>
      <c r="I23" s="266"/>
      <c r="J23" s="266"/>
      <c r="K23" s="266"/>
      <c r="L23" s="266"/>
      <c r="M23" s="266"/>
      <c r="N23" s="266">
        <f ca="1">'Calc|Opex forecast'!O114</f>
        <v>108.18320128310739</v>
      </c>
      <c r="O23" s="266">
        <f ca="1">'Calc|Opex forecast'!P114</f>
        <v>115.49121499422019</v>
      </c>
      <c r="P23" s="266">
        <f ca="1">'Calc|Opex forecast'!Q114</f>
        <v>118.1438203864697</v>
      </c>
      <c r="Q23" s="266">
        <f ca="1">'Calc|Opex forecast'!R114</f>
        <v>121.4781548160918</v>
      </c>
      <c r="R23" s="266">
        <f ca="1">'Calc|Opex forecast'!S114</f>
        <v>122.81480044927659</v>
      </c>
      <c r="S23" s="266">
        <f>'Calc|Opex forecast'!T114</f>
        <v>0</v>
      </c>
      <c r="T23" s="266"/>
      <c r="U23" s="267">
        <f ca="1">SUM(I23:S23)</f>
        <v>586.11119192916567</v>
      </c>
      <c r="V23" s="271" t="str">
        <f ca="1">IF(ROUND(U23,6)=ROUND(SUM(U11:U22),6),"OK","Check")</f>
        <v>OK</v>
      </c>
      <c r="W23" s="261"/>
      <c r="X23" s="266"/>
      <c r="Y23" s="266">
        <f ca="1">U23</f>
        <v>586.11119192916567</v>
      </c>
      <c r="Z23" s="266"/>
      <c r="AA23" s="266"/>
      <c r="AB23" s="264"/>
      <c r="AC23" s="261"/>
      <c r="AD23" s="272"/>
      <c r="AE23" s="261"/>
      <c r="AF23" s="264"/>
      <c r="AG23" s="261"/>
      <c r="AH23" s="261"/>
      <c r="AI23" s="261"/>
      <c r="AJ23" s="261"/>
      <c r="AK23" s="261"/>
      <c r="AL23" s="261"/>
      <c r="AM23" s="261"/>
    </row>
    <row r="24" spans="1:39" ht="14.5">
      <c r="A24" s="261"/>
      <c r="B24" s="15"/>
      <c r="C24" s="15"/>
      <c r="D24" s="15"/>
      <c r="E24" s="15"/>
      <c r="F24" s="16"/>
      <c r="G24" s="16"/>
      <c r="H24" s="1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  <c r="V24" s="268"/>
      <c r="W24" s="261"/>
      <c r="X24" s="264"/>
      <c r="Y24" s="264"/>
      <c r="Z24" s="264"/>
      <c r="AA24" s="264"/>
      <c r="AB24" s="264"/>
      <c r="AC24" s="264"/>
      <c r="AD24" s="264"/>
      <c r="AE24" s="264"/>
      <c r="AF24" s="264"/>
      <c r="AG24" s="261"/>
      <c r="AH24" s="261"/>
      <c r="AI24" s="261"/>
      <c r="AJ24" s="261"/>
      <c r="AK24" s="261"/>
      <c r="AL24" s="261"/>
      <c r="AM24" s="261"/>
    </row>
    <row r="25" spans="1:39" ht="14.5">
      <c r="A25" s="261"/>
      <c r="B25" s="273"/>
      <c r="C25" s="273"/>
      <c r="D25" s="273"/>
      <c r="E25" s="273"/>
      <c r="F25" s="16"/>
      <c r="G25" s="16"/>
      <c r="H25" s="16"/>
      <c r="I25" s="273"/>
      <c r="J25" s="273"/>
      <c r="K25" s="273"/>
      <c r="L25" s="273"/>
      <c r="M25" s="273"/>
      <c r="N25" s="261"/>
      <c r="O25" s="261"/>
      <c r="P25" s="261"/>
      <c r="Q25" s="261"/>
      <c r="R25" s="261"/>
      <c r="S25" s="261"/>
      <c r="T25" s="274"/>
      <c r="U25" s="275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</row>
    <row r="26" spans="1:39" ht="14.5">
      <c r="A26" s="261"/>
      <c r="B26" s="261"/>
      <c r="C26" s="261"/>
      <c r="D26" s="261"/>
      <c r="E26" s="261"/>
      <c r="F26" s="16"/>
      <c r="G26" s="16"/>
      <c r="H26" s="16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</row>
    <row r="27" spans="1:39" ht="14.5">
      <c r="A27" s="261"/>
      <c r="B27" s="261"/>
      <c r="C27" s="261"/>
      <c r="D27" s="261"/>
      <c r="E27" s="261"/>
      <c r="F27" s="16"/>
      <c r="G27" s="16"/>
      <c r="H27" s="16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</row>
    <row r="28" spans="1:39" ht="14.5">
      <c r="A28" s="261"/>
      <c r="B28" s="261"/>
      <c r="C28" s="261"/>
      <c r="D28" s="261"/>
      <c r="E28" s="261"/>
      <c r="F28" s="16"/>
      <c r="G28" s="16"/>
      <c r="H28" s="16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</row>
    <row r="29" spans="1:39" ht="14.5">
      <c r="A29" s="261"/>
      <c r="B29" s="261"/>
      <c r="C29" s="261"/>
      <c r="D29" s="261"/>
      <c r="E29" s="261"/>
      <c r="F29" s="16"/>
      <c r="G29" s="16"/>
      <c r="H29" s="16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</row>
    <row r="30" spans="1:39" ht="14.5">
      <c r="A30" s="261"/>
      <c r="B30" s="261"/>
      <c r="C30" s="261"/>
      <c r="D30" s="261"/>
      <c r="E30" s="261"/>
      <c r="F30" s="16"/>
      <c r="G30" s="16"/>
      <c r="H30" s="16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76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</row>
    <row r="31" spans="1:39" ht="13">
      <c r="A31" s="43"/>
      <c r="B31" s="51" t="s">
        <v>21</v>
      </c>
      <c r="C31" s="43"/>
      <c r="D31" s="43"/>
      <c r="E31" s="43"/>
      <c r="F31" s="44"/>
      <c r="G31" s="44"/>
      <c r="H31" s="44"/>
      <c r="I31" s="44"/>
      <c r="J31" s="45"/>
      <c r="K31" s="217"/>
      <c r="L31" s="45"/>
      <c r="M31" s="217"/>
      <c r="N31" s="45"/>
      <c r="O31" s="45"/>
      <c r="P31" s="45"/>
      <c r="Q31" s="45"/>
      <c r="R31" s="45"/>
      <c r="S31" s="45"/>
      <c r="T31" s="45"/>
      <c r="U31" s="45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</row>
  </sheetData>
  <sheetProtection selectLockedCells="1"/>
  <mergeCells count="1">
    <mergeCell ref="M2:R2"/>
  </mergeCells>
  <conditionalFormatting sqref="I9:S9">
    <cfRule type="expression" dxfId="23" priority="18">
      <formula>I$88=I$4</formula>
    </cfRule>
  </conditionalFormatting>
  <conditionalFormatting sqref="I11:T11 I12:V22 I23:U23 I24:V24">
    <cfRule type="cellIs" dxfId="22" priority="15" operator="equal">
      <formula>0</formula>
    </cfRule>
  </conditionalFormatting>
  <conditionalFormatting sqref="U10:V11">
    <cfRule type="cellIs" dxfId="21" priority="6" operator="equal">
      <formula>0</formula>
    </cfRule>
  </conditionalFormatting>
  <conditionalFormatting sqref="V1">
    <cfRule type="cellIs" dxfId="20" priority="9" operator="equal">
      <formula>"Check"</formula>
    </cfRule>
    <cfRule type="cellIs" dxfId="19" priority="10" operator="equal">
      <formula>"Ok"</formula>
    </cfRule>
  </conditionalFormatting>
  <conditionalFormatting sqref="V23">
    <cfRule type="cellIs" dxfId="18" priority="13" operator="equal">
      <formula>"Check"</formula>
    </cfRule>
    <cfRule type="cellIs" dxfId="17" priority="14" operator="equal">
      <formula>"Ok"</formula>
    </cfRule>
  </conditionalFormatting>
  <conditionalFormatting sqref="X11:AA23">
    <cfRule type="cellIs" dxfId="16" priority="11" operator="equal">
      <formula>0</formula>
    </cfRule>
  </conditionalFormatting>
  <conditionalFormatting sqref="Y1">
    <cfRule type="cellIs" dxfId="15" priority="16" operator="equal">
      <formula>"Check"</formula>
    </cfRule>
    <cfRule type="cellIs" dxfId="14" priority="17" operator="equal">
      <formula>"Ok"</formula>
    </cfRule>
  </conditionalFormatting>
  <dataValidations count="1">
    <dataValidation type="custom" allowBlank="1" showInputMessage="1" showErrorMessage="1" sqref="I1 X1" xr:uid="{A98FC464-B235-4637-A5BD-EC01B0AACA2C}">
      <formula1>"&lt;0&gt;0"</formula1>
    </dataValidation>
  </dataValidations>
  <hyperlinks>
    <hyperlink ref="I1" location="Index!A1" display="Back to Index" xr:uid="{AB24B434-B3DB-49F0-89D3-E4BE1A90D8F6}"/>
    <hyperlink ref="X1" location="'Check|List'!A1" display="Overall Check:" xr:uid="{3A1B4F88-464C-478B-92B3-F0B4C1A68AAA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96"/>
  <sheetViews>
    <sheetView showGridLines="0" workbookViewId="0">
      <selection activeCell="C10" sqref="C1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6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customFormat="1" ht="13">
      <c r="A5" s="43"/>
      <c r="B5" s="51" t="s">
        <v>202</v>
      </c>
      <c r="C5" s="43"/>
      <c r="D5" s="43"/>
      <c r="E5" s="43"/>
      <c r="F5" s="44"/>
      <c r="G5" s="44"/>
      <c r="H5" s="44"/>
      <c r="I5" s="44"/>
      <c r="J5" s="45"/>
      <c r="K5" s="217"/>
      <c r="L5" s="45"/>
      <c r="M5" s="217"/>
      <c r="N5" s="45"/>
      <c r="O5" s="45"/>
      <c r="P5" s="45"/>
      <c r="Q5" s="45"/>
      <c r="R5" s="45"/>
      <c r="S5" s="45"/>
      <c r="T5" s="45"/>
      <c r="U5" s="45"/>
      <c r="V5" s="217"/>
      <c r="W5" s="217"/>
      <c r="X5" s="48"/>
      <c r="Y5" s="48"/>
      <c r="Z5" s="48"/>
      <c r="AA5" s="48"/>
      <c r="AB5" s="48"/>
      <c r="AC5" s="49"/>
      <c r="AD5" s="49"/>
    </row>
    <row r="6" spans="1:47"/>
    <row r="7" spans="1:47" ht="10.5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47">
      <c r="C8" s="15" t="s">
        <v>194</v>
      </c>
      <c r="D8" s="16" t="s">
        <v>203</v>
      </c>
      <c r="E8" s="16"/>
      <c r="F8" s="16"/>
      <c r="G8" s="52" t="s">
        <v>194</v>
      </c>
    </row>
    <row r="9" spans="1:47">
      <c r="C9" s="15" t="s">
        <v>204</v>
      </c>
      <c r="D9" s="16" t="s">
        <v>203</v>
      </c>
      <c r="E9" s="16"/>
      <c r="F9" s="16"/>
      <c r="G9" s="52" t="s">
        <v>204</v>
      </c>
    </row>
    <row r="10" spans="1:47">
      <c r="C10" s="15" t="s">
        <v>205</v>
      </c>
      <c r="D10" s="16" t="s">
        <v>73</v>
      </c>
      <c r="E10" s="16"/>
      <c r="F10" s="16"/>
      <c r="G10" s="52" t="s">
        <v>205</v>
      </c>
      <c r="T10" s="17"/>
    </row>
    <row r="11" spans="1:47">
      <c r="C11" s="15" t="s">
        <v>206</v>
      </c>
      <c r="D11" s="16" t="s">
        <v>203</v>
      </c>
      <c r="E11" s="16"/>
      <c r="F11" s="16"/>
      <c r="G11" s="52" t="s">
        <v>206</v>
      </c>
    </row>
    <row r="12" spans="1:47">
      <c r="C12" s="15" t="s">
        <v>207</v>
      </c>
      <c r="D12" s="16" t="s">
        <v>73</v>
      </c>
      <c r="E12" s="16"/>
      <c r="F12" s="16"/>
      <c r="G12" s="52" t="s">
        <v>207</v>
      </c>
      <c r="T12" s="17"/>
    </row>
    <row r="13" spans="1:47" s="6" customFormat="1" ht="11.25" customHeight="1">
      <c r="D13" s="20"/>
      <c r="E13" s="20"/>
    </row>
    <row r="14" spans="1:47" customFormat="1" ht="13">
      <c r="A14" s="43"/>
      <c r="B14" s="51" t="s">
        <v>19</v>
      </c>
      <c r="C14" s="43"/>
      <c r="D14" s="43"/>
      <c r="E14" s="43"/>
      <c r="F14" s="44"/>
      <c r="G14" s="44"/>
      <c r="H14" s="44"/>
      <c r="I14" s="44"/>
      <c r="J14" s="45"/>
      <c r="K14" s="46"/>
      <c r="L14" s="45"/>
      <c r="M14" s="46"/>
      <c r="N14" s="45"/>
      <c r="O14" s="45"/>
      <c r="P14" s="45"/>
      <c r="Q14" s="45"/>
      <c r="R14" s="45"/>
      <c r="S14" s="45"/>
      <c r="T14" s="45"/>
      <c r="U14" s="45"/>
      <c r="V14" s="46"/>
      <c r="W14" s="46"/>
      <c r="X14" s="47"/>
      <c r="Y14" s="47"/>
      <c r="Z14" s="47"/>
      <c r="AA14" s="47"/>
      <c r="AB14" s="48"/>
      <c r="AC14" s="49"/>
      <c r="AD14" s="49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</row>
    <row r="15" spans="1:47"/>
    <row r="16" spans="1:47" ht="11.25" customHeight="1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47">
      <c r="C17" s="15" t="s">
        <v>10</v>
      </c>
      <c r="D17" s="16" t="s">
        <v>73</v>
      </c>
      <c r="E17" s="16"/>
      <c r="F17" s="16"/>
      <c r="G17" s="52" t="s">
        <v>12</v>
      </c>
    </row>
    <row r="18" spans="1:47">
      <c r="C18" s="15" t="s">
        <v>13</v>
      </c>
      <c r="D18" s="16" t="s">
        <v>73</v>
      </c>
      <c r="E18" s="16"/>
      <c r="F18" s="16"/>
      <c r="G18" s="52" t="s">
        <v>20</v>
      </c>
    </row>
    <row r="19" spans="1:47">
      <c r="C19" s="15" t="s">
        <v>14</v>
      </c>
      <c r="D19" s="16" t="s">
        <v>73</v>
      </c>
      <c r="E19" s="16"/>
      <c r="F19" s="16"/>
      <c r="G19" s="52" t="s">
        <v>15</v>
      </c>
      <c r="T19" s="17"/>
    </row>
    <row r="20" spans="1:47">
      <c r="F20" s="8"/>
      <c r="G20" s="8"/>
    </row>
    <row r="21" spans="1:47">
      <c r="C21" s="15" t="s">
        <v>16</v>
      </c>
      <c r="D21" s="16" t="s">
        <v>73</v>
      </c>
      <c r="E21" s="16"/>
      <c r="F21" s="16"/>
      <c r="G21" s="52" t="s">
        <v>31</v>
      </c>
    </row>
    <row r="22" spans="1:47">
      <c r="C22" s="15" t="s">
        <v>8</v>
      </c>
      <c r="D22" s="16" t="s">
        <v>73</v>
      </c>
      <c r="E22" s="16"/>
      <c r="F22" s="16"/>
      <c r="G22" s="52" t="s">
        <v>11</v>
      </c>
    </row>
    <row r="23" spans="1:47">
      <c r="C23" s="15" t="s">
        <v>17</v>
      </c>
      <c r="D23" s="16" t="s">
        <v>73</v>
      </c>
      <c r="E23" s="16"/>
      <c r="F23" s="16"/>
      <c r="G23" s="52" t="s">
        <v>18</v>
      </c>
    </row>
    <row r="24" spans="1:47">
      <c r="C24" s="15" t="s">
        <v>37</v>
      </c>
      <c r="D24" s="16" t="s">
        <v>73</v>
      </c>
      <c r="E24" s="16"/>
      <c r="F24" s="16"/>
      <c r="G24" s="52" t="s">
        <v>38</v>
      </c>
    </row>
    <row r="25" spans="1:47">
      <c r="C25" s="15"/>
      <c r="D25" s="16"/>
      <c r="E25" s="16"/>
      <c r="F25" s="16"/>
      <c r="G25" s="8"/>
    </row>
    <row r="26" spans="1:47">
      <c r="C26" s="15" t="s">
        <v>23</v>
      </c>
      <c r="D26" s="16" t="s">
        <v>73</v>
      </c>
      <c r="E26" s="16"/>
      <c r="F26" s="16"/>
      <c r="G26" s="52" t="s">
        <v>23</v>
      </c>
    </row>
    <row r="27" spans="1:47">
      <c r="C27" s="15" t="s">
        <v>78</v>
      </c>
      <c r="D27" s="16" t="s">
        <v>73</v>
      </c>
      <c r="E27" s="16"/>
      <c r="F27" s="16"/>
      <c r="G27" s="52" t="s">
        <v>78</v>
      </c>
    </row>
    <row r="28" spans="1:47">
      <c r="C28" s="15"/>
      <c r="D28" s="16"/>
      <c r="E28" s="16"/>
      <c r="F28" s="16"/>
      <c r="G28" s="8"/>
    </row>
    <row r="29" spans="1:47" customFormat="1" ht="13">
      <c r="A29" s="43"/>
      <c r="B29" s="51" t="s">
        <v>126</v>
      </c>
      <c r="C29" s="43"/>
      <c r="D29" s="43"/>
      <c r="E29" s="43"/>
      <c r="F29" s="44"/>
      <c r="G29" s="44"/>
      <c r="H29" s="44"/>
      <c r="I29" s="44"/>
      <c r="J29" s="45"/>
      <c r="K29" s="46"/>
      <c r="L29" s="45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  <c r="Y29" s="47"/>
      <c r="Z29" s="47"/>
      <c r="AA29" s="47"/>
      <c r="AB29" s="48"/>
      <c r="AC29" s="49"/>
      <c r="AD29" s="49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/>
    <row r="31" spans="1:47" ht="10.5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47" ht="10.5">
      <c r="C32" s="15" t="s">
        <v>127</v>
      </c>
      <c r="D32" s="16" t="s">
        <v>73</v>
      </c>
      <c r="E32" s="16"/>
      <c r="F32" s="16"/>
      <c r="G32" s="151">
        <v>36526</v>
      </c>
      <c r="H32" s="14"/>
    </row>
    <row r="33" spans="1:47" ht="10.5">
      <c r="C33" s="15" t="s">
        <v>128</v>
      </c>
      <c r="D33" s="16" t="s">
        <v>73</v>
      </c>
      <c r="E33" s="16"/>
      <c r="F33" s="16"/>
      <c r="G33" s="151">
        <v>36557</v>
      </c>
      <c r="H33" s="14"/>
    </row>
    <row r="34" spans="1:47" ht="10.5">
      <c r="C34" s="15" t="s">
        <v>129</v>
      </c>
      <c r="D34" s="16" t="s">
        <v>73</v>
      </c>
      <c r="E34" s="16"/>
      <c r="F34" s="16"/>
      <c r="G34" s="151">
        <v>36586</v>
      </c>
      <c r="H34" s="14"/>
    </row>
    <row r="35" spans="1:47">
      <c r="C35" s="15" t="s">
        <v>130</v>
      </c>
      <c r="D35" s="16" t="s">
        <v>73</v>
      </c>
      <c r="E35" s="16"/>
      <c r="F35" s="16"/>
      <c r="G35" s="151">
        <v>36617</v>
      </c>
    </row>
    <row r="36" spans="1:47">
      <c r="C36" s="15" t="s">
        <v>131</v>
      </c>
      <c r="D36" s="16" t="s">
        <v>73</v>
      </c>
      <c r="E36" s="16"/>
      <c r="F36" s="16"/>
      <c r="G36" s="151">
        <v>36647</v>
      </c>
    </row>
    <row r="37" spans="1:47">
      <c r="C37" s="15" t="s">
        <v>132</v>
      </c>
      <c r="D37" s="16" t="s">
        <v>73</v>
      </c>
      <c r="E37" s="16"/>
      <c r="F37" s="16"/>
      <c r="G37" s="151">
        <v>36678</v>
      </c>
      <c r="T37" s="17"/>
    </row>
    <row r="38" spans="1:47">
      <c r="C38" s="15" t="s">
        <v>133</v>
      </c>
      <c r="D38" s="16" t="s">
        <v>73</v>
      </c>
      <c r="E38" s="16"/>
      <c r="F38" s="16"/>
      <c r="G38" s="151">
        <v>36708</v>
      </c>
      <c r="T38" s="17"/>
    </row>
    <row r="39" spans="1:47">
      <c r="C39" s="15" t="s">
        <v>134</v>
      </c>
      <c r="D39" s="16" t="s">
        <v>73</v>
      </c>
      <c r="E39" s="16"/>
      <c r="F39" s="16"/>
      <c r="G39" s="151">
        <v>36739</v>
      </c>
      <c r="T39" s="17"/>
    </row>
    <row r="40" spans="1:47">
      <c r="C40" s="15" t="s">
        <v>135</v>
      </c>
      <c r="D40" s="16" t="s">
        <v>73</v>
      </c>
      <c r="E40" s="16"/>
      <c r="F40" s="16"/>
      <c r="G40" s="151">
        <v>36770</v>
      </c>
      <c r="T40" s="17"/>
    </row>
    <row r="41" spans="1:47">
      <c r="C41" s="15" t="s">
        <v>136</v>
      </c>
      <c r="D41" s="16" t="s">
        <v>73</v>
      </c>
      <c r="E41" s="16"/>
      <c r="F41" s="16"/>
      <c r="G41" s="151">
        <v>36800</v>
      </c>
      <c r="T41" s="17"/>
    </row>
    <row r="42" spans="1:47">
      <c r="C42" s="15" t="s">
        <v>137</v>
      </c>
      <c r="D42" s="16" t="s">
        <v>73</v>
      </c>
      <c r="E42" s="16"/>
      <c r="F42" s="16"/>
      <c r="G42" s="151">
        <v>36831</v>
      </c>
      <c r="T42" s="17"/>
    </row>
    <row r="43" spans="1:47">
      <c r="C43" s="15" t="s">
        <v>138</v>
      </c>
      <c r="D43" s="16" t="s">
        <v>73</v>
      </c>
      <c r="E43" s="16"/>
      <c r="F43" s="16"/>
      <c r="G43" s="151">
        <v>36861</v>
      </c>
      <c r="T43" s="17"/>
    </row>
    <row r="44" spans="1:47">
      <c r="C44" s="15"/>
      <c r="D44" s="16"/>
      <c r="E44" s="16"/>
      <c r="F44" s="16"/>
      <c r="T44" s="17"/>
    </row>
    <row r="45" spans="1:47" customFormat="1" ht="13">
      <c r="A45" s="43"/>
      <c r="B45" s="51" t="s">
        <v>74</v>
      </c>
      <c r="C45" s="43"/>
      <c r="D45" s="43"/>
      <c r="E45" s="43"/>
      <c r="F45" s="44"/>
      <c r="G45" s="44"/>
      <c r="H45" s="44"/>
      <c r="I45" s="44"/>
      <c r="J45" s="45"/>
      <c r="K45" s="46"/>
      <c r="L45" s="45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  <c r="Y45" s="47"/>
      <c r="Z45" s="47"/>
      <c r="AA45" s="47"/>
      <c r="AB45" s="48"/>
      <c r="AC45" s="49"/>
      <c r="AD45" s="49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</row>
    <row r="46" spans="1:47"/>
    <row r="47" spans="1:47" ht="10.5">
      <c r="C47" s="13" t="str">
        <f>B45</f>
        <v>Years</v>
      </c>
      <c r="D47" s="21" t="s">
        <v>7</v>
      </c>
      <c r="E47" s="21"/>
      <c r="F47" s="14"/>
      <c r="G47" s="14" t="s">
        <v>161</v>
      </c>
      <c r="H47" s="14" t="s">
        <v>159</v>
      </c>
      <c r="I47" s="14" t="s">
        <v>160</v>
      </c>
    </row>
    <row r="48" spans="1:47">
      <c r="C48" s="157">
        <v>40695</v>
      </c>
      <c r="D48" s="16" t="s">
        <v>73</v>
      </c>
      <c r="E48" s="16"/>
      <c r="F48" s="16"/>
      <c r="G48" s="152">
        <v>2011</v>
      </c>
      <c r="H48" s="180">
        <f>DATE(G48,MONTH('Input|General'!$G$9),1)</f>
        <v>40695</v>
      </c>
      <c r="I48" s="178" t="str">
        <f>G48-1&amp;"–"&amp;RIGHT(G48,2)</f>
        <v>2010–11</v>
      </c>
    </row>
    <row r="49" spans="3:20">
      <c r="C49" s="157">
        <v>41061</v>
      </c>
      <c r="D49" s="16" t="s">
        <v>73</v>
      </c>
      <c r="E49" s="16"/>
      <c r="F49" s="16"/>
      <c r="G49" s="152">
        <v>2012</v>
      </c>
      <c r="H49" s="180">
        <f>DATE(G49,MONTH('Input|General'!$G$9),1)</f>
        <v>41061</v>
      </c>
      <c r="I49" s="178" t="str">
        <f t="shared" ref="I49:I67" si="0">G49-1&amp;"–"&amp;RIGHT(G49,2)</f>
        <v>2011–12</v>
      </c>
    </row>
    <row r="50" spans="3:20">
      <c r="C50" s="157">
        <v>41426</v>
      </c>
      <c r="D50" s="16" t="s">
        <v>73</v>
      </c>
      <c r="E50" s="16"/>
      <c r="F50" s="16"/>
      <c r="G50" s="152">
        <v>2013</v>
      </c>
      <c r="H50" s="180">
        <f>DATE(G50,MONTH('Input|General'!$G$9),1)</f>
        <v>41426</v>
      </c>
      <c r="I50" s="178" t="str">
        <f t="shared" si="0"/>
        <v>2012–13</v>
      </c>
    </row>
    <row r="51" spans="3:20">
      <c r="C51" s="157">
        <v>41791</v>
      </c>
      <c r="D51" s="16" t="s">
        <v>73</v>
      </c>
      <c r="E51" s="16"/>
      <c r="F51" s="16"/>
      <c r="G51" s="152">
        <v>2014</v>
      </c>
      <c r="H51" s="180">
        <f>DATE(G51,MONTH('Input|General'!$G$9),1)</f>
        <v>41791</v>
      </c>
      <c r="I51" s="178" t="str">
        <f t="shared" si="0"/>
        <v>2013–14</v>
      </c>
    </row>
    <row r="52" spans="3:20">
      <c r="C52" s="157">
        <v>42156</v>
      </c>
      <c r="D52" s="16" t="s">
        <v>73</v>
      </c>
      <c r="E52" s="16"/>
      <c r="F52" s="16"/>
      <c r="G52" s="152">
        <v>2015</v>
      </c>
      <c r="H52" s="180">
        <f>DATE(G52,MONTH('Input|General'!$G$9),1)</f>
        <v>42156</v>
      </c>
      <c r="I52" s="178" t="str">
        <f t="shared" si="0"/>
        <v>2014–15</v>
      </c>
      <c r="T52" s="17"/>
    </row>
    <row r="53" spans="3:20">
      <c r="C53" s="157">
        <v>42522</v>
      </c>
      <c r="D53" s="16" t="s">
        <v>73</v>
      </c>
      <c r="E53" s="16"/>
      <c r="F53" s="16"/>
      <c r="G53" s="152">
        <v>2016</v>
      </c>
      <c r="H53" s="180">
        <f>DATE(G53,MONTH('Input|General'!$G$9),1)</f>
        <v>42522</v>
      </c>
      <c r="I53" s="178" t="str">
        <f t="shared" si="0"/>
        <v>2015–16</v>
      </c>
      <c r="T53" s="17"/>
    </row>
    <row r="54" spans="3:20">
      <c r="C54" s="157">
        <v>42887</v>
      </c>
      <c r="D54" s="16" t="s">
        <v>73</v>
      </c>
      <c r="E54" s="16"/>
      <c r="F54" s="16"/>
      <c r="G54" s="152">
        <v>2017</v>
      </c>
      <c r="H54" s="180">
        <f>DATE(G54,MONTH('Input|General'!$G$9),1)</f>
        <v>42887</v>
      </c>
      <c r="I54" s="178" t="str">
        <f t="shared" si="0"/>
        <v>2016–17</v>
      </c>
      <c r="T54" s="17"/>
    </row>
    <row r="55" spans="3:20">
      <c r="C55" s="157">
        <v>43252</v>
      </c>
      <c r="D55" s="16" t="s">
        <v>73</v>
      </c>
      <c r="E55" s="16"/>
      <c r="F55" s="16"/>
      <c r="G55" s="152">
        <v>2018</v>
      </c>
      <c r="H55" s="180">
        <f>DATE(G55,MONTH('Input|General'!$G$9),1)</f>
        <v>43252</v>
      </c>
      <c r="I55" s="178" t="str">
        <f t="shared" si="0"/>
        <v>2017–18</v>
      </c>
      <c r="T55" s="17"/>
    </row>
    <row r="56" spans="3:20">
      <c r="C56" s="157">
        <v>43617</v>
      </c>
      <c r="D56" s="16" t="s">
        <v>73</v>
      </c>
      <c r="E56" s="16"/>
      <c r="F56" s="16"/>
      <c r="G56" s="152">
        <v>2019</v>
      </c>
      <c r="H56" s="180">
        <f>DATE(G56,MONTH('Input|General'!$G$9),1)</f>
        <v>43617</v>
      </c>
      <c r="I56" s="178" t="str">
        <f t="shared" si="0"/>
        <v>2018–19</v>
      </c>
      <c r="T56" s="17"/>
    </row>
    <row r="57" spans="3:20">
      <c r="C57" s="157">
        <v>43983</v>
      </c>
      <c r="D57" s="16" t="s">
        <v>73</v>
      </c>
      <c r="E57" s="16"/>
      <c r="F57" s="16"/>
      <c r="G57" s="152">
        <v>2020</v>
      </c>
      <c r="H57" s="180">
        <f>DATE(G57,MONTH('Input|General'!$G$9),1)</f>
        <v>43983</v>
      </c>
      <c r="I57" s="178" t="str">
        <f t="shared" si="0"/>
        <v>2019–20</v>
      </c>
      <c r="T57" s="17"/>
    </row>
    <row r="58" spans="3:20">
      <c r="C58" s="157">
        <v>44348</v>
      </c>
      <c r="D58" s="16" t="s">
        <v>73</v>
      </c>
      <c r="E58" s="16"/>
      <c r="F58" s="16"/>
      <c r="G58" s="152">
        <v>2021</v>
      </c>
      <c r="H58" s="180">
        <f>DATE(G58,MONTH('Input|General'!$G$9),1)</f>
        <v>44348</v>
      </c>
      <c r="I58" s="178" t="str">
        <f t="shared" si="0"/>
        <v>2020–21</v>
      </c>
      <c r="T58" s="17"/>
    </row>
    <row r="59" spans="3:20">
      <c r="C59" s="157">
        <v>44713</v>
      </c>
      <c r="D59" s="16" t="s">
        <v>73</v>
      </c>
      <c r="E59" s="16"/>
      <c r="F59" s="16"/>
      <c r="G59" s="152">
        <v>2022</v>
      </c>
      <c r="H59" s="180">
        <f>DATE(G59,MONTH('Input|General'!$G$9),1)</f>
        <v>44713</v>
      </c>
      <c r="I59" s="178" t="str">
        <f t="shared" si="0"/>
        <v>2021–22</v>
      </c>
      <c r="T59" s="17"/>
    </row>
    <row r="60" spans="3:20">
      <c r="C60" s="157">
        <v>45078</v>
      </c>
      <c r="D60" s="16" t="s">
        <v>73</v>
      </c>
      <c r="E60" s="16"/>
      <c r="F60" s="16"/>
      <c r="G60" s="152">
        <v>2023</v>
      </c>
      <c r="H60" s="180">
        <f>DATE(G60,MONTH('Input|General'!$G$9),1)</f>
        <v>45078</v>
      </c>
      <c r="I60" s="178" t="str">
        <f t="shared" si="0"/>
        <v>2022–23</v>
      </c>
      <c r="T60" s="17"/>
    </row>
    <row r="61" spans="3:20">
      <c r="C61" s="157">
        <v>45444</v>
      </c>
      <c r="D61" s="16" t="s">
        <v>73</v>
      </c>
      <c r="E61" s="16"/>
      <c r="F61" s="16"/>
      <c r="G61" s="152">
        <v>2024</v>
      </c>
      <c r="H61" s="180">
        <f>DATE(G61,MONTH('Input|General'!$G$9),1)</f>
        <v>45444</v>
      </c>
      <c r="I61" s="178" t="str">
        <f t="shared" si="0"/>
        <v>2023–24</v>
      </c>
      <c r="T61" s="17"/>
    </row>
    <row r="62" spans="3:20">
      <c r="C62" s="157">
        <v>45809</v>
      </c>
      <c r="D62" s="16" t="s">
        <v>73</v>
      </c>
      <c r="E62" s="16"/>
      <c r="F62" s="16"/>
      <c r="G62" s="152">
        <v>2025</v>
      </c>
      <c r="H62" s="180">
        <f>DATE(G62,MONTH('Input|General'!$G$9),1)</f>
        <v>45809</v>
      </c>
      <c r="I62" s="178" t="str">
        <f t="shared" si="0"/>
        <v>2024–25</v>
      </c>
      <c r="T62" s="17"/>
    </row>
    <row r="63" spans="3:20">
      <c r="C63" s="157">
        <v>46174</v>
      </c>
      <c r="D63" s="16" t="s">
        <v>73</v>
      </c>
      <c r="E63" s="16"/>
      <c r="F63" s="16"/>
      <c r="G63" s="152">
        <v>2026</v>
      </c>
      <c r="H63" s="180">
        <f>DATE(G63,MONTH('Input|General'!$G$9),1)</f>
        <v>46174</v>
      </c>
      <c r="I63" s="178" t="str">
        <f t="shared" si="0"/>
        <v>2025–26</v>
      </c>
      <c r="T63" s="17"/>
    </row>
    <row r="64" spans="3:20">
      <c r="C64" s="157">
        <v>46539</v>
      </c>
      <c r="D64" s="16" t="s">
        <v>73</v>
      </c>
      <c r="E64" s="16"/>
      <c r="F64" s="16"/>
      <c r="G64" s="152">
        <v>2027</v>
      </c>
      <c r="H64" s="180">
        <f>DATE(G64,MONTH('Input|General'!$G$9),1)</f>
        <v>46539</v>
      </c>
      <c r="I64" s="178" t="str">
        <f t="shared" si="0"/>
        <v>2026–27</v>
      </c>
      <c r="T64" s="17"/>
    </row>
    <row r="65" spans="1:47">
      <c r="C65" s="157">
        <v>46905</v>
      </c>
      <c r="D65" s="16" t="s">
        <v>73</v>
      </c>
      <c r="E65" s="16"/>
      <c r="F65" s="16"/>
      <c r="G65" s="152">
        <v>2028</v>
      </c>
      <c r="H65" s="180">
        <f>DATE(G65,MONTH('Input|General'!$G$9),1)</f>
        <v>46905</v>
      </c>
      <c r="I65" s="178" t="str">
        <f t="shared" si="0"/>
        <v>2027–28</v>
      </c>
      <c r="T65" s="17"/>
    </row>
    <row r="66" spans="1:47">
      <c r="C66" s="157">
        <v>47270</v>
      </c>
      <c r="D66" s="16" t="s">
        <v>73</v>
      </c>
      <c r="E66" s="16"/>
      <c r="F66" s="16"/>
      <c r="G66" s="152">
        <v>2029</v>
      </c>
      <c r="H66" s="180">
        <f>DATE(G66,MONTH('Input|General'!$G$9),1)</f>
        <v>47270</v>
      </c>
      <c r="I66" s="178" t="str">
        <f t="shared" si="0"/>
        <v>2028–29</v>
      </c>
      <c r="T66" s="17"/>
    </row>
    <row r="67" spans="1:47">
      <c r="C67" s="157">
        <v>47635</v>
      </c>
      <c r="D67" s="16" t="s">
        <v>73</v>
      </c>
      <c r="E67" s="16"/>
      <c r="F67" s="16"/>
      <c r="G67" s="152">
        <v>2030</v>
      </c>
      <c r="H67" s="180">
        <f>DATE(G67,MONTH('Input|General'!$G$9),1)</f>
        <v>47635</v>
      </c>
      <c r="I67" s="178" t="str">
        <f t="shared" si="0"/>
        <v>2029–30</v>
      </c>
      <c r="T67" s="17"/>
    </row>
    <row r="68" spans="1:47">
      <c r="C68" s="157">
        <v>48000</v>
      </c>
      <c r="D68" s="16" t="s">
        <v>73</v>
      </c>
      <c r="E68" s="16"/>
      <c r="F68" s="16"/>
      <c r="G68" s="152">
        <v>2031</v>
      </c>
      <c r="H68" s="180">
        <f>DATE(G68,MONTH('Input|General'!$G$9),1)</f>
        <v>48000</v>
      </c>
      <c r="I68" s="178" t="str">
        <f t="shared" ref="I68:I69" si="1">G68-1&amp;"–"&amp;RIGHT(G68,2)</f>
        <v>2030–31</v>
      </c>
      <c r="T68" s="17"/>
    </row>
    <row r="69" spans="1:47">
      <c r="C69" s="157">
        <v>48366</v>
      </c>
      <c r="D69" s="16" t="s">
        <v>73</v>
      </c>
      <c r="E69" s="16"/>
      <c r="F69" s="16"/>
      <c r="G69" s="152">
        <v>2032</v>
      </c>
      <c r="H69" s="180">
        <f>DATE(G69,MONTH('Input|General'!$G$9),1)</f>
        <v>48366</v>
      </c>
      <c r="I69" s="178" t="str">
        <f t="shared" si="1"/>
        <v>2031–32</v>
      </c>
      <c r="T69" s="17"/>
    </row>
    <row r="70" spans="1:47">
      <c r="H70" s="8" t="s">
        <v>104</v>
      </c>
    </row>
    <row r="71" spans="1:47" customFormat="1" ht="13">
      <c r="A71" s="43"/>
      <c r="B71" s="51" t="s">
        <v>157</v>
      </c>
      <c r="C71" s="43"/>
      <c r="D71" s="43"/>
      <c r="E71" s="43"/>
      <c r="F71" s="44"/>
      <c r="G71" s="44"/>
      <c r="H71" s="44"/>
      <c r="I71" s="44"/>
      <c r="J71" s="45"/>
      <c r="K71" s="46"/>
      <c r="L71" s="45"/>
      <c r="M71" s="46"/>
      <c r="N71" s="45"/>
      <c r="O71" s="45"/>
      <c r="P71" s="45"/>
      <c r="Q71" s="45"/>
      <c r="R71" s="45"/>
      <c r="S71" s="45"/>
      <c r="T71" s="45"/>
      <c r="U71" s="45"/>
      <c r="V71" s="46"/>
      <c r="W71" s="46"/>
      <c r="X71" s="47"/>
      <c r="Y71" s="47"/>
      <c r="Z71" s="47"/>
      <c r="AA71" s="47"/>
      <c r="AB71" s="48"/>
      <c r="AC71" s="49"/>
      <c r="AD71" s="49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</row>
    <row r="72" spans="1:47"/>
    <row r="73" spans="1:47" ht="10.5">
      <c r="C73" s="13" t="str">
        <f>B71</f>
        <v>Regulatory years</v>
      </c>
      <c r="D73" s="21" t="s">
        <v>7</v>
      </c>
      <c r="E73" s="21"/>
      <c r="F73" s="14"/>
      <c r="G73" s="14" t="s">
        <v>158</v>
      </c>
      <c r="H73" s="14" t="s">
        <v>125</v>
      </c>
    </row>
    <row r="74" spans="1:47">
      <c r="C74" s="15" t="s">
        <v>145</v>
      </c>
      <c r="D74" s="16" t="s">
        <v>102</v>
      </c>
      <c r="E74" s="16"/>
      <c r="F74" s="16"/>
      <c r="G74" s="178" t="str">
        <f>IF(MONTH('Input|General'!$G$9)=12,PPFirstYear,PPFirstYear-1&amp;"–"&amp;RIGHT(PPFirstYear,2))</f>
        <v>2021–22</v>
      </c>
      <c r="H74" s="180">
        <f>DATE(PPFirstYear,MONTH('Input|General'!$G$9),1)</f>
        <v>44713</v>
      </c>
    </row>
    <row r="75" spans="1:47">
      <c r="C75" s="15" t="s">
        <v>146</v>
      </c>
      <c r="D75" s="16" t="s">
        <v>102</v>
      </c>
      <c r="E75" s="16"/>
      <c r="F75" s="16"/>
      <c r="G75" s="179" t="str">
        <f>IF(PPLastYear-PPFirstYear&lt;1,"",LEFT(G74,4)+1&amp;"–"&amp;RIGHT(G74,2)+1)</f>
        <v>2022–23</v>
      </c>
      <c r="H75" s="180">
        <f>IF(PPLastYear-PPFirstYear&lt;1,"",DATE(PPFirstYear+1,MONTH('Input|General'!$G$9),1))</f>
        <v>45078</v>
      </c>
    </row>
    <row r="76" spans="1:47">
      <c r="C76" s="15" t="s">
        <v>147</v>
      </c>
      <c r="D76" s="16" t="s">
        <v>102</v>
      </c>
      <c r="E76" s="16"/>
      <c r="F76" s="16"/>
      <c r="G76" s="179" t="str">
        <f>IF(PPLastYear-PPFirstYear&lt;2,"",LEFT(G75,4)+1&amp;"–"&amp;RIGHT(G75,2)+1)</f>
        <v>2023–24</v>
      </c>
      <c r="H76" s="180">
        <f>IF(PPLastYear-PPFirstYear&lt;2,"",DATE(PPFirstYear+2,MONTH('Input|General'!$G$9),1))</f>
        <v>45444</v>
      </c>
    </row>
    <row r="77" spans="1:47">
      <c r="C77" s="15" t="s">
        <v>148</v>
      </c>
      <c r="D77" s="16" t="s">
        <v>102</v>
      </c>
      <c r="E77" s="16"/>
      <c r="F77" s="16"/>
      <c r="G77" s="179" t="str">
        <f>IF(PPLastYear-PPFirstYear&lt;3,"",LEFT(G76,4)+1&amp;"–"&amp;RIGHT(G76,2)+1)</f>
        <v>2024–25</v>
      </c>
      <c r="H77" s="180">
        <f>IF(PPLastYear-PPFirstYear&lt;3,"",DATE(PPFirstYear+3,MONTH('Input|General'!$G$9),1))</f>
        <v>45809</v>
      </c>
    </row>
    <row r="78" spans="1:47">
      <c r="C78" s="15" t="s">
        <v>149</v>
      </c>
      <c r="D78" s="16" t="s">
        <v>102</v>
      </c>
      <c r="E78" s="16"/>
      <c r="F78" s="16"/>
      <c r="G78" s="179" t="str">
        <f>IF(PPLastYear-PPFirstYear&lt;4,"",LEFT(G77,4)+1&amp;"–"&amp;RIGHT(G77,2)+1)</f>
        <v>2025–26</v>
      </c>
      <c r="H78" s="180">
        <f>IF(PPLastYear-PPFirstYear&lt;4,"",DATE(PPFirstYear+4,MONTH('Input|General'!$G$9),1))</f>
        <v>46174</v>
      </c>
    </row>
    <row r="79" spans="1:47">
      <c r="C79" s="15" t="s">
        <v>150</v>
      </c>
      <c r="D79" s="16" t="s">
        <v>102</v>
      </c>
      <c r="E79" s="16"/>
      <c r="F79" s="16"/>
      <c r="G79" s="179" t="str">
        <f>IF(MONTH('Input|General'!$G$9)=12,FPFirstYear,FPFirstYear-1&amp;"–"&amp;RIGHT(FPFirstYear,2))</f>
        <v>2026–27</v>
      </c>
      <c r="H79" s="180">
        <f>DATE(FPFirstYear,MONTH('Input|General'!$G$9),1)</f>
        <v>46539</v>
      </c>
      <c r="T79" s="17"/>
    </row>
    <row r="80" spans="1:47">
      <c r="C80" s="15" t="s">
        <v>151</v>
      </c>
      <c r="D80" s="16" t="s">
        <v>102</v>
      </c>
      <c r="E80" s="16"/>
      <c r="F80" s="16"/>
      <c r="G80" s="179" t="str">
        <f>IF(FPLastYear-FPFirstYear&lt;1,"",LEFT(G79,4)+1&amp;"–"&amp;RIGHT(G79,2)+1)</f>
        <v>2027–28</v>
      </c>
      <c r="H80" s="180">
        <f>IF(FPLastYear-FPFirstYear&lt;1,"",DATE(FPFirstYear+1,MONTH('Input|General'!$G$9),1))</f>
        <v>46905</v>
      </c>
      <c r="T80" s="17"/>
    </row>
    <row r="81" spans="1:47">
      <c r="C81" s="15" t="s">
        <v>152</v>
      </c>
      <c r="D81" s="16" t="s">
        <v>102</v>
      </c>
      <c r="E81" s="16"/>
      <c r="F81" s="16"/>
      <c r="G81" s="179" t="str">
        <f>IF(FPLastYear-FPFirstYear&lt;2,"",LEFT(G80,4)+1&amp;"–"&amp;RIGHT(G80,2)+1)</f>
        <v>2028–29</v>
      </c>
      <c r="H81" s="180">
        <f>IF(FPLastYear-FPFirstYear&lt;2,"",DATE(FPFirstYear+2,MONTH('Input|General'!$G$9),1))</f>
        <v>47270</v>
      </c>
      <c r="T81" s="17"/>
    </row>
    <row r="82" spans="1:47">
      <c r="C82" s="15" t="s">
        <v>153</v>
      </c>
      <c r="D82" s="16" t="s">
        <v>102</v>
      </c>
      <c r="E82" s="16"/>
      <c r="F82" s="16"/>
      <c r="G82" s="179" t="str">
        <f>IF(FPLastYear-FPFirstYear&lt;3,"",LEFT(G81,4)+1&amp;"–"&amp;RIGHT(G81,2)+1)</f>
        <v>2029–30</v>
      </c>
      <c r="H82" s="180">
        <f>IF(FPLastYear-FPFirstYear&lt;3,"",DATE(FPFirstYear+3,MONTH('Input|General'!$G$9),1))</f>
        <v>47635</v>
      </c>
      <c r="T82" s="17"/>
    </row>
    <row r="83" spans="1:47">
      <c r="C83" s="15" t="s">
        <v>154</v>
      </c>
      <c r="D83" s="16" t="s">
        <v>102</v>
      </c>
      <c r="E83" s="16"/>
      <c r="F83" s="16"/>
      <c r="G83" s="179" t="str">
        <f>IF(FPLastYear-FPFirstYear&lt;3,"",LEFT(G82,4)+1&amp;"–"&amp;RIGHT(G82,2)+1)</f>
        <v>2030–31</v>
      </c>
      <c r="H83" s="180">
        <f>IF(FPLastYear-FPFirstYear&lt;3,"",DATE(FPFirstYear+4,MONTH('Input|General'!$G$9),1))</f>
        <v>48000</v>
      </c>
      <c r="T83" s="17"/>
    </row>
    <row r="84" spans="1:47">
      <c r="C84" s="15"/>
      <c r="D84" s="16"/>
      <c r="E84" s="16"/>
      <c r="F84" s="16"/>
      <c r="G84" s="202"/>
      <c r="H84" s="203"/>
      <c r="T84" s="17"/>
    </row>
    <row r="85" spans="1:47" customFormat="1" ht="13">
      <c r="A85" s="43"/>
      <c r="B85" s="51" t="s">
        <v>21</v>
      </c>
      <c r="C85" s="43"/>
      <c r="D85" s="43"/>
      <c r="E85" s="43"/>
      <c r="F85" s="44"/>
      <c r="G85" s="44"/>
      <c r="H85" s="44"/>
      <c r="I85" s="44"/>
      <c r="J85" s="45"/>
      <c r="K85" s="46"/>
      <c r="L85" s="45"/>
      <c r="M85" s="46"/>
      <c r="N85" s="45"/>
      <c r="O85" s="45"/>
      <c r="P85" s="45"/>
      <c r="Q85" s="45"/>
      <c r="R85" s="45"/>
      <c r="S85" s="45"/>
      <c r="T85" s="45"/>
      <c r="U85" s="45"/>
      <c r="V85" s="46"/>
      <c r="W85" s="46"/>
      <c r="X85" s="47"/>
      <c r="Y85" s="47"/>
      <c r="Z85" s="47"/>
      <c r="AA85" s="47"/>
      <c r="AB85" s="48"/>
      <c r="AC85" s="49"/>
      <c r="AD85" s="49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1:47"/>
    <row r="87" spans="1:47"/>
    <row r="88" spans="1:47"/>
    <row r="89" spans="1:47"/>
    <row r="90" spans="1:47"/>
    <row r="91" spans="1:47"/>
    <row r="92" spans="1:47"/>
    <row r="93" spans="1:47"/>
    <row r="94" spans="1:47"/>
    <row r="95" spans="1:47"/>
    <row r="96" spans="1:47"/>
  </sheetData>
  <conditionalFormatting sqref="P21:P28">
    <cfRule type="expression" dxfId="13" priority="55" stopIfTrue="1">
      <formula>#REF!="Actual"</formula>
    </cfRule>
  </conditionalFormatting>
  <conditionalFormatting sqref="P70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70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showGridLines="0" workbookViewId="0">
      <selection activeCell="A24" sqref="A24:XFD24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0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6" t="s">
        <v>24</v>
      </c>
      <c r="S1" s="40" t="str">
        <f>IF(COUNTIF(G10:G16,"Check")=0,"Ok","Check")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3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3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Schotanus, Jildau</dc:creator>
  <cp:lastModifiedBy>Price, Joel</cp:lastModifiedBy>
  <cp:lastPrinted>2024-02-19T22:36:36Z</cp:lastPrinted>
  <dcterms:created xsi:type="dcterms:W3CDTF">2019-09-20T04:05:18Z</dcterms:created>
  <dcterms:modified xsi:type="dcterms:W3CDTF">2025-02-11T10:18:13Z</dcterms:modified>
</cp:coreProperties>
</file>