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B:\3 Modelling\03 Iterations\Iteration 8\6 AER submission\4 AER sent\1 CitiPower\"/>
    </mc:Choice>
  </mc:AlternateContent>
  <xr:revisionPtr revIDLastSave="0" documentId="13_ncr:1_{985C9E39-69FF-4387-8D70-BB111673159B}" xr6:coauthVersionLast="47" xr6:coauthVersionMax="47" xr10:uidLastSave="{00000000-0000-0000-0000-000000000000}"/>
  <bookViews>
    <workbookView xWindow="10230" yWindow="-16005" windowWidth="25440" windowHeight="15270" xr2:uid="{6ABC48C8-AB61-47FF-BA61-09E12DD003AB}"/>
  </bookViews>
  <sheets>
    <sheet name="Business &amp; other details" sheetId="4" r:id="rId1"/>
    <sheet name="7.5 EBSS" sheetId="1" r:id="rId2"/>
    <sheet name="AER lookups" sheetId="5" state="hidden" r:id="rId3"/>
    <sheet name="AER ETL" sheetId="6" state="hidden" r:id="rId4"/>
  </sheet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C40" i="6"/>
  <c r="AL65" i="4"/>
  <c r="C39" i="6"/>
  <c r="C77" i="6" l="1"/>
  <c r="E25" i="6"/>
  <c r="C80" i="6"/>
  <c r="C103" i="6"/>
  <c r="E50" i="1"/>
  <c r="M41" i="1" l="1"/>
  <c r="N41" i="1"/>
  <c r="N28" i="1"/>
  <c r="M28" i="1"/>
  <c r="E36" i="1"/>
  <c r="T58" i="1" l="1"/>
  <c r="D50" i="1"/>
  <c r="C50" i="1"/>
  <c r="B46" i="1"/>
  <c r="B45" i="1"/>
  <c r="B44" i="1"/>
  <c r="L41" i="1"/>
  <c r="C41" i="1"/>
  <c r="D36" i="1"/>
  <c r="C36" i="1"/>
  <c r="L28" i="1"/>
  <c r="C28" i="1"/>
  <c r="B7" i="1"/>
  <c r="B2" i="1"/>
  <c r="R49" i="1" l="1"/>
  <c r="R47" i="1"/>
  <c r="Q47" i="1" l="1"/>
  <c r="Q49" i="1"/>
  <c r="P47" i="1" l="1"/>
  <c r="P49" i="1"/>
  <c r="O47" i="1" l="1"/>
  <c r="O49" i="1"/>
  <c r="N42" i="1"/>
  <c r="N49" i="1" l="1"/>
  <c r="N48" i="1"/>
  <c r="N47" i="1"/>
  <c r="N46" i="1"/>
  <c r="N45" i="1"/>
  <c r="N44" i="1"/>
  <c r="Q35" i="1"/>
  <c r="P34" i="1"/>
  <c r="O33" i="1"/>
  <c r="P35" i="1"/>
  <c r="O34" i="1"/>
  <c r="O35" i="1"/>
  <c r="S33" i="1"/>
  <c r="S34" i="1"/>
  <c r="S35" i="1"/>
  <c r="R34" i="1"/>
  <c r="Q33" i="1"/>
  <c r="R33" i="1"/>
  <c r="R35" i="1"/>
  <c r="Q34" i="1"/>
  <c r="P33" i="1"/>
  <c r="M49" i="1" l="1"/>
  <c r="N35" i="1"/>
  <c r="N33" i="1"/>
  <c r="N32" i="1"/>
  <c r="M45" i="1"/>
  <c r="N31" i="1"/>
  <c r="M48" i="1"/>
  <c r="N34" i="1"/>
  <c r="M47" i="1"/>
  <c r="M46" i="1"/>
  <c r="M44" i="1"/>
  <c r="N29" i="1"/>
  <c r="M42" i="1"/>
  <c r="N50" i="1"/>
  <c r="M50" i="1" l="1"/>
  <c r="M33" i="1"/>
  <c r="L31" i="1"/>
  <c r="M29" i="1"/>
  <c r="L35" i="1"/>
  <c r="L32" i="1"/>
  <c r="M32" i="1"/>
  <c r="L29" i="1"/>
  <c r="M31" i="1"/>
  <c r="L34" i="1"/>
  <c r="M35" i="1"/>
  <c r="L33" i="1"/>
  <c r="M34" i="1"/>
  <c r="N36" i="1"/>
  <c r="L36" i="1" l="1"/>
  <c r="M36" i="1"/>
  <c r="N53" i="1" l="1"/>
  <c r="T60" i="1" s="1"/>
  <c r="C42" i="6" l="1"/>
  <c r="C41" i="6"/>
  <c r="C43" i="6"/>
  <c r="E89" i="5"/>
  <c r="E97" i="5"/>
  <c r="E82" i="5"/>
  <c r="I48" i="5"/>
  <c r="C48" i="6"/>
  <c r="I54" i="5"/>
  <c r="I59" i="5"/>
  <c r="I43" i="5"/>
  <c r="I46" i="5"/>
  <c r="E90" i="5"/>
  <c r="I50" i="5"/>
  <c r="E78" i="5"/>
  <c r="I55" i="5"/>
  <c r="C45" i="6"/>
  <c r="E77" i="5"/>
  <c r="I52" i="5"/>
  <c r="E76" i="5"/>
  <c r="I37" i="5"/>
  <c r="E72" i="5"/>
  <c r="I47" i="5"/>
  <c r="I49" i="5"/>
  <c r="E74" i="5"/>
  <c r="I61" i="5"/>
  <c r="E83" i="5"/>
  <c r="I39" i="5"/>
  <c r="E84" i="5"/>
  <c r="E81" i="5"/>
  <c r="I60" i="5"/>
  <c r="E88" i="5"/>
  <c r="C47" i="6"/>
  <c r="E79" i="5"/>
  <c r="C44" i="6"/>
  <c r="I38" i="5"/>
  <c r="E96" i="5"/>
  <c r="E75" i="5"/>
  <c r="I44" i="5"/>
  <c r="E73" i="5"/>
  <c r="I40" i="5"/>
  <c r="I51" i="5"/>
  <c r="E92" i="5"/>
  <c r="I53" i="5"/>
  <c r="C50" i="6"/>
  <c r="E87" i="5"/>
  <c r="E93" i="5"/>
  <c r="E95" i="5"/>
  <c r="C49" i="6"/>
  <c r="E86" i="5"/>
  <c r="I56" i="5"/>
  <c r="C46" i="6"/>
  <c r="I45" i="5"/>
  <c r="I58" i="5"/>
  <c r="E94" i="5"/>
  <c r="I57" i="5"/>
  <c r="I42" i="5"/>
  <c r="I41" i="5"/>
  <c r="E85" i="5"/>
  <c r="E80" i="5"/>
  <c r="E91" i="5"/>
  <c r="C55" i="6" l="1"/>
  <c r="C81" i="6"/>
  <c r="C61" i="6"/>
  <c r="E42" i="5"/>
  <c r="G51" i="5"/>
  <c r="G43" i="5"/>
  <c r="E56" i="5"/>
  <c r="E50" i="5"/>
  <c r="E47" i="5"/>
  <c r="G44" i="5"/>
  <c r="E45" i="5"/>
  <c r="E46" i="5"/>
  <c r="E51" i="5"/>
  <c r="G49" i="5"/>
  <c r="E53" i="5"/>
  <c r="G39" i="5"/>
  <c r="E38" i="5"/>
  <c r="G60" i="5"/>
  <c r="E43" i="5"/>
  <c r="G56" i="5"/>
  <c r="E40" i="5"/>
  <c r="G42" i="5"/>
  <c r="G58" i="5"/>
  <c r="G54" i="5"/>
  <c r="G59" i="5"/>
  <c r="E55" i="5"/>
  <c r="E49" i="5"/>
  <c r="G40" i="5"/>
  <c r="E59" i="5"/>
  <c r="G45" i="5"/>
  <c r="E57" i="5"/>
  <c r="E54" i="5"/>
  <c r="G37" i="5"/>
  <c r="G53" i="5"/>
  <c r="E44" i="5"/>
  <c r="G61" i="5"/>
  <c r="E60" i="5"/>
  <c r="E48" i="5"/>
  <c r="E37" i="5"/>
  <c r="E41" i="5"/>
  <c r="G48" i="5"/>
  <c r="E52" i="5"/>
  <c r="G46" i="5"/>
  <c r="G55" i="5"/>
  <c r="G38" i="5"/>
  <c r="G57" i="5"/>
  <c r="E39" i="5"/>
  <c r="G41" i="5"/>
  <c r="E61" i="5"/>
  <c r="G47" i="5"/>
  <c r="E58" i="5"/>
  <c r="G52" i="5"/>
  <c r="G50" i="5"/>
  <c r="C53" i="6" l="1"/>
  <c r="C52" i="6"/>
  <c r="C107" i="6"/>
  <c r="C118" i="6"/>
  <c r="BD55" i="4"/>
  <c r="AU55" i="4"/>
  <c r="AL55" i="4"/>
  <c r="BV55" i="4"/>
  <c r="BM55" i="4"/>
  <c r="C108" i="6" l="1"/>
  <c r="C33" i="6"/>
  <c r="C59" i="6"/>
  <c r="C58" i="6"/>
  <c r="C23" i="6" s="1"/>
  <c r="C32" i="6"/>
  <c r="L49" i="1"/>
  <c r="L44" i="1"/>
  <c r="L42" i="1"/>
  <c r="L45" i="1"/>
  <c r="L46" i="1"/>
  <c r="L47" i="1"/>
  <c r="L48" i="1"/>
  <c r="L50" i="1" l="1"/>
  <c r="M53" i="1" l="1"/>
  <c r="S59" i="1" s="1"/>
  <c r="S66" i="1" s="1"/>
  <c r="D82" i="1" l="1"/>
  <c r="C82" i="1" l="1"/>
  <c r="E82" i="1" l="1"/>
  <c r="F82" i="1" l="1"/>
  <c r="G82" i="1" l="1"/>
  <c r="H82" i="1" l="1"/>
  <c r="I82" i="1" l="1"/>
  <c r="R48" i="1" l="1"/>
  <c r="R45" i="1" l="1"/>
  <c r="Q45" i="1"/>
  <c r="P45" i="1"/>
  <c r="O45" i="1"/>
  <c r="R44" i="1"/>
  <c r="Q44" i="1"/>
  <c r="P44" i="1"/>
  <c r="O44" i="1"/>
  <c r="R46" i="1"/>
  <c r="Q46" i="1"/>
  <c r="P46" i="1"/>
  <c r="O46" i="1"/>
  <c r="Q48" i="1"/>
  <c r="P48" i="1"/>
  <c r="O48" i="1"/>
  <c r="S32" i="1"/>
  <c r="R32" i="1"/>
  <c r="Q32" i="1"/>
  <c r="P32" i="1"/>
  <c r="O32" i="1"/>
  <c r="S31" i="1"/>
  <c r="R31" i="1"/>
  <c r="Q31" i="1"/>
  <c r="P31" i="1"/>
  <c r="O31" i="1"/>
  <c r="S29" i="1" l="1"/>
  <c r="S36" i="1" s="1"/>
  <c r="J36" i="1"/>
  <c r="F50" i="1"/>
  <c r="O42" i="1"/>
  <c r="O50" i="1" s="1"/>
  <c r="G50" i="1"/>
  <c r="P42" i="1"/>
  <c r="P50" i="1" s="1"/>
  <c r="H50" i="1"/>
  <c r="Q42" i="1"/>
  <c r="Q50" i="1" s="1"/>
  <c r="I36" i="1"/>
  <c r="R29" i="1"/>
  <c r="R36" i="1" s="1"/>
  <c r="I50" i="1"/>
  <c r="R42" i="1"/>
  <c r="R50" i="1" s="1"/>
  <c r="F36" i="1"/>
  <c r="O29" i="1"/>
  <c r="O36" i="1" s="1"/>
  <c r="O53" i="1" s="1"/>
  <c r="G36" i="1"/>
  <c r="P29" i="1"/>
  <c r="P36" i="1" s="1"/>
  <c r="H36" i="1"/>
  <c r="Q29" i="1"/>
  <c r="Q36" i="1" s="1"/>
  <c r="P53" i="1" l="1"/>
  <c r="S62" i="1" s="1"/>
  <c r="Q61" i="1"/>
  <c r="S61" i="1"/>
  <c r="T61" i="1"/>
  <c r="R61" i="1"/>
  <c r="P61" i="1"/>
  <c r="Q53" i="1"/>
  <c r="R53" i="1"/>
  <c r="Q62" i="1"/>
  <c r="R62" i="1"/>
  <c r="U62" i="1"/>
  <c r="T62" i="1"/>
  <c r="S50" i="1"/>
  <c r="S53" i="1" s="1"/>
  <c r="S64" i="1" l="1"/>
  <c r="W64" i="1"/>
  <c r="W66" i="1" s="1"/>
  <c r="W70" i="1" s="1"/>
  <c r="U64" i="1"/>
  <c r="V64" i="1"/>
  <c r="T64" i="1"/>
  <c r="T66" i="1"/>
  <c r="U65" i="1"/>
  <c r="X65" i="1"/>
  <c r="X66" i="1" s="1"/>
  <c r="X70" i="1" s="1"/>
  <c r="W65" i="1"/>
  <c r="T65" i="1"/>
  <c r="V65" i="1"/>
  <c r="V63" i="1"/>
  <c r="V66" i="1" s="1"/>
  <c r="V70" i="1" s="1"/>
  <c r="T63" i="1"/>
  <c r="S63" i="1"/>
  <c r="U63" i="1"/>
  <c r="R63" i="1"/>
  <c r="U66" i="1" l="1"/>
  <c r="U70" i="1" s="1"/>
  <c r="T70" i="1"/>
  <c r="Y70" i="1" s="1"/>
  <c r="Y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<sst xmlns="http://schemas.openxmlformats.org/spreadsheetml/2006/main" count="940" uniqueCount="714">
  <si>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</si>
  <si>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</si>
  <si>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</si>
  <si>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</si>
  <si>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</si>
  <si>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</si>
  <si>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</si>
  <si>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</si>
  <si>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</si>
  <si>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</si>
  <si>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</si>
  <si>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</si>
  <si>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</si>
  <si>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</si>
  <si>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</si>
  <si>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</si>
  <si>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</si>
  <si>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</si>
  <si>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</si>
  <si>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</si>
  <si>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</si>
  <si>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</si>
  <si>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</si>
  <si>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</si>
  <si>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</si>
  <si>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</si>
  <si>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</si>
  <si>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</si>
  <si>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</si>
  <si>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</si>
  <si>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</si>
  <si>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</si>
  <si>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</si>
  <si>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</si>
  <si>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</si>
  <si>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</si>
  <si>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</si>
  <si>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</si>
  <si>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</si>
  <si>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</si>
  <si>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</si>
  <si>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</si>
  <si>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</si>
  <si>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</si>
  <si>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</si>
  <si>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</si>
  <si>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</si>
  <si>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</si>
  <si>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</si>
  <si>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</si>
  <si>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</si>
  <si>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</si>
  <si>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</si>
  <si>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</si>
  <si>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</si>
  <si>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</si>
  <si>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</si>
  <si>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</si>
  <si>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</si>
  <si>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</si>
  <si>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</si>
  <si>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</si>
  <si>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</si>
  <si>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</si>
  <si>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</si>
  <si>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</si>
  <si>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</si>
  <si>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</si>
  <si>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</si>
  <si>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</si>
  <si>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</si>
  <si>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</si>
  <si>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</si>
  <si>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</si>
  <si>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</si>
  <si>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</si>
  <si>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</si>
  <si>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</si>
  <si>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</si>
  <si>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</si>
  <si>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</si>
  <si>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</si>
  <si>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</si>
  <si>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</si>
  <si>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</si>
  <si>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</si>
  <si>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</si>
  <si>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</si>
  <si>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</si>
  <si>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</si>
  <si>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</si>
  <si>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</si>
  <si>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</si>
  <si>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</si>
  <si>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</si>
  <si>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</si>
  <si>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</si>
  <si>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</si>
  <si>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</si>
  <si>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</si>
  <si>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</si>
  <si>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</si>
  <si>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</si>
  <si>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</si>
  <si>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</si>
  <si>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</si>
  <si>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</si>
  <si>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</si>
  <si>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</si>
  <si>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</si>
  <si>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</si>
  <si>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</si>
  <si>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</si>
  <si>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</si>
  <si>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</si>
  <si>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</si>
  <si>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</si>
  <si>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</si>
  <si>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</si>
  <si>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</si>
  <si>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</si>
  <si>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</si>
  <si>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</si>
  <si>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</si>
  <si>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</si>
  <si>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</si>
  <si>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</si>
  <si>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</si>
  <si>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</si>
  <si>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</si>
  <si>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</si>
  <si>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</si>
  <si>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</si>
  <si>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</si>
  <si>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</si>
  <si>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</si>
  <si>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</si>
  <si>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</si>
  <si>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</si>
  <si>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</si>
  <si>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</si>
  <si>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</si>
  <si>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</si>
  <si>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</si>
  <si>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</si>
  <si>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</si>
  <si>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</si>
  <si>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</si>
  <si>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</si>
  <si>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</si>
  <si>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</si>
  <si>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</si>
  <si>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</si>
  <si>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</si>
  <si>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</si>
  <si>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</si>
  <si>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</si>
  <si>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</si>
  <si>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</si>
  <si>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</si>
  <si>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</si>
  <si>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</si>
  <si>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</si>
  <si>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</si>
  <si>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</si>
  <si>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</si>
  <si>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</si>
  <si>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</si>
  <si>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</si>
  <si>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</si>
  <si>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</si>
  <si>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</si>
  <si>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</si>
  <si>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</si>
  <si>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</si>
  <si>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</si>
  <si>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</si>
  <si>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</si>
  <si>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</si>
  <si>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</si>
  <si>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</si>
  <si>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</si>
  <si>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</si>
  <si>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</si>
  <si>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</si>
  <si>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</si>
  <si>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</si>
  <si>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</si>
  <si>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</si>
  <si>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</si>
  <si>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</si>
  <si>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</si>
  <si>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</si>
  <si>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</si>
  <si>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</si>
  <si>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</si>
  <si>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</si>
  <si>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</si>
  <si>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</si>
  <si>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</si>
  <si>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</si>
  <si>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</si>
  <si>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</si>
  <si>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</si>
  <si>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</si>
  <si>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</si>
  <si>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</si>
  <si>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</si>
  <si>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</si>
  <si>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</si>
  <si>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</si>
  <si>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</si>
  <si>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</si>
  <si>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</si>
  <si>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</si>
  <si>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</si>
  <si>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</si>
  <si>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</si>
  <si>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</si>
  <si>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</si>
  <si>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</si>
  <si>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</si>
  <si>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</si>
  <si>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</si>
  <si>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</si>
  <si>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</si>
  <si>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</si>
  <si>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</si>
  <si>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</si>
  <si>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</si>
  <si>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</si>
  <si>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</si>
  <si>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</si>
  <si>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</si>
  <si>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</si>
  <si>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</si>
  <si>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</si>
  <si>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</si>
  <si>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</si>
  <si>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</si>
  <si>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</si>
  <si>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</si>
  <si>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</si>
  <si>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</si>
  <si>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</si>
  <si>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</si>
  <si>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</si>
  <si>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</si>
  <si>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</si>
  <si>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</si>
  <si>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</si>
  <si>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</si>
  <si>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</si>
  <si>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</si>
  <si>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</si>
  <si>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</si>
  <si>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</si>
  <si>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</si>
  <si>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</si>
  <si>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</si>
  <si>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</si>
  <si>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</si>
  <si>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</si>
  <si>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</si>
  <si>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</si>
  <si>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</si>
  <si>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</si>
  <si>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</si>
  <si>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</si>
  <si>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</si>
  <si>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</si>
  <si>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</si>
  <si>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</si>
  <si>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</si>
  <si>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</si>
  <si>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</si>
  <si>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</si>
  <si>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</si>
  <si>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</si>
  <si>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</si>
  <si>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</si>
  <si>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</si>
  <si>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</si>
  <si>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</si>
  <si>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</si>
  <si>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</si>
  <si>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</si>
  <si>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</si>
  <si>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</si>
  <si>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</si>
  <si>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</si>
  <si>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</si>
  <si>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</si>
  <si>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</si>
  <si>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</si>
  <si>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</si>
  <si>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</si>
  <si>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</si>
  <si>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</si>
  <si>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</si>
  <si>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</si>
  <si>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</si>
  <si>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</si>
  <si>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</si>
  <si>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</si>
  <si>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</si>
  <si>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</si>
  <si>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</si>
  <si>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</si>
  <si>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</si>
  <si>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</si>
  <si>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</si>
  <si>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</si>
  <si>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</si>
  <si>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</si>
  <si>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</si>
  <si>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</si>
  <si>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</si>
  <si>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</si>
  <si>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</si>
  <si>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</si>
  <si>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</si>
  <si>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</si>
  <si>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</si>
  <si>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</si>
  <si>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</si>
  <si>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</si>
  <si>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</si>
  <si>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</si>
  <si>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</si>
  <si>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</si>
  <si>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</si>
  <si>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</si>
  <si>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</si>
  <si>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</si>
  <si>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</si>
  <si>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</si>
  <si>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</si>
  <si>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</si>
  <si>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</si>
  <si>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</si>
  <si>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</si>
  <si>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</si>
  <si>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</si>
  <si>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</si>
  <si>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</si>
  <si>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</si>
  <si>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</si>
  <si>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</si>
  <si>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</si>
  <si>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</si>
  <si>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</si>
  <si>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</si>
  <si>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</si>
  <si>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</si>
  <si>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</si>
  <si>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</si>
  <si>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</si>
  <si>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</si>
  <si>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</si>
  <si>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</si>
  <si>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</si>
  <si>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</si>
  <si>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</si>
  <si>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</si>
  <si>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</si>
  <si>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</si>
  <si>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</si>
  <si>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</si>
  <si>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</si>
  <si>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</si>
  <si>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</si>
  <si>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</si>
  <si>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</si>
  <si>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</si>
  <si>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</si>
  <si>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</si>
  <si>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</si>
  <si>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</si>
  <si>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</si>
  <si>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</si>
  <si>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</si>
  <si>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</si>
  <si>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</si>
  <si>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</si>
  <si>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</si>
  <si>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</si>
  <si>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</si>
  <si>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</si>
  <si>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</si>
  <si>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</si>
  <si>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</si>
  <si>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</si>
  <si>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dd/mm/yy</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</si>
  <si>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</si>
  <si>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</si>
  <si>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</si>
  <si>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</si>
  <si>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</si>
  <si>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</si>
  <si>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</si>
  <si>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</si>
  <si>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</si>
  <si>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</si>
  <si>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</si>
  <si>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</si>
  <si>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</si>
  <si>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</si>
  <si>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</si>
  <si>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</si>
  <si>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</si>
  <si>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</si>
  <si>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</si>
  <si>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</si>
  <si>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</si>
  <si>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</si>
  <si>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</si>
  <si>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</si>
  <si>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</si>
  <si>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</si>
  <si>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</si>
  <si>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</si>
  <si>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</si>
  <si>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</si>
  <si>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</si>
  <si>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</si>
  <si>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</si>
  <si>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</si>
  <si>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</si>
  <si>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</si>
  <si>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</si>
  <si>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</si>
  <si>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</si>
  <si>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</si>
  <si>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</si>
  <si>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</si>
  <si>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</si>
  <si>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</si>
  <si>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</si>
  <si>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</si>
  <si>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</si>
  <si>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</si>
  <si>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</si>
  <si>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</si>
  <si>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</si>
  <si>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</si>
  <si>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</si>
  <si>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</si>
  <si>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</si>
  <si>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</si>
  <si>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</si>
  <si>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</si>
  <si>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</si>
  <si>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</si>
  <si>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</si>
  <si>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</si>
  <si>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</si>
  <si>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</si>
  <si>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</si>
  <si>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</si>
  <si>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</si>
  <si>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</si>
  <si>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</si>
  <si>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</si>
  <si>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</si>
  <si>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</si>
  <si>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</si>
  <si>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</si>
  <si>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</si>
  <si>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</si>
  <si>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</si>
  <si>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</si>
  <si>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</si>
  <si>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</si>
  <si>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</si>
  <si>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</si>
  <si>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</si>
  <si>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</si>
  <si>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</si>
  <si>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</si>
  <si>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</si>
  <si>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</si>
  <si>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</si>
  <si>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</si>
  <si>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</si>
  <si>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</si>
  <si>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</si>
  <si>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</si>
  <si>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</si>
  <si>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</si>
  <si>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</si>
  <si>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</si>
  <si>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</si>
  <si>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</si>
  <si>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</si>
  <si>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</si>
  <si>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</si>
  <si>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</si>
  <si>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</si>
  <si>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</si>
  <si>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</si>
  <si>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</si>
  <si>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</si>
  <si>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</si>
  <si>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</si>
  <si>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</si>
  <si>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</si>
  <si>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</si>
  <si>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</si>
  <si>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</si>
  <si>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</si>
  <si>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</si>
  <si>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</si>
  <si>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</si>
  <si>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</si>
  <si>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</si>
  <si>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</si>
  <si>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</si>
  <si>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</si>
  <si>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</si>
  <si>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</si>
  <si>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</si>
  <si>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</si>
  <si>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</si>
  <si>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</si>
  <si>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</si>
  <si>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</si>
  <si>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</si>
  <si>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</si>
  <si>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</si>
  <si>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</si>
  <si>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</si>
  <si>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</si>
  <si>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</si>
  <si>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</si>
  <si>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</si>
  <si>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</si>
  <si>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</si>
  <si>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</si>
  <si>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</si>
  <si>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</si>
  <si>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</si>
  <si>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</si>
  <si>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</si>
  <si>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</si>
  <si>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</si>
  <si>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</si>
  <si>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</si>
  <si>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</si>
  <si>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</si>
  <si>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</si>
  <si>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</si>
  <si>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</si>
  <si>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</si>
  <si>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</si>
  <si>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</si>
  <si>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</si>
  <si>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</si>
  <si>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</si>
  <si>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</si>
  <si>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</si>
  <si>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</si>
  <si>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</si>
  <si>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</si>
  <si>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</si>
  <si>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</si>
  <si>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</si>
  <si>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</si>
  <si>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</si>
  <si>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</si>
  <si>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</si>
  <si>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</si>
  <si>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</si>
  <si>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</si>
  <si>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</si>
  <si>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</si>
  <si>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</si>
  <si>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</si>
  <si>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</si>
  <si>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</si>
  <si>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</si>
  <si>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</si>
  <si>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</si>
  <si>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</si>
  <si>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</si>
  <si>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</si>
  <si>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</si>
  <si>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</si>
  <si>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</si>
  <si>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</si>
  <si>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</si>
  <si>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</si>
  <si>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</si>
  <si>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</si>
  <si>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</si>
  <si>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</si>
  <si>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</si>
  <si>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</si>
  <si>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</si>
  <si>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</si>
  <si>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</si>
  <si>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</si>
  <si>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</si>
  <si>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</si>
  <si>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</si>
  <si>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</si>
  <si>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</si>
  <si>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</si>
  <si>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</si>
  <si>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</si>
  <si>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</si>
  <si>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</si>
  <si>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</si>
  <si>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</si>
  <si>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</si>
  <si>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</si>
  <si>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</si>
  <si>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</si>
  <si>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</si>
  <si>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</si>
  <si>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</si>
  <si>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</si>
  <si>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</si>
  <si>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</si>
  <si>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</si>
  <si>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</si>
  <si>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</si>
  <si>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</si>
  <si>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</si>
  <si>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</si>
  <si>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</si>
  <si>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</si>
  <si>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</si>
  <si>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</si>
  <si>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</si>
  <si>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</si>
  <si>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</si>
  <si>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</si>
  <si>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</si>
  <si>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</si>
  <si>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</si>
  <si>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</si>
  <si>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</si>
  <si>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</si>
  <si>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</si>
  <si>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</si>
  <si>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</si>
  <si>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</si>
  <si>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</si>
  <si>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</si>
  <si>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</si>
  <si>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</si>
  <si>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</si>
  <si>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</si>
  <si>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</si>
  <si>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</si>
  <si>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</si>
  <si>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</si>
  <si>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</si>
  <si>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</si>
  <si>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</si>
  <si>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</si>
  <si>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</si>
  <si>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</si>
  <si>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</si>
  <si>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</si>
  <si>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</si>
  <si>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</si>
  <si>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</si>
  <si>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</si>
  <si>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</si>
  <si>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</si>
  <si>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</si>
  <si>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</si>
  <si>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</si>
  <si>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</si>
  <si>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</si>
  <si>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</si>
  <si>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</si>
  <si>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</si>
  <si>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</si>
  <si>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</si>
  <si>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</si>
  <si>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</si>
  <si>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</si>
  <si>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</si>
  <si>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</si>
  <si>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</si>
  <si>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</si>
  <si>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</si>
  <si>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</si>
  <si>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</si>
  <si>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</si>
  <si>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</si>
  <si>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</si>
  <si>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</si>
  <si>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</si>
  <si>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</si>
  <si>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</si>
  <si>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</si>
  <si>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</si>
  <si>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</si>
  <si>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</si>
  <si>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</si>
  <si>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</si>
  <si>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</si>
  <si>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</si>
  <si>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</si>
  <si>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</si>
  <si>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Debt raising costs</t>
  </si>
  <si>
    <t>GSL payments</t>
  </si>
  <si>
    <t>DMIA</t>
  </si>
  <si>
    <t>Network innovation fund</t>
  </si>
  <si>
    <t>DMIA/Licence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</si>
</sst>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0"/>
    <numFmt numFmtId="166" formatCode="_-* #,##0_-;\-* #,##0_-;_-* &quot;-&quot;??_-;_-@_-"/>
    <numFmt numFmtId="167" formatCode="0.0;\–0.0;&quot;–&quot;"/>
    <numFmt numFmtId="168" formatCode="#,##0;\(#,##0\)"/>
    <numFmt numFmtId="169" formatCode="#,##0.0_ ;\-#,##0.0\ "/>
    <numFmt numFmtId="170" formatCode="##\ ###\ ###\ ###\ ##0"/>
    <numFmt numFmtId="171" formatCode="0000"/>
    <numFmt numFmtId="172" formatCode="0#\ ####\ ####"/>
    <numFmt numFmtId="173" formatCode="0.00;\–0.00;&quot;–&quot;"/>
    <numFmt numFmtId="174" formatCode="#,##0.00_ ;\-#,##0.00\ "/>
  </numFmts>
  <fonts count="7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7">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5"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0" fontId="24" fillId="11" borderId="45" xfId="0" applyFont="1" applyFill="1" applyBorder="1" applyAlignment="1">
      <alignment horizontal="left" vertical="center" wrapText="1" indent="1"/>
    </xf>
    <xf numFmtId="0" fontId="4" fillId="0" borderId="45" xfId="7" applyFont="1" applyBorder="1" applyAlignment="1">
      <alignment horizontal="left" vertical="center" indent="1"/>
    </xf>
    <xf numFmtId="166" fontId="10" fillId="0" borderId="0" xfId="0" applyNumberFormat="1" applyFont="1"/>
    <xf numFmtId="0" fontId="4" fillId="0" borderId="56" xfId="0" applyFont="1" applyBorder="1" applyAlignment="1">
      <alignment horizontal="left" vertical="center" wrapText="1" indent="1"/>
    </xf>
    <xf numFmtId="0" fontId="10" fillId="13" borderId="7" xfId="0" applyFont="1" applyFill="1" applyBorder="1" applyAlignment="1">
      <alignment horizontal="right" vertical="center" wrapText="1" inden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2" fontId="10" fillId="6" borderId="69" xfId="0" applyNumberFormat="1" applyFont="1" applyFill="1" applyBorder="1" applyProtection="1">
      <protection locked="0"/>
    </xf>
    <xf numFmtId="2" fontId="10" fillId="6" borderId="72" xfId="0" applyNumberFormat="1" applyFont="1" applyFill="1" applyBorder="1" applyProtection="1">
      <protection locked="0"/>
    </xf>
    <xf numFmtId="0" fontId="4" fillId="0" borderId="45" xfId="0" applyFont="1" applyBorder="1" applyAlignment="1">
      <alignment horizontal="left" vertical="center" wrapText="1" indent="3"/>
    </xf>
    <xf numFmtId="0" fontId="4" fillId="0" borderId="45" xfId="0" applyFont="1" applyBorder="1" applyAlignment="1">
      <alignment horizontal="left" vertical="center" wrapText="1" indent="1"/>
    </xf>
    <xf numFmtId="166" fontId="5" fillId="0" borderId="0" xfId="0" applyNumberFormat="1" applyFont="1"/>
    <xf numFmtId="0" fontId="27" fillId="0" borderId="0" xfId="0" applyFont="1"/>
    <xf numFmtId="2" fontId="10" fillId="6" borderId="75" xfId="0" applyNumberFormat="1" applyFont="1" applyFill="1" applyBorder="1" applyProtection="1">
      <protection locked="0"/>
    </xf>
    <xf numFmtId="0" fontId="10" fillId="13" borderId="26" xfId="0" applyFont="1" applyFill="1" applyBorder="1" applyAlignment="1">
      <alignment horizontal="right" wrapText="1"/>
    </xf>
    <xf numFmtId="164" fontId="10" fillId="13" borderId="37" xfId="1" applyNumberFormat="1" applyFont="1" applyFill="1" applyBorder="1" applyAlignment="1" applyProtection="1">
      <alignment horizontal="right" wrapText="1"/>
      <protection locked="0"/>
    </xf>
    <xf numFmtId="167"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0" fontId="30" fillId="19" borderId="7" xfId="0" applyFont="1" applyFill="1" applyBorder="1"/>
    <xf numFmtId="0" fontId="30" fillId="19" borderId="8" xfId="0" applyFont="1" applyFill="1" applyBorder="1" applyAlignment="1">
      <alignment wrapText="1"/>
    </xf>
    <xf numFmtId="169"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0" fontId="26" fillId="21" borderId="31" xfId="0" applyFont="1" applyFill="1" applyBorder="1" applyAlignment="1">
      <alignment horizontal="left" vertical="center"/>
    </xf>
    <xf numFmtId="167" fontId="30" fillId="19" borderId="114" xfId="0" applyNumberFormat="1" applyFont="1" applyFill="1" applyBorder="1" applyAlignment="1">
      <alignment horizontal="right"/>
    </xf>
    <xf numFmtId="167" fontId="30" fillId="19" borderId="115" xfId="0" applyNumberFormat="1" applyFont="1" applyFill="1" applyBorder="1" applyAlignment="1">
      <alignment horizontal="right"/>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0" fontId="37"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0" fillId="33" borderId="133" xfId="0" applyFont="1" applyFill="1" applyBorder="1"/>
    <xf numFmtId="0" fontId="40" fillId="33" borderId="134" xfId="0" applyFont="1" applyFill="1" applyBorder="1"/>
    <xf numFmtId="0" fontId="40" fillId="33" borderId="133" xfId="0" applyFont="1" applyFill="1" applyBorder="1" applyAlignment="1">
      <alignment horizontal="center" vertical="center"/>
    </xf>
    <xf numFmtId="0" fontId="4" fillId="33" borderId="133" xfId="0" applyFont="1" applyFill="1" applyBorder="1" applyAlignment="1">
      <alignment horizontal="center"/>
    </xf>
    <xf numFmtId="0" fontId="39"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0"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1" fontId="4" fillId="33" borderId="134" xfId="0" applyNumberFormat="1" applyFont="1" applyFill="1" applyBorder="1" applyAlignment="1">
      <alignment horizontal="center" vertical="center"/>
    </xf>
    <xf numFmtId="170"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0" fontId="4" fillId="11" borderId="92" xfId="0" applyNumberFormat="1" applyFont="1" applyFill="1" applyBorder="1" applyAlignment="1">
      <alignment horizontal="right" vertical="top" indent="1"/>
    </xf>
    <xf numFmtId="170"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1" fontId="4" fillId="35" borderId="134" xfId="0" applyNumberFormat="1" applyFont="1" applyFill="1" applyBorder="1" applyAlignment="1">
      <alignment horizontal="center" vertical="center"/>
    </xf>
    <xf numFmtId="0" fontId="39"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1" fontId="4" fillId="33" borderId="134" xfId="0" applyNumberFormat="1" applyFont="1" applyFill="1" applyBorder="1" applyAlignment="1">
      <alignment horizontal="center"/>
    </xf>
    <xf numFmtId="0" fontId="39"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1"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6" fillId="2" borderId="0" xfId="0" applyFont="1" applyFill="1"/>
    <xf numFmtId="0" fontId="46" fillId="39" borderId="0" xfId="0" applyFont="1" applyFill="1"/>
    <xf numFmtId="0" fontId="46" fillId="39" borderId="0" xfId="0" applyFont="1" applyFill="1" applyAlignment="1">
      <alignment vertical="top"/>
    </xf>
    <xf numFmtId="0" fontId="46" fillId="39" borderId="0" xfId="0" applyFont="1" applyFill="1" applyAlignment="1">
      <alignment horizontal="centerContinuous" vertical="top"/>
    </xf>
    <xf numFmtId="0" fontId="46"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7" fillId="2" borderId="0" xfId="0" applyFont="1" applyFill="1" applyAlignment="1">
      <alignment vertical="center"/>
    </xf>
    <xf numFmtId="0" fontId="47"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8" fillId="2" borderId="0" xfId="0" applyFont="1" applyFill="1" applyAlignment="1">
      <alignment vertical="top"/>
    </xf>
    <xf numFmtId="0" fontId="46" fillId="2" borderId="0" xfId="0" applyFont="1" applyFill="1" applyAlignment="1">
      <alignment vertical="top"/>
    </xf>
    <xf numFmtId="0" fontId="5" fillId="39" borderId="0" xfId="0" applyFont="1" applyFill="1" applyAlignment="1">
      <alignment vertical="top"/>
    </xf>
    <xf numFmtId="0" fontId="49" fillId="39" borderId="0" xfId="0" applyFont="1" applyFill="1" applyAlignment="1">
      <alignment vertical="top"/>
    </xf>
    <xf numFmtId="0" fontId="50" fillId="39" borderId="0" xfId="0" applyFont="1" applyFill="1" applyAlignment="1">
      <alignment vertical="top"/>
    </xf>
    <xf numFmtId="0" fontId="48"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1" fillId="39" borderId="0" xfId="0" applyFont="1" applyFill="1" applyAlignment="1">
      <alignment vertical="top"/>
    </xf>
    <xf numFmtId="0" fontId="41" fillId="39" borderId="0" xfId="0" applyFont="1" applyFill="1" applyAlignment="1">
      <alignment vertical="top"/>
    </xf>
    <xf numFmtId="0" fontId="34" fillId="39" borderId="0" xfId="0" applyFont="1" applyFill="1" applyAlignment="1">
      <alignment vertical="top"/>
    </xf>
    <xf numFmtId="0" fontId="51" fillId="39" borderId="0" xfId="0" applyFont="1" applyFill="1" applyAlignment="1">
      <alignment horizontal="center" vertical="top"/>
    </xf>
    <xf numFmtId="0" fontId="52" fillId="39" borderId="0" xfId="0" applyFont="1" applyFill="1" applyAlignment="1">
      <alignment horizontal="center" vertical="top"/>
    </xf>
    <xf numFmtId="0" fontId="51"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3" fillId="39" borderId="0" xfId="0" applyFont="1" applyFill="1" applyAlignment="1">
      <alignment vertical="top"/>
    </xf>
    <xf numFmtId="0" fontId="48"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68" fontId="16" fillId="8" borderId="7" xfId="0" applyNumberFormat="1" applyFont="1" applyFill="1" applyBorder="1" applyAlignment="1" applyProtection="1">
      <alignment horizontal="center"/>
      <protection locked="0"/>
    </xf>
    <xf numFmtId="0" fontId="54" fillId="24" borderId="0" xfId="0" applyFont="1" applyFill="1"/>
    <xf numFmtId="0" fontId="55" fillId="24" borderId="0" xfId="0" applyFont="1" applyFill="1" applyAlignment="1">
      <alignment horizontal="center"/>
    </xf>
    <xf numFmtId="0" fontId="56" fillId="24" borderId="0" xfId="0" quotePrefix="1" applyFont="1" applyFill="1"/>
    <xf numFmtId="0" fontId="5" fillId="24" borderId="0" xfId="0" applyFont="1" applyFill="1"/>
    <xf numFmtId="0" fontId="5" fillId="2" borderId="0" xfId="0" applyFont="1" applyFill="1" applyProtection="1">
      <protection locked="0"/>
    </xf>
    <xf numFmtId="0" fontId="57" fillId="0" borderId="77" xfId="0" applyFont="1" applyBorder="1" applyAlignment="1">
      <alignment horizontal="left"/>
    </xf>
    <xf numFmtId="0" fontId="5" fillId="2" borderId="31" xfId="0" applyFont="1" applyFill="1" applyBorder="1"/>
    <xf numFmtId="0" fontId="57" fillId="2" borderId="10" xfId="0" applyFont="1" applyFill="1" applyBorder="1"/>
    <xf numFmtId="0" fontId="5" fillId="2" borderId="66" xfId="0" applyFont="1" applyFill="1" applyBorder="1"/>
    <xf numFmtId="0" fontId="57"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8" fillId="6" borderId="0" xfId="0" applyFont="1" applyFill="1" applyAlignment="1" applyProtection="1">
      <alignment horizontal="left"/>
      <protection locked="0"/>
    </xf>
    <xf numFmtId="0" fontId="58"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8" fillId="10" borderId="155" xfId="0" applyFont="1" applyFill="1" applyBorder="1" applyAlignment="1" applyProtection="1">
      <alignment horizontal="left"/>
      <protection locked="0"/>
    </xf>
    <xf numFmtId="0" fontId="59"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7"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8"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1" fillId="10" borderId="65" xfId="0" applyFont="1" applyFill="1" applyBorder="1" applyAlignment="1" applyProtection="1">
      <alignment horizontal="left"/>
      <protection locked="0"/>
    </xf>
    <xf numFmtId="0" fontId="59" fillId="10" borderId="65" xfId="0" applyFont="1" applyFill="1" applyBorder="1" applyAlignment="1" applyProtection="1">
      <alignment horizontal="left" vertical="top"/>
      <protection locked="0"/>
    </xf>
    <xf numFmtId="0" fontId="58" fillId="10" borderId="65" xfId="0" applyFont="1" applyFill="1" applyBorder="1" applyAlignment="1" applyProtection="1">
      <alignment horizontal="left" vertical="top"/>
      <protection locked="0"/>
    </xf>
    <xf numFmtId="0" fontId="58"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8" fillId="10" borderId="152" xfId="0" quotePrefix="1" applyFont="1" applyFill="1" applyBorder="1" applyAlignment="1">
      <alignment vertical="top"/>
    </xf>
    <xf numFmtId="0" fontId="58" fillId="10" borderId="153" xfId="0" quotePrefix="1" applyFont="1" applyFill="1" applyBorder="1" applyAlignment="1">
      <alignment vertical="top"/>
    </xf>
    <xf numFmtId="0" fontId="58"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8" fillId="10" borderId="48" xfId="0" quotePrefix="1" applyFont="1" applyFill="1" applyBorder="1" applyAlignment="1">
      <alignment vertical="top"/>
    </xf>
    <xf numFmtId="0" fontId="58" fillId="10" borderId="165" xfId="0" quotePrefix="1" applyFont="1" applyFill="1" applyBorder="1" applyAlignment="1">
      <alignment vertical="top"/>
    </xf>
    <xf numFmtId="0" fontId="58"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0" fillId="10" borderId="142" xfId="0" applyFont="1" applyFill="1" applyBorder="1" applyAlignment="1">
      <alignment vertical="top"/>
    </xf>
    <xf numFmtId="0" fontId="62" fillId="10" borderId="142" xfId="0" applyFont="1" applyFill="1" applyBorder="1" applyAlignment="1">
      <alignment horizontal="centerContinuous" vertical="top"/>
    </xf>
    <xf numFmtId="0" fontId="62" fillId="10" borderId="141" xfId="0" applyFont="1" applyFill="1" applyBorder="1" applyAlignment="1">
      <alignment horizontal="centerContinuous" vertical="top"/>
    </xf>
    <xf numFmtId="0" fontId="58" fillId="10" borderId="48" xfId="0" applyFont="1" applyFill="1" applyBorder="1" applyAlignment="1">
      <alignment vertical="top"/>
    </xf>
    <xf numFmtId="0" fontId="63"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8" fillId="10" borderId="59" xfId="0" quotePrefix="1" applyFont="1" applyFill="1" applyBorder="1" applyAlignment="1">
      <alignment vertical="top"/>
    </xf>
    <xf numFmtId="0" fontId="58" fillId="10" borderId="154" xfId="0" quotePrefix="1" applyFont="1" applyFill="1" applyBorder="1" applyAlignment="1">
      <alignment vertical="top"/>
    </xf>
    <xf numFmtId="0" fontId="58" fillId="10" borderId="147" xfId="0" applyFont="1" applyFill="1" applyBorder="1" applyAlignment="1">
      <alignment vertical="top"/>
    </xf>
    <xf numFmtId="0" fontId="0" fillId="10" borderId="147" xfId="0" applyFill="1" applyBorder="1"/>
    <xf numFmtId="0" fontId="0" fillId="10" borderId="167" xfId="0" applyFill="1" applyBorder="1"/>
    <xf numFmtId="0" fontId="64" fillId="21" borderId="168" xfId="0" applyFont="1" applyFill="1" applyBorder="1"/>
    <xf numFmtId="0" fontId="28" fillId="21" borderId="169" xfId="0" applyFont="1" applyFill="1" applyBorder="1"/>
    <xf numFmtId="0" fontId="28" fillId="21" borderId="170" xfId="0" applyFont="1" applyFill="1" applyBorder="1"/>
    <xf numFmtId="0" fontId="65" fillId="21" borderId="170" xfId="0" applyFont="1" applyFill="1" applyBorder="1"/>
    <xf numFmtId="0" fontId="65"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8" fillId="10" borderId="48" xfId="0" applyFont="1" applyFill="1" applyBorder="1" applyAlignment="1">
      <alignment vertical="center"/>
    </xf>
    <xf numFmtId="0" fontId="58"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8" fillId="10" borderId="59" xfId="0" applyFont="1" applyFill="1" applyBorder="1" applyAlignment="1">
      <alignment vertical="top"/>
    </xf>
    <xf numFmtId="0" fontId="0" fillId="10" borderId="59" xfId="0" applyFill="1" applyBorder="1"/>
    <xf numFmtId="0" fontId="0" fillId="10" borderId="60" xfId="0" applyFill="1" applyBorder="1"/>
    <xf numFmtId="0" fontId="64" fillId="21" borderId="173" xfId="0" applyFont="1" applyFill="1" applyBorder="1"/>
    <xf numFmtId="0" fontId="28" fillId="21" borderId="174" xfId="0" applyFont="1" applyFill="1" applyBorder="1"/>
    <xf numFmtId="0" fontId="65" fillId="21" borderId="174" xfId="0" applyFont="1" applyFill="1" applyBorder="1"/>
    <xf numFmtId="0" fontId="65"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8" fillId="10" borderId="165" xfId="0" quotePrefix="1" applyFont="1" applyFill="1" applyBorder="1" applyAlignment="1">
      <alignment vertical="center"/>
    </xf>
    <xf numFmtId="0" fontId="58"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4"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6"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6"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6"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6"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6"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6"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6"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6"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6"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5" fillId="43" borderId="48" xfId="0" quotePrefix="1" applyFont="1" applyFill="1" applyBorder="1" applyAlignment="1">
      <alignment horizontal="center" vertical="center"/>
    </xf>
    <xf numFmtId="0" fontId="58" fillId="43" borderId="183" xfId="0" quotePrefix="1" applyFont="1" applyFill="1" applyBorder="1" applyAlignment="1">
      <alignment vertical="top"/>
    </xf>
    <xf numFmtId="0" fontId="58" fillId="43" borderId="184" xfId="0" quotePrefix="1" applyFont="1" applyFill="1" applyBorder="1" applyAlignment="1">
      <alignment vertical="top"/>
    </xf>
    <xf numFmtId="0" fontId="58"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8" fillId="43" borderId="152" xfId="0" quotePrefix="1" applyFont="1" applyFill="1" applyBorder="1" applyAlignment="1">
      <alignment vertical="center"/>
    </xf>
    <xf numFmtId="0" fontId="63" fillId="43" borderId="153" xfId="0" applyFont="1" applyFill="1" applyBorder="1" applyAlignment="1">
      <alignment horizontal="left" vertical="center"/>
    </xf>
    <xf numFmtId="0" fontId="58"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3" fillId="43" borderId="165" xfId="0" applyFont="1" applyFill="1" applyBorder="1" applyAlignment="1">
      <alignment horizontal="left" vertical="center"/>
    </xf>
    <xf numFmtId="0" fontId="58"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8" fillId="43" borderId="0" xfId="0" quotePrefix="1" applyFont="1" applyFill="1" applyAlignment="1">
      <alignment vertical="top"/>
    </xf>
    <xf numFmtId="0" fontId="58" fillId="43" borderId="0" xfId="0" applyFont="1" applyFill="1" applyAlignment="1">
      <alignment vertical="top"/>
    </xf>
    <xf numFmtId="0" fontId="0" fillId="43" borderId="0" xfId="0" applyFill="1"/>
    <xf numFmtId="0" fontId="0" fillId="43" borderId="66" xfId="0" applyFill="1" applyBorder="1"/>
    <xf numFmtId="0" fontId="65" fillId="21" borderId="178" xfId="0" applyFont="1" applyFill="1" applyBorder="1"/>
    <xf numFmtId="0" fontId="65"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8" fillId="43" borderId="152" xfId="0" quotePrefix="1" applyFont="1" applyFill="1" applyBorder="1" applyAlignment="1">
      <alignment vertical="top"/>
    </xf>
    <xf numFmtId="0" fontId="58" fillId="43" borderId="153" xfId="0" quotePrefix="1" applyFont="1" applyFill="1" applyBorder="1" applyAlignment="1">
      <alignment vertical="top"/>
    </xf>
    <xf numFmtId="0" fontId="58" fillId="43" borderId="143" xfId="0" applyFont="1" applyFill="1" applyBorder="1" applyAlignment="1">
      <alignment vertical="top"/>
    </xf>
    <xf numFmtId="0" fontId="0" fillId="43" borderId="143" xfId="0" applyFill="1" applyBorder="1"/>
    <xf numFmtId="0" fontId="0" fillId="43" borderId="163" xfId="0" applyFill="1" applyBorder="1"/>
    <xf numFmtId="0" fontId="67" fillId="43" borderId="152" xfId="0" quotePrefix="1" applyFont="1" applyFill="1" applyBorder="1" applyAlignment="1">
      <alignment horizontal="center"/>
    </xf>
    <xf numFmtId="0" fontId="58"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8" fillId="43" borderId="152" xfId="0" quotePrefix="1" applyFont="1" applyFill="1" applyBorder="1" applyAlignment="1">
      <alignment horizontal="left" vertical="top"/>
    </xf>
    <xf numFmtId="0" fontId="58" fillId="43" borderId="153" xfId="0" quotePrefix="1" applyFont="1" applyFill="1" applyBorder="1" applyAlignment="1">
      <alignment horizontal="left" vertical="top"/>
    </xf>
    <xf numFmtId="0" fontId="58"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8" fillId="43" borderId="190" xfId="0" quotePrefix="1" applyFont="1" applyFill="1" applyBorder="1" applyAlignment="1">
      <alignment vertical="top"/>
    </xf>
    <xf numFmtId="0" fontId="58" fillId="43" borderId="191" xfId="0" quotePrefix="1" applyFont="1" applyFill="1" applyBorder="1" applyAlignment="1">
      <alignment vertical="top"/>
    </xf>
    <xf numFmtId="0" fontId="58" fillId="43" borderId="112" xfId="0" applyFont="1" applyFill="1" applyBorder="1" applyAlignment="1">
      <alignment vertical="top"/>
    </xf>
    <xf numFmtId="0" fontId="58" fillId="43" borderId="113" xfId="0" applyFont="1" applyFill="1" applyBorder="1" applyAlignment="1">
      <alignment vertical="top"/>
    </xf>
    <xf numFmtId="0" fontId="10" fillId="43" borderId="192" xfId="0" applyFont="1" applyFill="1" applyBorder="1" applyAlignment="1">
      <alignment horizontal="left" vertical="top"/>
    </xf>
    <xf numFmtId="0" fontId="58" fillId="43" borderId="152" xfId="0" quotePrefix="1" applyFont="1" applyFill="1" applyBorder="1" applyAlignment="1">
      <alignment horizontal="center" vertical="top"/>
    </xf>
    <xf numFmtId="0" fontId="58" fillId="43" borderId="48" xfId="0" quotePrefix="1" applyFont="1" applyFill="1" applyBorder="1" applyAlignment="1">
      <alignment horizontal="center" vertical="top"/>
    </xf>
    <xf numFmtId="0" fontId="58" fillId="43" borderId="48" xfId="0" quotePrefix="1" applyFont="1" applyFill="1" applyBorder="1" applyAlignment="1">
      <alignment vertical="top"/>
    </xf>
    <xf numFmtId="0" fontId="58" fillId="43" borderId="165" xfId="0" quotePrefix="1" applyFont="1" applyFill="1" applyBorder="1" applyAlignment="1">
      <alignment vertical="top"/>
    </xf>
    <xf numFmtId="0" fontId="58"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8" fillId="43" borderId="190" xfId="0" quotePrefix="1" applyFont="1" applyFill="1" applyBorder="1" applyAlignment="1">
      <alignment horizontal="left" vertical="top"/>
    </xf>
    <xf numFmtId="0" fontId="58" fillId="43" borderId="191" xfId="0" quotePrefix="1" applyFont="1" applyFill="1" applyBorder="1" applyAlignment="1">
      <alignment horizontal="left" vertical="top"/>
    </xf>
    <xf numFmtId="0" fontId="4" fillId="10" borderId="149" xfId="0" applyFont="1" applyFill="1" applyBorder="1" applyAlignment="1">
      <alignment vertical="center"/>
    </xf>
    <xf numFmtId="0" fontId="68"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8" fillId="10" borderId="183" xfId="0" quotePrefix="1" applyFont="1" applyFill="1" applyBorder="1" applyAlignment="1">
      <alignment horizontal="left" vertical="top" indent="1"/>
    </xf>
    <xf numFmtId="0" fontId="58" fillId="10" borderId="0" xfId="0" applyFont="1" applyFill="1" applyAlignment="1">
      <alignment vertical="top"/>
    </xf>
    <xf numFmtId="0" fontId="58" fillId="10" borderId="66" xfId="0" applyFont="1" applyFill="1" applyBorder="1" applyAlignment="1">
      <alignment vertical="top"/>
    </xf>
    <xf numFmtId="0" fontId="58" fillId="10" borderId="183" xfId="0" quotePrefix="1" applyFont="1" applyFill="1" applyBorder="1" applyAlignment="1">
      <alignment horizontal="left" vertical="top"/>
    </xf>
    <xf numFmtId="0" fontId="68" fillId="10" borderId="192" xfId="0" applyFont="1" applyFill="1" applyBorder="1" applyAlignment="1">
      <alignment horizontal="left" vertical="top" indent="2"/>
    </xf>
    <xf numFmtId="0" fontId="58"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69" fillId="10" borderId="192" xfId="0" applyFont="1" applyFill="1" applyBorder="1" applyAlignment="1">
      <alignment horizontal="left" vertical="top" indent="2"/>
    </xf>
    <xf numFmtId="0" fontId="69"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8" fillId="10" borderId="193" xfId="0" quotePrefix="1" applyFont="1" applyFill="1" applyBorder="1" applyAlignment="1">
      <alignment horizontal="left" vertical="top" indent="1"/>
    </xf>
    <xf numFmtId="0" fontId="58" fillId="10" borderId="194" xfId="0" quotePrefix="1" applyFont="1" applyFill="1" applyBorder="1" applyAlignment="1">
      <alignment horizontal="left" vertical="top"/>
    </xf>
    <xf numFmtId="0" fontId="58" fillId="10" borderId="5" xfId="0" applyFont="1" applyFill="1" applyBorder="1" applyAlignment="1">
      <alignment vertical="top"/>
    </xf>
    <xf numFmtId="0" fontId="58" fillId="10" borderId="156" xfId="0" applyFont="1" applyFill="1" applyBorder="1" applyAlignment="1">
      <alignment vertical="top"/>
    </xf>
    <xf numFmtId="0" fontId="69"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8"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0" fillId="10" borderId="183" xfId="0" applyFont="1" applyFill="1" applyBorder="1" applyAlignment="1">
      <alignment horizontal="center" vertical="top" wrapText="1"/>
    </xf>
    <xf numFmtId="0" fontId="70" fillId="10" borderId="183" xfId="0" quotePrefix="1" applyFont="1" applyFill="1" applyBorder="1" applyAlignment="1">
      <alignment horizontal="left" vertical="top" indent="1"/>
    </xf>
    <xf numFmtId="0" fontId="72" fillId="10" borderId="132" xfId="0" quotePrefix="1" applyFont="1" applyFill="1" applyBorder="1" applyAlignment="1">
      <alignment horizontal="left" vertical="top" indent="2"/>
    </xf>
    <xf numFmtId="0" fontId="25" fillId="10" borderId="0" xfId="0" applyFont="1" applyFill="1" applyAlignment="1">
      <alignment vertical="top"/>
    </xf>
    <xf numFmtId="0" fontId="70" fillId="10" borderId="132" xfId="0" quotePrefix="1" applyFont="1" applyFill="1" applyBorder="1" applyAlignment="1">
      <alignment horizontal="left" vertical="top"/>
    </xf>
    <xf numFmtId="0" fontId="69"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8" fillId="10" borderId="132" xfId="0" quotePrefix="1" applyFont="1" applyFill="1" applyBorder="1" applyAlignment="1">
      <alignment horizontal="center" vertical="center"/>
    </xf>
    <xf numFmtId="0" fontId="58" fillId="10" borderId="132" xfId="0" quotePrefix="1" applyFont="1" applyFill="1" applyBorder="1" applyAlignment="1">
      <alignment vertical="top"/>
    </xf>
    <xf numFmtId="0" fontId="69"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8" fillId="10" borderId="196" xfId="0" quotePrefix="1" applyFont="1" applyFill="1" applyBorder="1" applyAlignment="1">
      <alignment vertical="top"/>
    </xf>
    <xf numFmtId="0" fontId="58"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8" fillId="10" borderId="192" xfId="0" applyFont="1" applyFill="1" applyBorder="1" applyAlignment="1">
      <alignment horizontal="left"/>
    </xf>
    <xf numFmtId="0" fontId="24" fillId="10" borderId="183" xfId="0" quotePrefix="1" applyFont="1" applyFill="1" applyBorder="1" applyAlignment="1">
      <alignment horizontal="left"/>
    </xf>
    <xf numFmtId="0" fontId="58" fillId="10" borderId="183" xfId="0" quotePrefix="1" applyFont="1" applyFill="1" applyBorder="1"/>
    <xf numFmtId="0" fontId="58"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8" fillId="10" borderId="193" xfId="0" quotePrefix="1" applyFont="1" applyFill="1" applyBorder="1" applyAlignment="1">
      <alignment vertical="top"/>
    </xf>
    <xf numFmtId="0" fontId="58"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0" fillId="10" borderId="183" xfId="0" quotePrefix="1" applyFont="1" applyFill="1" applyBorder="1" applyAlignment="1">
      <alignment horizontal="left" vertical="top" indent="3"/>
    </xf>
    <xf numFmtId="0" fontId="58" fillId="10" borderId="193" xfId="0" quotePrefix="1" applyFont="1" applyFill="1" applyBorder="1" applyAlignment="1">
      <alignment horizontal="left" vertical="top"/>
    </xf>
    <xf numFmtId="0" fontId="69"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8" fillId="10" borderId="0" xfId="0" quotePrefix="1" applyFont="1" applyFill="1" applyAlignment="1">
      <alignment vertical="top"/>
    </xf>
    <xf numFmtId="0" fontId="58" fillId="10" borderId="0" xfId="0" quotePrefix="1" applyFont="1" applyFill="1" applyAlignment="1">
      <alignment horizontal="left" vertical="top"/>
    </xf>
    <xf numFmtId="0" fontId="68"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8" fillId="10" borderId="132" xfId="0" quotePrefix="1" applyFont="1" applyFill="1" applyBorder="1" applyAlignment="1">
      <alignment horizontal="center" vertical="top"/>
    </xf>
    <xf numFmtId="0" fontId="63" fillId="10" borderId="132" xfId="0" applyFont="1" applyFill="1" applyBorder="1" applyAlignment="1">
      <alignment horizontal="left" vertical="top" indent="3"/>
    </xf>
    <xf numFmtId="0" fontId="69" fillId="10" borderId="203" xfId="0" applyFont="1" applyFill="1" applyBorder="1" applyAlignment="1">
      <alignment horizontal="left" vertical="top" indent="2"/>
    </xf>
    <xf numFmtId="0" fontId="58" fillId="10" borderId="204" xfId="0" quotePrefix="1" applyFont="1" applyFill="1" applyBorder="1" applyAlignment="1">
      <alignment horizontal="center" vertical="top"/>
    </xf>
    <xf numFmtId="0" fontId="58" fillId="10" borderId="205" xfId="0" quotePrefix="1" applyFont="1" applyFill="1" applyBorder="1" applyAlignment="1">
      <alignment vertical="top"/>
    </xf>
    <xf numFmtId="0" fontId="58" fillId="10" borderId="204" xfId="0" quotePrefix="1" applyFont="1" applyFill="1" applyBorder="1" applyAlignment="1">
      <alignment horizontal="left" vertical="top"/>
    </xf>
    <xf numFmtId="0" fontId="58"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8" fillId="10" borderId="0" xfId="0" quotePrefix="1" applyFont="1" applyFill="1" applyAlignment="1">
      <alignment horizontal="left" vertical="top" indent="1"/>
    </xf>
    <xf numFmtId="0" fontId="73" fillId="10" borderId="132" xfId="0" quotePrefix="1" applyFont="1" applyFill="1" applyBorder="1" applyAlignment="1">
      <alignment vertical="top"/>
    </xf>
    <xf numFmtId="0" fontId="69"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8" fillId="4" borderId="0" xfId="0" quotePrefix="1" applyFont="1" applyFill="1" applyAlignment="1">
      <alignment vertical="top"/>
    </xf>
    <xf numFmtId="0" fontId="73"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8"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8" fillId="10" borderId="212" xfId="0" quotePrefix="1" applyFont="1" applyFill="1" applyBorder="1" applyAlignment="1">
      <alignment horizontal="left" vertical="top"/>
    </xf>
    <xf numFmtId="0" fontId="58"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8" fillId="10" borderId="152" xfId="0" applyFont="1" applyFill="1" applyBorder="1" applyAlignment="1">
      <alignment vertical="top"/>
    </xf>
    <xf numFmtId="0" fontId="58" fillId="10" borderId="214" xfId="0" applyFont="1" applyFill="1" applyBorder="1" applyAlignment="1">
      <alignment vertical="top"/>
    </xf>
    <xf numFmtId="0" fontId="4" fillId="10" borderId="149" xfId="0" applyFont="1" applyFill="1" applyBorder="1" applyAlignment="1">
      <alignment horizontal="left" vertical="top" indent="2"/>
    </xf>
    <xf numFmtId="0" fontId="58"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8" fillId="10" borderId="216" xfId="0" quotePrefix="1" applyFont="1" applyFill="1" applyBorder="1" applyAlignment="1">
      <alignment vertical="top"/>
    </xf>
    <xf numFmtId="0" fontId="58" fillId="10" borderId="216" xfId="0" applyFont="1" applyFill="1" applyBorder="1" applyAlignment="1">
      <alignment vertical="top"/>
    </xf>
    <xf numFmtId="0" fontId="58"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8" fillId="10" borderId="205" xfId="0" applyFont="1" applyFill="1" applyBorder="1" applyAlignment="1">
      <alignment vertical="top"/>
    </xf>
    <xf numFmtId="0" fontId="58" fillId="10" borderId="218" xfId="0" applyFont="1" applyFill="1" applyBorder="1" applyAlignment="1">
      <alignment vertical="top"/>
    </xf>
    <xf numFmtId="0" fontId="64" fillId="44" borderId="177" xfId="0" applyFont="1" applyFill="1" applyBorder="1"/>
    <xf numFmtId="0" fontId="28" fillId="44" borderId="178" xfId="0" applyFont="1" applyFill="1" applyBorder="1"/>
    <xf numFmtId="0" fontId="65" fillId="44" borderId="178" xfId="0" applyFont="1" applyFill="1" applyBorder="1"/>
    <xf numFmtId="0" fontId="65"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8" fillId="10" borderId="160" xfId="0" quotePrefix="1" applyFont="1" applyFill="1" applyBorder="1" applyAlignment="1">
      <alignment vertical="top"/>
    </xf>
    <xf numFmtId="0" fontId="50" fillId="10" borderId="219" xfId="0" quotePrefix="1" applyFont="1" applyFill="1" applyBorder="1" applyAlignment="1">
      <alignment vertical="top"/>
    </xf>
    <xf numFmtId="0" fontId="74" fillId="10" borderId="8" xfId="0" applyFont="1" applyFill="1" applyBorder="1" applyAlignment="1">
      <alignment vertical="top"/>
    </xf>
    <xf numFmtId="0" fontId="74"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4" fillId="10" borderId="165" xfId="0" quotePrefix="1" applyFont="1" applyFill="1" applyBorder="1" applyAlignment="1">
      <alignment vertical="top"/>
    </xf>
    <xf numFmtId="0" fontId="74" fillId="10" borderId="142" xfId="0" applyFont="1" applyFill="1" applyBorder="1" applyAlignment="1">
      <alignment vertical="top"/>
    </xf>
    <xf numFmtId="0" fontId="74" fillId="10" borderId="141" xfId="0" applyFont="1" applyFill="1" applyBorder="1" applyAlignment="1">
      <alignment vertical="top"/>
    </xf>
    <xf numFmtId="0" fontId="64" fillId="44" borderId="220" xfId="0" applyFont="1" applyFill="1" applyBorder="1"/>
    <xf numFmtId="0" fontId="28" fillId="44" borderId="169" xfId="0" applyFont="1" applyFill="1" applyBorder="1"/>
    <xf numFmtId="0" fontId="65"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5" fillId="45" borderId="223" xfId="0" quotePrefix="1" applyFont="1" applyFill="1" applyBorder="1" applyAlignment="1">
      <alignment vertical="top"/>
    </xf>
    <xf numFmtId="0" fontId="76" fillId="45" borderId="223" xfId="0" quotePrefix="1" applyFont="1" applyFill="1" applyBorder="1" applyAlignment="1">
      <alignment vertical="top"/>
    </xf>
    <xf numFmtId="0" fontId="76" fillId="45" borderId="223" xfId="0" applyFont="1" applyFill="1" applyBorder="1" applyAlignment="1">
      <alignment vertical="top"/>
    </xf>
    <xf numFmtId="0" fontId="76"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5" fillId="45" borderId="226" xfId="0" quotePrefix="1" applyFont="1" applyFill="1" applyBorder="1" applyAlignment="1">
      <alignment vertical="top"/>
    </xf>
    <xf numFmtId="0" fontId="76" fillId="45" borderId="226" xfId="0" quotePrefix="1" applyFont="1" applyFill="1" applyBorder="1" applyAlignment="1">
      <alignment vertical="top"/>
    </xf>
    <xf numFmtId="0" fontId="76" fillId="45" borderId="226" xfId="0" applyFont="1" applyFill="1" applyBorder="1" applyAlignment="1">
      <alignment vertical="top"/>
    </xf>
    <xf numFmtId="0" fontId="76"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5" fillId="45" borderId="229" xfId="0" quotePrefix="1" applyFont="1" applyFill="1" applyBorder="1" applyAlignment="1">
      <alignment vertical="top"/>
    </xf>
    <xf numFmtId="0" fontId="76" fillId="45" borderId="229" xfId="0" quotePrefix="1" applyFont="1" applyFill="1" applyBorder="1" applyAlignment="1">
      <alignment vertical="top"/>
    </xf>
    <xf numFmtId="0" fontId="76" fillId="45" borderId="229" xfId="0" applyFont="1" applyFill="1" applyBorder="1" applyAlignment="1">
      <alignment vertical="top"/>
    </xf>
    <xf numFmtId="0" fontId="76"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5" fillId="45" borderId="232" xfId="0" quotePrefix="1" applyFont="1" applyFill="1" applyBorder="1" applyAlignment="1">
      <alignment vertical="top"/>
    </xf>
    <xf numFmtId="0" fontId="76" fillId="45" borderId="232" xfId="0" quotePrefix="1" applyFont="1" applyFill="1" applyBorder="1" applyAlignment="1">
      <alignment vertical="top"/>
    </xf>
    <xf numFmtId="0" fontId="76" fillId="45" borderId="232" xfId="0" applyFont="1" applyFill="1" applyBorder="1" applyAlignment="1">
      <alignment vertical="top"/>
    </xf>
    <xf numFmtId="0" fontId="76"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2" fontId="4" fillId="8" borderId="103" xfId="0" applyNumberFormat="1" applyFont="1" applyFill="1" applyBorder="1" applyAlignment="1" applyProtection="1">
      <alignment vertical="center" wrapText="1"/>
      <protection locked="0"/>
    </xf>
    <xf numFmtId="2" fontId="17" fillId="12" borderId="100" xfId="0" applyNumberFormat="1" applyFont="1" applyFill="1" applyBorder="1" applyAlignment="1" applyProtection="1">
      <alignment vertical="center" wrapText="1"/>
      <protection locked="0"/>
    </xf>
    <xf numFmtId="2" fontId="17" fillId="12" borderId="46" xfId="0" applyNumberFormat="1" applyFont="1" applyFill="1" applyBorder="1" applyAlignment="1" applyProtection="1">
      <alignment vertical="center" wrapText="1"/>
      <protection locked="0"/>
    </xf>
    <xf numFmtId="2" fontId="17" fillId="12" borderId="48" xfId="0" applyNumberFormat="1" applyFont="1" applyFill="1" applyBorder="1" applyAlignment="1" applyProtection="1">
      <alignment vertical="center" wrapText="1"/>
      <protection locked="0"/>
    </xf>
    <xf numFmtId="2" fontId="4" fillId="8" borderId="49" xfId="0" applyNumberFormat="1" applyFont="1" applyFill="1" applyBorder="1" applyAlignment="1" applyProtection="1">
      <alignment vertical="center" wrapText="1"/>
      <protection locked="0"/>
    </xf>
    <xf numFmtId="2" fontId="4" fillId="8" borderId="51" xfId="0" applyNumberFormat="1" applyFont="1" applyFill="1" applyBorder="1" applyAlignment="1" applyProtection="1">
      <alignment vertical="center" wrapText="1"/>
      <protection locked="0"/>
    </xf>
    <xf numFmtId="2" fontId="4" fillId="8" borderId="39" xfId="0" applyNumberFormat="1" applyFont="1" applyFill="1" applyBorder="1" applyAlignment="1" applyProtection="1">
      <alignment vertical="center" wrapText="1"/>
      <protection locked="0"/>
    </xf>
    <xf numFmtId="2" fontId="4" fillId="8" borderId="40" xfId="0" applyNumberFormat="1" applyFont="1" applyFill="1" applyBorder="1" applyAlignment="1" applyProtection="1">
      <alignment vertical="center" wrapText="1"/>
      <protection locked="0"/>
    </xf>
    <xf numFmtId="2" fontId="4" fillId="8" borderId="99" xfId="0" applyNumberFormat="1" applyFont="1" applyFill="1" applyBorder="1" applyAlignment="1" applyProtection="1">
      <alignment vertical="center" wrapText="1"/>
      <protection locked="0"/>
    </xf>
    <xf numFmtId="2" fontId="4" fillId="8" borderId="41" xfId="0" applyNumberFormat="1" applyFont="1" applyFill="1" applyBorder="1" applyAlignment="1" applyProtection="1">
      <alignment vertical="center" wrapText="1"/>
      <protection locked="0"/>
    </xf>
    <xf numFmtId="2" fontId="4" fillId="8" borderId="42" xfId="0" applyNumberFormat="1" applyFont="1" applyFill="1" applyBorder="1" applyAlignment="1" applyProtection="1">
      <alignment vertical="center" wrapText="1"/>
      <protection locked="0"/>
    </xf>
    <xf numFmtId="2" fontId="10" fillId="6" borderId="46" xfId="0" applyNumberFormat="1" applyFont="1" applyFill="1" applyBorder="1" applyAlignment="1" applyProtection="1">
      <alignment vertical="center"/>
      <protection locked="0"/>
    </xf>
    <xf numFmtId="2" fontId="10" fillId="6" borderId="47" xfId="0" applyNumberFormat="1" applyFont="1" applyFill="1" applyBorder="1" applyAlignment="1" applyProtection="1">
      <alignment vertical="center"/>
      <protection locked="0"/>
    </xf>
    <xf numFmtId="2" fontId="10" fillId="6" borderId="100" xfId="0" applyNumberFormat="1" applyFont="1" applyFill="1" applyBorder="1" applyAlignment="1" applyProtection="1">
      <alignment vertical="center"/>
      <protection locked="0"/>
    </xf>
    <xf numFmtId="2" fontId="10" fillId="6" borderId="48" xfId="0" applyNumberFormat="1" applyFont="1" applyFill="1" applyBorder="1" applyAlignment="1" applyProtection="1">
      <alignment vertical="center"/>
      <protection locked="0"/>
    </xf>
    <xf numFmtId="2" fontId="10" fillId="6" borderId="49" xfId="0" applyNumberFormat="1" applyFont="1" applyFill="1" applyBorder="1" applyAlignment="1" applyProtection="1">
      <alignment vertical="center"/>
      <protection locked="0"/>
    </xf>
    <xf numFmtId="2" fontId="4" fillId="8" borderId="46" xfId="0" applyNumberFormat="1" applyFont="1" applyFill="1" applyBorder="1" applyAlignment="1" applyProtection="1">
      <alignment vertical="center" wrapText="1"/>
      <protection locked="0"/>
    </xf>
    <xf numFmtId="2" fontId="17" fillId="12" borderId="47" xfId="0" applyNumberFormat="1" applyFont="1" applyFill="1" applyBorder="1" applyAlignment="1" applyProtection="1">
      <alignment vertical="center" wrapText="1"/>
      <protection locked="0"/>
    </xf>
    <xf numFmtId="2" fontId="4" fillId="8" borderId="57" xfId="0" applyNumberFormat="1" applyFont="1" applyFill="1" applyBorder="1" applyAlignment="1" applyProtection="1">
      <alignment vertical="center" wrapText="1"/>
      <protection locked="0"/>
    </xf>
    <xf numFmtId="2" fontId="4" fillId="8" borderId="58" xfId="0" applyNumberFormat="1" applyFont="1" applyFill="1" applyBorder="1" applyAlignment="1" applyProtection="1">
      <alignment vertical="center" wrapText="1"/>
      <protection locked="0"/>
    </xf>
    <xf numFmtId="2" fontId="4" fillId="8" borderId="101" xfId="0" applyNumberFormat="1" applyFont="1" applyFill="1" applyBorder="1" applyAlignment="1" applyProtection="1">
      <alignment vertical="center" wrapText="1"/>
      <protection locked="0"/>
    </xf>
    <xf numFmtId="2" fontId="4" fillId="8" borderId="59" xfId="0" applyNumberFormat="1" applyFont="1" applyFill="1" applyBorder="1" applyAlignment="1" applyProtection="1">
      <alignment vertical="center" wrapText="1"/>
      <protection locked="0"/>
    </xf>
    <xf numFmtId="2" fontId="4" fillId="8" borderId="60" xfId="0" applyNumberFormat="1" applyFont="1" applyFill="1" applyBorder="1" applyAlignment="1" applyProtection="1">
      <alignment vertical="center" wrapText="1"/>
      <protection locked="0"/>
    </xf>
    <xf numFmtId="2" fontId="10" fillId="13" borderId="62" xfId="1" applyNumberFormat="1" applyFont="1" applyFill="1" applyBorder="1" applyAlignment="1" applyProtection="1">
      <alignment horizontal="right" wrapText="1"/>
      <protection locked="0"/>
    </xf>
    <xf numFmtId="2" fontId="10" fillId="13" borderId="63" xfId="1" applyNumberFormat="1" applyFont="1" applyFill="1" applyBorder="1" applyAlignment="1" applyProtection="1">
      <alignment horizontal="right" wrapText="1"/>
      <protection locked="0"/>
    </xf>
    <xf numFmtId="2" fontId="4" fillId="8" borderId="44" xfId="0" applyNumberFormat="1" applyFont="1" applyFill="1" applyBorder="1" applyAlignment="1" applyProtection="1">
      <alignment vertical="center" wrapText="1"/>
      <protection locked="0"/>
    </xf>
    <xf numFmtId="2" fontId="4" fillId="8" borderId="68" xfId="0" applyNumberFormat="1" applyFont="1" applyFill="1" applyBorder="1" applyAlignment="1" applyProtection="1">
      <alignment vertical="center" wrapText="1"/>
      <protection locked="0"/>
    </xf>
    <xf numFmtId="2" fontId="4" fillId="8" borderId="102" xfId="0" applyNumberFormat="1" applyFont="1" applyFill="1" applyBorder="1" applyAlignment="1" applyProtection="1">
      <alignment vertical="center" wrapText="1"/>
      <protection locked="0"/>
    </xf>
    <xf numFmtId="2" fontId="4" fillId="8" borderId="19" xfId="0" applyNumberFormat="1" applyFont="1" applyFill="1" applyBorder="1" applyAlignment="1" applyProtection="1">
      <alignment vertical="center" wrapText="1"/>
      <protection locked="0"/>
    </xf>
    <xf numFmtId="2" fontId="10" fillId="6" borderId="52" xfId="0" applyNumberFormat="1" applyFont="1" applyFill="1" applyBorder="1" applyProtection="1">
      <protection locked="0"/>
    </xf>
    <xf numFmtId="2" fontId="10" fillId="6" borderId="71" xfId="0" applyNumberFormat="1" applyFont="1" applyFill="1" applyBorder="1" applyProtection="1">
      <protection locked="0"/>
    </xf>
    <xf numFmtId="2" fontId="10" fillId="6" borderId="103" xfId="0" applyNumberFormat="1" applyFont="1" applyFill="1" applyBorder="1" applyProtection="1">
      <protection locked="0"/>
    </xf>
    <xf numFmtId="2" fontId="10" fillId="6" borderId="53" xfId="0" applyNumberFormat="1" applyFont="1" applyFill="1" applyBorder="1" applyProtection="1">
      <protection locked="0"/>
    </xf>
    <xf numFmtId="2" fontId="10" fillId="6" borderId="51" xfId="0" applyNumberFormat="1" applyFont="1" applyFill="1" applyBorder="1" applyProtection="1">
      <protection locked="0"/>
    </xf>
    <xf numFmtId="2" fontId="4" fillId="8" borderId="28" xfId="0" applyNumberFormat="1" applyFont="1" applyFill="1" applyBorder="1" applyAlignment="1" applyProtection="1">
      <alignment vertical="center" wrapText="1"/>
      <protection locked="0"/>
    </xf>
    <xf numFmtId="2" fontId="4" fillId="8" borderId="34" xfId="0" applyNumberFormat="1" applyFont="1" applyFill="1" applyBorder="1" applyAlignment="1" applyProtection="1">
      <alignment vertical="center" wrapText="1"/>
      <protection locked="0"/>
    </xf>
    <xf numFmtId="2" fontId="4" fillId="8" borderId="104" xfId="0" applyNumberFormat="1" applyFont="1" applyFill="1" applyBorder="1" applyAlignment="1" applyProtection="1">
      <alignment vertical="center" wrapText="1"/>
      <protection locked="0"/>
    </xf>
    <xf numFmtId="2" fontId="4" fillId="8" borderId="27" xfId="0" applyNumberFormat="1" applyFont="1" applyFill="1" applyBorder="1" applyAlignment="1" applyProtection="1">
      <alignment vertical="center" wrapText="1"/>
      <protection locked="0"/>
    </xf>
    <xf numFmtId="2" fontId="10" fillId="13" borderId="36" xfId="1" applyNumberFormat="1" applyFont="1" applyFill="1" applyBorder="1" applyAlignment="1" applyProtection="1">
      <alignment horizontal="right" wrapText="1"/>
      <protection locked="0"/>
    </xf>
    <xf numFmtId="2" fontId="4" fillId="9" borderId="18" xfId="1" applyNumberFormat="1" applyFont="1" applyFill="1" applyBorder="1" applyAlignment="1" applyProtection="1">
      <alignment horizontal="right" vertical="center" wrapText="1"/>
    </xf>
    <xf numFmtId="2" fontId="4" fillId="9" borderId="43" xfId="1" applyNumberFormat="1" applyFont="1" applyFill="1" applyBorder="1" applyAlignment="1" applyProtection="1">
      <alignment horizontal="right" vertical="center" wrapText="1"/>
    </xf>
    <xf numFmtId="2" fontId="4" fillId="2" borderId="44" xfId="1" applyNumberFormat="1" applyFont="1" applyFill="1" applyBorder="1" applyAlignment="1" applyProtection="1">
      <alignment horizontal="right" vertical="center" wrapText="1"/>
    </xf>
    <xf numFmtId="2" fontId="4" fillId="2" borderId="19" xfId="1" applyNumberFormat="1" applyFont="1" applyFill="1" applyBorder="1" applyAlignment="1" applyProtection="1">
      <alignment horizontal="right" vertical="center" wrapText="1"/>
    </xf>
    <xf numFmtId="2" fontId="4" fillId="2" borderId="20" xfId="1" applyNumberFormat="1" applyFont="1" applyFill="1" applyBorder="1" applyAlignment="1" applyProtection="1">
      <alignment horizontal="right" vertical="center" wrapText="1"/>
    </xf>
    <xf numFmtId="2" fontId="10" fillId="6" borderId="50" xfId="0" applyNumberFormat="1" applyFont="1" applyFill="1" applyBorder="1" applyAlignment="1">
      <alignment horizontal="left"/>
    </xf>
    <xf numFmtId="2" fontId="10" fillId="6" borderId="51" xfId="0" applyNumberFormat="1" applyFont="1" applyFill="1" applyBorder="1" applyAlignment="1">
      <alignment horizontal="left"/>
    </xf>
    <xf numFmtId="2" fontId="10" fillId="6" borderId="52" xfId="0" applyNumberFormat="1" applyFont="1" applyFill="1" applyBorder="1" applyAlignment="1">
      <alignment horizontal="left"/>
    </xf>
    <xf numFmtId="2" fontId="10" fillId="6" borderId="53" xfId="0" applyNumberFormat="1" applyFont="1" applyFill="1" applyBorder="1" applyAlignment="1">
      <alignment horizontal="left"/>
    </xf>
    <xf numFmtId="2" fontId="10" fillId="6" borderId="54" xfId="0" applyNumberFormat="1" applyFont="1" applyFill="1" applyBorder="1" applyAlignment="1">
      <alignment horizontal="left"/>
    </xf>
    <xf numFmtId="2" fontId="4" fillId="9" borderId="50" xfId="1" applyNumberFormat="1" applyFont="1" applyFill="1" applyBorder="1" applyAlignment="1" applyProtection="1">
      <alignment horizontal="right" wrapText="1"/>
    </xf>
    <xf numFmtId="2" fontId="4" fillId="9" borderId="51" xfId="1" applyNumberFormat="1" applyFont="1" applyFill="1" applyBorder="1" applyAlignment="1" applyProtection="1">
      <alignment horizontal="right" wrapText="1"/>
    </xf>
    <xf numFmtId="2" fontId="4" fillId="2" borderId="52" xfId="1" applyNumberFormat="1" applyFont="1" applyFill="1" applyBorder="1" applyAlignment="1" applyProtection="1">
      <alignment horizontal="right" wrapText="1"/>
    </xf>
    <xf numFmtId="2" fontId="4" fillId="2" borderId="55" xfId="1" applyNumberFormat="1" applyFont="1" applyFill="1" applyBorder="1" applyAlignment="1" applyProtection="1">
      <alignment horizontal="right" wrapText="1"/>
    </xf>
    <xf numFmtId="2" fontId="4" fillId="9" borderId="33" xfId="1" applyNumberFormat="1" applyFont="1" applyFill="1" applyBorder="1" applyAlignment="1" applyProtection="1">
      <alignment horizontal="right" wrapText="1"/>
    </xf>
    <xf numFmtId="2" fontId="4" fillId="9" borderId="34" xfId="1" applyNumberFormat="1" applyFont="1" applyFill="1" applyBorder="1" applyAlignment="1" applyProtection="1">
      <alignment horizontal="right" wrapText="1"/>
    </xf>
    <xf numFmtId="2" fontId="4" fillId="2" borderId="27" xfId="1" applyNumberFormat="1" applyFont="1" applyFill="1" applyBorder="1" applyAlignment="1" applyProtection="1">
      <alignment horizontal="right" wrapText="1"/>
    </xf>
    <xf numFmtId="2" fontId="4" fillId="2" borderId="61" xfId="1" applyNumberFormat="1" applyFont="1" applyFill="1" applyBorder="1" applyAlignment="1" applyProtection="1">
      <alignment horizontal="right" wrapText="1"/>
    </xf>
    <xf numFmtId="2" fontId="10" fillId="13" borderId="64" xfId="1" applyNumberFormat="1" applyFont="1" applyFill="1" applyBorder="1" applyAlignment="1" applyProtection="1">
      <alignment horizontal="right" wrapText="1"/>
    </xf>
    <xf numFmtId="2" fontId="10" fillId="13" borderId="62" xfId="1" applyNumberFormat="1" applyFont="1" applyFill="1" applyBorder="1" applyAlignment="1" applyProtection="1">
      <alignment horizontal="right" wrapText="1"/>
    </xf>
    <xf numFmtId="2" fontId="10" fillId="13" borderId="63" xfId="1" applyNumberFormat="1" applyFont="1" applyFill="1" applyBorder="1" applyAlignment="1" applyProtection="1">
      <alignment horizontal="right" wrapText="1"/>
    </xf>
    <xf numFmtId="43" fontId="4" fillId="2" borderId="18" xfId="0" applyNumberFormat="1" applyFont="1" applyFill="1" applyBorder="1" applyAlignment="1">
      <alignment horizontal="right" vertical="center"/>
    </xf>
    <xf numFmtId="43" fontId="4" fillId="2" borderId="43" xfId="0" applyNumberFormat="1" applyFont="1" applyFill="1" applyBorder="1" applyAlignment="1">
      <alignment horizontal="right" vertical="center"/>
    </xf>
    <xf numFmtId="43" fontId="4" fillId="2" borderId="68" xfId="0" applyNumberFormat="1" applyFont="1" applyFill="1" applyBorder="1" applyAlignment="1">
      <alignment horizontal="right" vertical="center"/>
    </xf>
    <xf numFmtId="43" fontId="4" fillId="2" borderId="44" xfId="0" applyNumberFormat="1" applyFont="1" applyFill="1" applyBorder="1" applyAlignment="1">
      <alignment horizontal="right" vertical="center"/>
    </xf>
    <xf numFmtId="43" fontId="4" fillId="2" borderId="19" xfId="0" applyNumberFormat="1" applyFont="1" applyFill="1" applyBorder="1" applyAlignment="1">
      <alignment horizontal="right" vertical="center"/>
    </xf>
    <xf numFmtId="43" fontId="10" fillId="6" borderId="70" xfId="0" applyNumberFormat="1" applyFont="1" applyFill="1" applyBorder="1" applyAlignment="1">
      <alignment horizontal="left"/>
    </xf>
    <xf numFmtId="43" fontId="10" fillId="6" borderId="50" xfId="0" applyNumberFormat="1" applyFont="1" applyFill="1" applyBorder="1" applyAlignment="1">
      <alignment horizontal="left"/>
    </xf>
    <xf numFmtId="43" fontId="10" fillId="6" borderId="51" xfId="0" applyNumberFormat="1" applyFont="1" applyFill="1" applyBorder="1" applyAlignment="1">
      <alignment horizontal="left"/>
    </xf>
    <xf numFmtId="43" fontId="10" fillId="6" borderId="71" xfId="0" applyNumberFormat="1" applyFont="1" applyFill="1" applyBorder="1" applyAlignment="1">
      <alignment horizontal="left"/>
    </xf>
    <xf numFmtId="43" fontId="10" fillId="6" borderId="52" xfId="0" applyNumberFormat="1" applyFont="1" applyFill="1" applyBorder="1" applyAlignment="1">
      <alignment horizontal="left"/>
    </xf>
    <xf numFmtId="43" fontId="10" fillId="6" borderId="53" xfId="0" applyNumberFormat="1" applyFont="1" applyFill="1" applyBorder="1" applyAlignment="1">
      <alignment horizontal="left"/>
    </xf>
    <xf numFmtId="43" fontId="10" fillId="6" borderId="66" xfId="0" applyNumberFormat="1" applyFont="1" applyFill="1" applyBorder="1" applyAlignment="1">
      <alignment horizontal="right"/>
    </xf>
    <xf numFmtId="43" fontId="4" fillId="2" borderId="50" xfId="0" applyNumberFormat="1" applyFont="1" applyFill="1" applyBorder="1" applyAlignment="1">
      <alignment horizontal="right" vertical="center"/>
    </xf>
    <xf numFmtId="43" fontId="4" fillId="2" borderId="51" xfId="0" applyNumberFormat="1" applyFont="1" applyFill="1" applyBorder="1" applyAlignment="1">
      <alignment horizontal="right" vertical="center"/>
    </xf>
    <xf numFmtId="43" fontId="4" fillId="2" borderId="71" xfId="0" applyNumberFormat="1" applyFont="1" applyFill="1" applyBorder="1" applyAlignment="1">
      <alignment horizontal="right" vertical="center"/>
    </xf>
    <xf numFmtId="43" fontId="4" fillId="2" borderId="52" xfId="0" applyNumberFormat="1" applyFont="1" applyFill="1" applyBorder="1" applyAlignment="1">
      <alignment horizontal="right" vertical="center"/>
    </xf>
    <xf numFmtId="43" fontId="5" fillId="6" borderId="66" xfId="0" applyNumberFormat="1" applyFont="1" applyFill="1" applyBorder="1"/>
    <xf numFmtId="43" fontId="4" fillId="2" borderId="33" xfId="0" applyNumberFormat="1" applyFont="1" applyFill="1" applyBorder="1" applyAlignment="1">
      <alignment horizontal="right" vertical="center"/>
    </xf>
    <xf numFmtId="43" fontId="4" fillId="2" borderId="105" xfId="0" applyNumberFormat="1" applyFont="1" applyFill="1" applyBorder="1" applyAlignment="1">
      <alignment horizontal="right" vertical="center"/>
    </xf>
    <xf numFmtId="43" fontId="4" fillId="2" borderId="27" xfId="0" applyNumberFormat="1" applyFont="1" applyFill="1" applyBorder="1" applyAlignment="1">
      <alignment horizontal="right" vertical="center"/>
    </xf>
    <xf numFmtId="43" fontId="4" fillId="2" borderId="34" xfId="0" applyNumberFormat="1" applyFont="1" applyFill="1" applyBorder="1" applyAlignment="1">
      <alignment horizontal="right" vertical="center"/>
    </xf>
    <xf numFmtId="43" fontId="5" fillId="6" borderId="67" xfId="0" applyNumberFormat="1" applyFont="1" applyFill="1" applyBorder="1"/>
    <xf numFmtId="43" fontId="10" fillId="13" borderId="64" xfId="1" applyNumberFormat="1" applyFont="1" applyFill="1" applyBorder="1" applyAlignment="1" applyProtection="1">
      <alignment horizontal="right" wrapText="1"/>
    </xf>
    <xf numFmtId="43" fontId="10" fillId="13" borderId="62" xfId="1" applyNumberFormat="1" applyFont="1" applyFill="1" applyBorder="1" applyAlignment="1" applyProtection="1">
      <alignment horizontal="right" wrapText="1"/>
    </xf>
    <xf numFmtId="43" fontId="10" fillId="13" borderId="63" xfId="1" applyNumberFormat="1" applyFont="1" applyFill="1" applyBorder="1" applyAlignment="1" applyProtection="1">
      <alignment horizontal="right" wrapText="1"/>
    </xf>
    <xf numFmtId="173" fontId="4" fillId="11" borderId="64" xfId="0" applyNumberFormat="1" applyFont="1" applyFill="1" applyBorder="1" applyAlignment="1">
      <alignment horizontal="right" vertical="center"/>
    </xf>
    <xf numFmtId="173" fontId="4" fillId="11" borderId="62" xfId="0" applyNumberFormat="1" applyFont="1" applyFill="1" applyBorder="1" applyAlignment="1">
      <alignment horizontal="right" vertical="center"/>
    </xf>
    <xf numFmtId="173" fontId="4" fillId="11" borderId="63" xfId="0" applyNumberFormat="1" applyFont="1" applyFill="1" applyBorder="1" applyAlignment="1">
      <alignment horizontal="right" vertical="center"/>
    </xf>
    <xf numFmtId="174" fontId="4" fillId="18" borderId="118" xfId="0" applyNumberFormat="1" applyFont="1" applyFill="1" applyBorder="1" applyAlignment="1">
      <alignment horizontal="right" vertical="center"/>
    </xf>
    <xf numFmtId="174" fontId="4" fillId="18" borderId="0" xfId="0" applyNumberFormat="1" applyFont="1" applyFill="1" applyAlignment="1">
      <alignment horizontal="right" vertical="center"/>
    </xf>
    <xf numFmtId="174" fontId="4" fillId="2" borderId="30" xfId="0" applyNumberFormat="1" applyFont="1" applyFill="1" applyBorder="1" applyAlignment="1">
      <alignment horizontal="right" vertical="center"/>
    </xf>
    <xf numFmtId="174" fontId="3" fillId="11" borderId="66" xfId="0" applyNumberFormat="1" applyFont="1" applyFill="1" applyBorder="1"/>
    <xf numFmtId="174" fontId="4" fillId="18" borderId="73" xfId="0" applyNumberFormat="1" applyFont="1" applyFill="1" applyBorder="1" applyAlignment="1">
      <alignment horizontal="left" vertical="center"/>
    </xf>
    <xf numFmtId="174" fontId="4" fillId="18" borderId="0" xfId="0" applyNumberFormat="1" applyFont="1" applyFill="1" applyAlignment="1">
      <alignment horizontal="left" vertical="center"/>
    </xf>
    <xf numFmtId="174" fontId="4" fillId="18" borderId="65" xfId="0" applyNumberFormat="1" applyFont="1" applyFill="1" applyBorder="1" applyAlignment="1">
      <alignment horizontal="left" vertical="center"/>
    </xf>
    <xf numFmtId="174" fontId="4" fillId="2" borderId="119" xfId="0" applyNumberFormat="1" applyFont="1" applyFill="1" applyBorder="1" applyAlignment="1">
      <alignment horizontal="right" vertical="center"/>
    </xf>
    <xf numFmtId="174" fontId="4" fillId="2" borderId="64" xfId="0" applyNumberFormat="1" applyFont="1" applyFill="1" applyBorder="1" applyAlignment="1">
      <alignment horizontal="right" vertical="center"/>
    </xf>
    <xf numFmtId="174" fontId="4" fillId="2" borderId="23" xfId="0" applyNumberFormat="1" applyFont="1" applyFill="1" applyBorder="1" applyAlignment="1">
      <alignment horizontal="right" vertical="center"/>
    </xf>
    <xf numFmtId="174" fontId="4" fillId="2" borderId="85" xfId="0" applyNumberFormat="1" applyFont="1" applyFill="1" applyBorder="1" applyAlignment="1">
      <alignment horizontal="right" vertical="center"/>
    </xf>
    <xf numFmtId="174" fontId="4" fillId="2" borderId="120" xfId="0" applyNumberFormat="1" applyFont="1" applyFill="1" applyBorder="1" applyAlignment="1">
      <alignment horizontal="right" vertical="center"/>
    </xf>
    <xf numFmtId="174" fontId="4" fillId="18" borderId="78" xfId="0" applyNumberFormat="1" applyFont="1" applyFill="1" applyBorder="1" applyAlignment="1">
      <alignment horizontal="right" vertical="center"/>
    </xf>
    <xf numFmtId="174" fontId="0" fillId="11" borderId="66" xfId="0" applyNumberFormat="1" applyFill="1" applyBorder="1"/>
    <xf numFmtId="174" fontId="4" fillId="2" borderId="33" xfId="0" applyNumberFormat="1" applyFont="1" applyFill="1" applyBorder="1" applyAlignment="1">
      <alignment horizontal="right" vertical="center"/>
    </xf>
    <xf numFmtId="174" fontId="4" fillId="2" borderId="86" xfId="0" applyNumberFormat="1" applyFont="1" applyFill="1" applyBorder="1" applyAlignment="1">
      <alignment horizontal="right" vertical="center"/>
    </xf>
    <xf numFmtId="174" fontId="4" fillId="2" borderId="53" xfId="0" applyNumberFormat="1" applyFont="1" applyFill="1" applyBorder="1" applyAlignment="1">
      <alignment horizontal="right" vertical="center"/>
    </xf>
    <xf numFmtId="174" fontId="4" fillId="2" borderId="20" xfId="0" applyNumberFormat="1" applyFont="1" applyFill="1" applyBorder="1" applyAlignment="1">
      <alignment horizontal="right" vertical="center"/>
    </xf>
    <xf numFmtId="174" fontId="4" fillId="2" borderId="25" xfId="0" applyNumberFormat="1" applyFont="1" applyFill="1" applyBorder="1" applyAlignment="1">
      <alignment horizontal="right" vertical="center"/>
    </xf>
    <xf numFmtId="174" fontId="4" fillId="2" borderId="87" xfId="0" applyNumberFormat="1" applyFont="1" applyFill="1" applyBorder="1" applyAlignment="1">
      <alignment horizontal="right" vertical="center"/>
    </xf>
    <xf numFmtId="174" fontId="4" fillId="2" borderId="88" xfId="0" applyNumberFormat="1" applyFont="1" applyFill="1" applyBorder="1" applyAlignment="1">
      <alignment horizontal="right" vertical="center"/>
    </xf>
    <xf numFmtId="174" fontId="4" fillId="2" borderId="89" xfId="0" applyNumberFormat="1" applyFont="1" applyFill="1" applyBorder="1" applyAlignment="1">
      <alignment horizontal="right" vertical="center"/>
    </xf>
    <xf numFmtId="174" fontId="4" fillId="18" borderId="0" xfId="0" applyNumberFormat="1" applyFont="1" applyFill="1" applyBorder="1" applyAlignment="1">
      <alignment horizontal="right" vertical="center"/>
    </xf>
    <xf numFmtId="174" fontId="4" fillId="2" borderId="90" xfId="0" applyNumberFormat="1" applyFont="1" applyFill="1" applyBorder="1" applyAlignment="1">
      <alignment horizontal="right" vertical="center"/>
    </xf>
    <xf numFmtId="174" fontId="4" fillId="2" borderId="91" xfId="0" applyNumberFormat="1" applyFont="1" applyFill="1" applyBorder="1" applyAlignment="1">
      <alignment horizontal="right" vertical="center"/>
    </xf>
    <xf numFmtId="174" fontId="4" fillId="2" borderId="92" xfId="0" applyNumberFormat="1" applyFont="1" applyFill="1" applyBorder="1" applyAlignment="1">
      <alignment horizontal="right" vertical="center"/>
    </xf>
    <xf numFmtId="174" fontId="4" fillId="2" borderId="93" xfId="0" applyNumberFormat="1" applyFont="1" applyFill="1" applyBorder="1" applyAlignment="1">
      <alignment horizontal="right" vertical="center"/>
    </xf>
    <xf numFmtId="174" fontId="30" fillId="19" borderId="8" xfId="0" applyNumberFormat="1" applyFont="1" applyFill="1" applyBorder="1" applyAlignment="1">
      <alignment horizontal="right"/>
    </xf>
    <xf numFmtId="174" fontId="30" fillId="19" borderId="114" xfId="0" applyNumberFormat="1" applyFont="1" applyFill="1" applyBorder="1" applyAlignment="1">
      <alignment horizontal="right"/>
    </xf>
    <xf numFmtId="174" fontId="30" fillId="19" borderId="115" xfId="0" applyNumberFormat="1" applyFont="1" applyFill="1" applyBorder="1" applyAlignment="1">
      <alignment horizontal="right"/>
    </xf>
    <xf numFmtId="10" fontId="4" fillId="8" borderId="62" xfId="1" applyNumberFormat="1" applyFont="1" applyFill="1" applyBorder="1" applyAlignment="1" applyProtection="1">
      <alignment vertical="center" wrapText="1"/>
      <protection locked="0"/>
    </xf>
    <xf numFmtId="173" fontId="30" fillId="19" borderId="114" xfId="0" applyNumberFormat="1" applyFont="1" applyFill="1" applyBorder="1" applyAlignment="1">
      <alignment horizontal="right"/>
    </xf>
    <xf numFmtId="173" fontId="30" fillId="19" borderId="115" xfId="0" applyNumberFormat="1" applyFont="1" applyFill="1" applyBorder="1" applyAlignment="1">
      <alignment horizontal="right"/>
    </xf>
    <xf numFmtId="2" fontId="4" fillId="6" borderId="52" xfId="0" applyNumberFormat="1" applyFont="1" applyFill="1" applyBorder="1" applyAlignment="1" applyProtection="1">
      <alignment vertical="center" wrapText="1"/>
      <protection locked="0"/>
    </xf>
    <xf numFmtId="2" fontId="4" fillId="6" borderId="127" xfId="0" applyNumberFormat="1" applyFont="1" applyFill="1" applyBorder="1" applyAlignment="1" applyProtection="1">
      <alignment vertical="center" wrapText="1"/>
      <protection locked="0"/>
    </xf>
    <xf numFmtId="2" fontId="4" fillId="6" borderId="88" xfId="0" applyNumberFormat="1" applyFont="1" applyFill="1" applyBorder="1" applyAlignment="1" applyProtection="1">
      <alignment vertical="center" wrapText="1"/>
      <protection locked="0"/>
    </xf>
    <xf numFmtId="2" fontId="4" fillId="6" borderId="128" xfId="0" applyNumberFormat="1" applyFont="1" applyFill="1" applyBorder="1" applyAlignment="1" applyProtection="1">
      <alignment vertical="center" wrapText="1"/>
      <protection locked="0"/>
    </xf>
    <xf numFmtId="0" fontId="45"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34" fillId="39" borderId="0" xfId="0" applyFont="1" applyFill="1" applyAlignment="1">
      <alignment horizontal="right" vertical="center"/>
    </xf>
    <xf numFmtId="0" fontId="47"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0" fontId="47" fillId="6" borderId="0" xfId="0" applyNumberFormat="1" applyFont="1" applyFill="1" applyAlignment="1">
      <alignment horizontal="left" vertical="center" wrapText="1"/>
    </xf>
    <xf numFmtId="0" fontId="34" fillId="39" borderId="0" xfId="0" applyFont="1" applyFill="1" applyAlignment="1">
      <alignment horizontal="right"/>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6" borderId="0" xfId="0" quotePrefix="1" applyFont="1" applyFill="1" applyProtection="1">
      <protection locked="0"/>
    </xf>
    <xf numFmtId="172" fontId="5" fillId="6" borderId="0" xfId="0" quotePrefix="1" applyNumberFormat="1" applyFont="1" applyFill="1" applyAlignment="1" applyProtection="1">
      <alignment horizontal="left"/>
      <protection locked="0"/>
    </xf>
    <xf numFmtId="0" fontId="19" fillId="39" borderId="0" xfId="0" applyFont="1" applyFill="1" applyAlignment="1">
      <alignment horizontal="right" vertical="top"/>
    </xf>
    <xf numFmtId="0" fontId="13" fillId="8" borderId="0" xfId="0" applyFont="1" applyFill="1" applyAlignment="1" applyProtection="1">
      <alignment horizontal="center" vertical="top"/>
      <protection locked="0"/>
    </xf>
    <xf numFmtId="0" fontId="13" fillId="6" borderId="0" xfId="0" applyFont="1" applyFill="1" applyAlignment="1">
      <alignment horizontal="center" vertical="top"/>
    </xf>
    <xf numFmtId="0" fontId="13" fillId="40" borderId="0" xfId="0" quotePrefix="1" applyFont="1" applyFill="1" applyAlignment="1">
      <alignment horizontal="center" vertical="center"/>
    </xf>
    <xf numFmtId="0" fontId="16" fillId="6" borderId="0" xfId="0" applyFont="1" applyFill="1" applyAlignment="1">
      <alignment horizontal="left" vertical="top" indent="1"/>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7" fillId="14" borderId="7" xfId="0" applyFont="1" applyFill="1" applyBorder="1" applyAlignment="1">
      <alignment horizontal="left" vertical="center" wrapText="1"/>
    </xf>
    <xf numFmtId="0" fontId="77" fillId="14" borderId="8" xfId="0" applyFont="1" applyFill="1" applyBorder="1" applyAlignment="1">
      <alignment horizontal="left" vertical="center" wrapText="1"/>
    </xf>
    <xf numFmtId="0" fontId="77"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8"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76373" y="125411"/>
          <a:ext cx="1416843"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0790619" y="50336"/>
          <a:ext cx="7568401" cy="1093082"/>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abSelected="1" zoomScale="85" zoomScaleNormal="85" workbookViewId="0"/>
  </sheetViews>
  <sheetFormatPr defaultRowHeight="14.5" x14ac:dyDescent="0.35"/>
  <cols>
    <col min="1" max="96" width="2.7265625" customWidth="1"/>
  </cols>
  <sheetData>
    <row r="1" spans="8:96" ht="44.25" customHeight="1" x14ac:dyDescent="0.35">
      <c r="H1" s="845"/>
      <c r="I1" s="845"/>
      <c r="J1" s="845"/>
      <c r="K1" s="845"/>
      <c r="L1" s="845"/>
      <c r="M1" s="845"/>
      <c r="N1" s="845"/>
      <c r="O1" s="845"/>
      <c r="P1" s="845"/>
      <c r="Q1" s="273"/>
      <c r="R1" s="273"/>
      <c r="S1" s="273"/>
      <c r="T1" s="273"/>
      <c r="U1" s="273"/>
      <c r="V1" s="274" t="str">
        <f>INDEX(dms_Worksheet_List,MATCH(dms_MODEL,dms_Model_List))</f>
        <v>REGULATORY REPORTING STATEMENT</v>
      </c>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row>
    <row r="2" spans="8:96" ht="44.25" customHeight="1" x14ac:dyDescent="0.35">
      <c r="H2" s="845"/>
      <c r="I2" s="845"/>
      <c r="J2" s="845"/>
      <c r="K2" s="845"/>
      <c r="L2" s="845"/>
      <c r="M2" s="845"/>
      <c r="N2" s="845"/>
      <c r="O2" s="845"/>
      <c r="P2" s="845"/>
      <c r="Q2" s="273"/>
      <c r="R2" s="273"/>
      <c r="S2" s="273"/>
      <c r="T2" s="273"/>
      <c r="U2" s="273"/>
      <c r="V2" s="275" t="str">
        <f>INDEX(dms_TradingNameFull_List,MATCH(dms_TradingName,dms_TradingName_List))</f>
        <v>CitiPower</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row>
    <row r="3" spans="8:96" ht="44.25" customHeight="1" x14ac:dyDescent="0.35">
      <c r="H3" s="845"/>
      <c r="I3" s="845"/>
      <c r="J3" s="845"/>
      <c r="K3" s="845"/>
      <c r="L3" s="845"/>
      <c r="M3" s="845"/>
      <c r="N3" s="845"/>
      <c r="O3" s="845"/>
      <c r="P3" s="845"/>
      <c r="Q3" s="273"/>
      <c r="R3" s="273"/>
      <c r="S3" s="273"/>
      <c r="T3" s="273"/>
      <c r="U3" s="273"/>
      <c r="V3" s="7" t="s">
        <v>706</v>
      </c>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row>
    <row r="4" spans="8:96" ht="31.5" customHeight="1" x14ac:dyDescent="0.35">
      <c r="Q4" s="323"/>
      <c r="R4" s="323"/>
      <c r="S4" s="323"/>
      <c r="T4" s="323"/>
      <c r="U4" s="323"/>
      <c r="V4" s="846" t="s">
        <v>353</v>
      </c>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row>
    <row r="6" spans="8:96" ht="20" x14ac:dyDescent="0.35">
      <c r="H6" s="277"/>
      <c r="I6" s="277"/>
      <c r="J6" s="277"/>
      <c r="K6" s="277"/>
      <c r="L6" s="277"/>
      <c r="M6" s="277"/>
      <c r="N6" s="277"/>
      <c r="O6" s="277"/>
      <c r="P6" s="277"/>
      <c r="Q6" s="278"/>
      <c r="R6" s="278"/>
      <c r="S6" s="278"/>
      <c r="T6" s="278"/>
      <c r="U6" s="278"/>
      <c r="V6" s="279" t="s">
        <v>354</v>
      </c>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row>
    <row r="7" spans="8:96" ht="50.25" customHeight="1" x14ac:dyDescent="0.35">
      <c r="H7" s="277"/>
      <c r="I7" s="277"/>
      <c r="J7" s="277"/>
      <c r="K7" s="277"/>
      <c r="L7" s="277"/>
      <c r="M7" s="277"/>
      <c r="N7" s="277"/>
      <c r="O7" s="277"/>
      <c r="P7" s="277"/>
      <c r="Q7" s="278"/>
      <c r="R7" s="278"/>
      <c r="S7" s="278"/>
      <c r="T7" s="278"/>
      <c r="U7" s="278"/>
      <c r="V7" s="847" t="s">
        <v>355</v>
      </c>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278"/>
      <c r="BZ7" s="278"/>
      <c r="CA7" s="278"/>
      <c r="CB7" s="278"/>
      <c r="CC7" s="278"/>
      <c r="CD7" s="278"/>
      <c r="CE7" s="278"/>
      <c r="CF7" s="278"/>
      <c r="CG7" s="278"/>
      <c r="CH7" s="278"/>
      <c r="CI7" s="278"/>
      <c r="CJ7" s="278"/>
      <c r="CK7" s="278"/>
      <c r="CL7" s="278"/>
      <c r="CM7" s="278"/>
      <c r="CN7" s="278"/>
      <c r="CO7" s="278"/>
      <c r="CP7" s="278"/>
    </row>
    <row r="8" spans="8:96" ht="20" x14ac:dyDescent="0.35">
      <c r="H8" s="277"/>
      <c r="I8" s="277"/>
      <c r="J8" s="277"/>
      <c r="K8" s="277"/>
      <c r="L8" s="277"/>
      <c r="M8" s="277"/>
      <c r="N8" s="277"/>
      <c r="O8" s="277"/>
      <c r="P8" s="277"/>
      <c r="Q8" s="277"/>
      <c r="R8" s="277"/>
      <c r="S8" s="277"/>
      <c r="T8" s="277"/>
      <c r="U8" s="277"/>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77"/>
      <c r="BZ8" s="277"/>
      <c r="CA8" s="277"/>
      <c r="CB8" s="277"/>
      <c r="CC8" s="277"/>
      <c r="CD8" s="277"/>
      <c r="CE8" s="277"/>
      <c r="CF8" s="277"/>
      <c r="CG8" s="277"/>
      <c r="CH8" s="277"/>
      <c r="CI8" s="277"/>
      <c r="CJ8" s="277"/>
      <c r="CK8" s="277"/>
      <c r="CL8" s="277"/>
      <c r="CM8" s="277"/>
      <c r="CN8" s="277"/>
      <c r="CO8" s="277"/>
      <c r="CP8" s="277"/>
    </row>
    <row r="9" spans="8:96" s="281" customFormat="1" ht="45" customHeight="1" x14ac:dyDescent="0.35">
      <c r="H9" s="282"/>
      <c r="I9" s="282"/>
      <c r="J9" s="282"/>
      <c r="K9" s="282"/>
      <c r="L9" s="282"/>
      <c r="M9" s="282"/>
      <c r="N9" s="282"/>
      <c r="O9" s="282"/>
      <c r="P9" s="282"/>
      <c r="Q9" s="848" t="s">
        <v>356</v>
      </c>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8"/>
      <c r="AY9" s="848"/>
      <c r="AZ9" s="848"/>
      <c r="BA9" s="848"/>
      <c r="BB9" s="848"/>
      <c r="BC9" s="848"/>
      <c r="BD9" s="848"/>
      <c r="BE9" s="848"/>
      <c r="BF9" s="848"/>
      <c r="BG9" s="848"/>
      <c r="BH9" s="848"/>
      <c r="BI9" s="848"/>
      <c r="BJ9" s="848"/>
      <c r="BK9" s="848"/>
      <c r="BL9" s="848"/>
      <c r="BM9" s="848"/>
      <c r="BN9" s="848"/>
      <c r="BO9" s="848"/>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c r="CR9"/>
    </row>
    <row r="10" spans="8:96" x14ac:dyDescent="0.3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 hidden="1" x14ac:dyDescent="0.6">
      <c r="H11" s="4"/>
      <c r="I11" s="4"/>
      <c r="J11" s="4"/>
      <c r="K11" s="4"/>
      <c r="L11" s="4"/>
      <c r="M11" s="4"/>
      <c r="N11" s="4"/>
      <c r="O11" s="4"/>
      <c r="P11" s="4"/>
      <c r="Q11" s="844" t="s">
        <v>357</v>
      </c>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4"/>
      <c r="BK11" s="844"/>
      <c r="BL11" s="844"/>
      <c r="BM11" s="844"/>
      <c r="BN11" s="844"/>
      <c r="BO11" s="844"/>
      <c r="BP11" s="844"/>
      <c r="BQ11" s="844"/>
      <c r="BR11" s="844"/>
      <c r="BS11" s="844"/>
      <c r="BT11" s="844"/>
      <c r="BU11" s="844"/>
      <c r="BV11" s="844"/>
      <c r="BW11" s="844"/>
      <c r="BX11" s="844"/>
      <c r="BY11" s="844"/>
      <c r="BZ11" s="844"/>
      <c r="CA11" s="844"/>
      <c r="CB11" s="844"/>
      <c r="CC11" s="844"/>
      <c r="CD11" s="844"/>
      <c r="CE11" s="844"/>
      <c r="CF11" s="844"/>
      <c r="CG11" s="844"/>
      <c r="CH11" s="844"/>
      <c r="CI11" s="844"/>
      <c r="CJ11" s="844"/>
      <c r="CK11" s="844"/>
      <c r="CL11" s="844"/>
      <c r="CM11" s="844"/>
      <c r="CN11" s="844"/>
      <c r="CO11" s="844"/>
      <c r="CP11" s="844"/>
    </row>
    <row r="12" spans="8:96" ht="26" hidden="1" x14ac:dyDescent="0.6">
      <c r="H12" s="4"/>
      <c r="I12" s="4"/>
      <c r="J12" s="4"/>
      <c r="K12" s="4"/>
      <c r="L12" s="4"/>
      <c r="M12" s="4"/>
      <c r="N12" s="4"/>
      <c r="O12" s="4"/>
      <c r="P12" s="4"/>
      <c r="Q12" s="844" t="s">
        <v>358</v>
      </c>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4"/>
      <c r="BT12" s="844"/>
      <c r="BU12" s="844"/>
      <c r="BV12" s="844"/>
      <c r="BW12" s="844"/>
      <c r="BX12" s="844"/>
      <c r="BY12" s="844"/>
      <c r="BZ12" s="844"/>
      <c r="CA12" s="844"/>
      <c r="CB12" s="844"/>
      <c r="CC12" s="844"/>
      <c r="CD12" s="844"/>
      <c r="CE12" s="844"/>
      <c r="CF12" s="844"/>
      <c r="CG12" s="844"/>
      <c r="CH12" s="844"/>
      <c r="CI12" s="844"/>
      <c r="CJ12" s="844"/>
      <c r="CK12" s="844"/>
      <c r="CL12" s="844"/>
      <c r="CM12" s="844"/>
      <c r="CN12" s="844"/>
      <c r="CO12" s="844"/>
      <c r="CP12" s="844"/>
    </row>
    <row r="13" spans="8:96" hidden="1" x14ac:dyDescent="0.3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6">
      <c r="H14" s="283"/>
      <c r="I14" s="283"/>
      <c r="J14" s="283"/>
      <c r="K14" s="283"/>
      <c r="L14" s="283"/>
      <c r="M14" s="283"/>
      <c r="N14" s="283"/>
      <c r="O14" s="283"/>
      <c r="P14" s="283"/>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row>
    <row r="15" spans="8:96" ht="30" x14ac:dyDescent="0.6">
      <c r="H15" s="283"/>
      <c r="I15" s="283"/>
      <c r="J15" s="283"/>
      <c r="K15" s="283"/>
      <c r="L15" s="283"/>
      <c r="M15" s="283"/>
      <c r="N15" s="283"/>
      <c r="O15" s="283"/>
      <c r="P15" s="283"/>
      <c r="Q15" s="285"/>
      <c r="R15" s="285"/>
      <c r="S15" s="285"/>
      <c r="T15" s="285"/>
      <c r="U15" s="285"/>
      <c r="V15" s="286" t="s">
        <v>359</v>
      </c>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7"/>
      <c r="CK15" s="287"/>
      <c r="CL15" s="287"/>
      <c r="CM15" s="285"/>
      <c r="CN15" s="285"/>
      <c r="CO15" s="285"/>
      <c r="CP15" s="285"/>
    </row>
    <row r="16" spans="8:96" x14ac:dyDescent="0.35">
      <c r="H16" s="4"/>
      <c r="I16" s="4"/>
      <c r="J16" s="4"/>
      <c r="K16" s="4"/>
      <c r="L16" s="4"/>
      <c r="M16" s="4"/>
      <c r="N16" s="4"/>
      <c r="O16" s="4"/>
      <c r="P16" s="4"/>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row>
    <row r="17" spans="1:99" ht="18" x14ac:dyDescent="0.4">
      <c r="H17" s="30"/>
      <c r="I17" s="30"/>
      <c r="J17" s="30"/>
      <c r="K17" s="30"/>
      <c r="L17" s="30"/>
      <c r="M17" s="30"/>
      <c r="N17" s="30"/>
      <c r="O17" s="30"/>
      <c r="P17" s="30"/>
      <c r="Q17" s="289"/>
      <c r="R17" s="289"/>
      <c r="S17" s="289"/>
      <c r="T17" s="289"/>
      <c r="U17" s="289"/>
      <c r="V17" s="290" t="s">
        <v>360</v>
      </c>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row>
    <row r="18" spans="1:99" x14ac:dyDescent="0.35">
      <c r="H18" s="30"/>
      <c r="I18" s="30"/>
      <c r="J18" s="30"/>
      <c r="K18" s="30"/>
      <c r="L18" s="30"/>
      <c r="M18" s="30"/>
      <c r="N18" s="30"/>
      <c r="O18" s="30"/>
      <c r="P18" s="30"/>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row>
    <row r="19" spans="1:99" s="75" customFormat="1" ht="27.75" customHeight="1" x14ac:dyDescent="0.35">
      <c r="A19"/>
      <c r="H19" s="229"/>
      <c r="I19" s="229"/>
      <c r="J19" s="229"/>
      <c r="K19" s="229"/>
      <c r="L19" s="229"/>
      <c r="M19" s="229"/>
      <c r="N19" s="229"/>
      <c r="O19" s="229"/>
      <c r="P19" s="229"/>
      <c r="Q19" s="291"/>
      <c r="R19" s="291"/>
      <c r="S19" s="291"/>
      <c r="T19" s="291"/>
      <c r="U19" s="291"/>
      <c r="V19" s="849" t="s">
        <v>361</v>
      </c>
      <c r="W19" s="849"/>
      <c r="X19" s="849"/>
      <c r="Y19" s="849"/>
      <c r="Z19" s="849"/>
      <c r="AA19" s="849"/>
      <c r="AB19" s="849"/>
      <c r="AC19" s="849"/>
      <c r="AD19" s="849"/>
      <c r="AE19" s="849"/>
      <c r="AF19" s="849"/>
      <c r="AG19" s="849"/>
      <c r="AH19" s="849"/>
      <c r="AI19" s="849"/>
      <c r="AJ19" s="849"/>
      <c r="AK19" s="291"/>
      <c r="AL19" s="850" t="s">
        <v>109</v>
      </c>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c r="CR19"/>
    </row>
    <row r="20" spans="1:99" s="292" customFormat="1" ht="25.5" hidden="1" customHeight="1" x14ac:dyDescent="0.35">
      <c r="A20"/>
      <c r="H20" s="293"/>
      <c r="I20" s="293"/>
      <c r="J20" s="293"/>
      <c r="K20" s="293"/>
      <c r="L20" s="293"/>
      <c r="M20" s="293"/>
      <c r="N20" s="293"/>
      <c r="O20" s="293"/>
      <c r="P20" s="293"/>
      <c r="Q20" s="294"/>
      <c r="R20" s="294"/>
      <c r="S20" s="294"/>
      <c r="T20" s="294"/>
      <c r="U20" s="294"/>
      <c r="V20" s="851" t="s">
        <v>362</v>
      </c>
      <c r="W20" s="852"/>
      <c r="X20" s="852"/>
      <c r="Y20" s="852"/>
      <c r="Z20" s="852"/>
      <c r="AA20" s="852"/>
      <c r="AB20" s="852"/>
      <c r="AC20" s="852"/>
      <c r="AD20" s="852"/>
      <c r="AE20" s="852"/>
      <c r="AF20" s="852"/>
      <c r="AG20" s="852"/>
      <c r="AH20" s="852"/>
      <c r="AI20" s="852"/>
      <c r="AJ20" s="852"/>
      <c r="AK20" s="294"/>
      <c r="AL20" s="853">
        <f>INDEX(dms_ABN_List,MATCH(dms_TradingName,dms_TradingName_List))</f>
        <v>76064651056</v>
      </c>
      <c r="AM20" s="853"/>
      <c r="AN20" s="853"/>
      <c r="AO20" s="853"/>
      <c r="AP20" s="853"/>
      <c r="AQ20" s="853"/>
      <c r="AR20" s="853"/>
      <c r="AS20" s="853"/>
      <c r="AT20" s="853"/>
      <c r="AU20" s="853"/>
      <c r="AV20" s="853"/>
      <c r="AW20" s="853"/>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c r="CR20"/>
    </row>
    <row r="21" spans="1:99" ht="18" hidden="1" x14ac:dyDescent="0.35">
      <c r="H21" s="30"/>
      <c r="I21" s="30"/>
      <c r="J21" s="30"/>
      <c r="K21" s="30"/>
      <c r="L21" s="30"/>
      <c r="M21" s="30"/>
      <c r="N21" s="30"/>
      <c r="O21" s="30"/>
      <c r="P21" s="30"/>
      <c r="Q21" s="289"/>
      <c r="R21" s="289"/>
      <c r="S21" s="289"/>
      <c r="T21" s="289"/>
      <c r="U21" s="289"/>
      <c r="V21" s="851" t="s">
        <v>363</v>
      </c>
      <c r="W21" s="852"/>
      <c r="X21" s="852"/>
      <c r="Y21" s="852"/>
      <c r="Z21" s="852"/>
      <c r="AA21" s="852"/>
      <c r="AB21" s="852"/>
      <c r="AC21" s="852"/>
      <c r="AD21" s="852"/>
      <c r="AE21" s="852"/>
      <c r="AF21" s="852"/>
      <c r="AG21" s="852"/>
      <c r="AH21" s="852"/>
      <c r="AI21" s="852"/>
      <c r="AJ21" s="852"/>
      <c r="AK21" s="294"/>
      <c r="AL21" s="853" t="str">
        <f>INDEX(dms_UID_List,MATCH(dms_TradingName,dms_TradingName_List))</f>
        <v>EDDVIC200</v>
      </c>
      <c r="AM21" s="853"/>
      <c r="AN21" s="853"/>
      <c r="AO21" s="853"/>
      <c r="AP21" s="853"/>
      <c r="AQ21" s="853"/>
      <c r="AR21" s="853"/>
      <c r="AS21" s="853"/>
      <c r="AT21" s="853"/>
      <c r="AU21" s="853"/>
      <c r="AV21" s="853"/>
      <c r="AW21" s="853"/>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row>
    <row r="22" spans="1:99" x14ac:dyDescent="0.35">
      <c r="H22" s="30"/>
      <c r="I22" s="30"/>
      <c r="J22" s="30"/>
      <c r="K22" s="30"/>
      <c r="L22" s="30"/>
      <c r="M22" s="30"/>
      <c r="N22" s="30"/>
      <c r="O22" s="30"/>
      <c r="P22" s="30"/>
      <c r="Q22" s="289"/>
      <c r="R22" s="289"/>
      <c r="S22" s="289"/>
      <c r="T22" s="289"/>
      <c r="U22" s="289"/>
      <c r="V22" s="289"/>
      <c r="W22" s="289"/>
      <c r="X22" s="289"/>
      <c r="Y22" s="289"/>
      <c r="Z22" s="289"/>
      <c r="AA22" s="289"/>
      <c r="AB22" s="289"/>
      <c r="AC22" s="295"/>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row>
    <row r="23" spans="1:99" x14ac:dyDescent="0.35">
      <c r="H23" s="30"/>
      <c r="I23" s="30"/>
      <c r="J23" s="30"/>
      <c r="K23" s="30"/>
      <c r="L23" s="30"/>
      <c r="M23" s="30"/>
      <c r="N23" s="30"/>
      <c r="O23" s="30"/>
      <c r="P23" s="30"/>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row>
    <row r="24" spans="1:99" ht="15" customHeight="1" x14ac:dyDescent="0.4">
      <c r="H24" s="30"/>
      <c r="I24" s="30"/>
      <c r="J24" s="30"/>
      <c r="K24" s="30"/>
      <c r="L24" s="30"/>
      <c r="M24" s="30"/>
      <c r="N24" s="30"/>
      <c r="O24" s="30"/>
      <c r="P24" s="30"/>
      <c r="Q24" s="289"/>
      <c r="R24" s="289"/>
      <c r="S24" s="289"/>
      <c r="T24" s="289"/>
      <c r="U24" s="296"/>
      <c r="V24" s="290" t="s">
        <v>364</v>
      </c>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89"/>
      <c r="BI24" s="296"/>
      <c r="BJ24" s="297"/>
      <c r="BK24" s="297"/>
      <c r="BL24" s="297"/>
      <c r="BM24" s="297"/>
      <c r="BN24" s="297"/>
      <c r="BO24" s="297"/>
      <c r="BP24" s="297"/>
      <c r="BQ24" s="298" t="s">
        <v>365</v>
      </c>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row>
    <row r="25" spans="1:99" x14ac:dyDescent="0.35">
      <c r="H25" s="30"/>
      <c r="I25" s="30"/>
      <c r="J25" s="30"/>
      <c r="K25" s="30"/>
      <c r="L25" s="30"/>
      <c r="M25" s="30"/>
      <c r="N25" s="30"/>
      <c r="O25" s="30"/>
      <c r="P25" s="30"/>
      <c r="Q25" s="289"/>
      <c r="R25" s="289"/>
      <c r="S25" s="289"/>
      <c r="T25" s="289"/>
      <c r="U25" s="289"/>
      <c r="V25" s="289"/>
      <c r="W25" s="289"/>
      <c r="X25" s="289"/>
      <c r="Y25" s="289"/>
      <c r="Z25" s="289"/>
      <c r="AA25" s="289"/>
      <c r="AB25" s="289"/>
      <c r="AC25" s="289"/>
      <c r="AD25" s="289"/>
      <c r="AE25" s="289"/>
      <c r="AF25" s="289"/>
      <c r="AG25" s="289"/>
      <c r="AH25" s="289"/>
      <c r="AI25" s="289"/>
      <c r="AJ25" s="289"/>
      <c r="AK25" s="296"/>
      <c r="AL25" s="296"/>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89"/>
      <c r="BI25" s="289"/>
      <c r="BJ25" s="289"/>
      <c r="BK25" s="289"/>
      <c r="BL25" s="289"/>
      <c r="BM25" s="289"/>
      <c r="BN25" s="289"/>
      <c r="BO25" s="289"/>
      <c r="BP25" s="289"/>
      <c r="BQ25" s="296"/>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89"/>
      <c r="CN25" s="289"/>
      <c r="CO25" s="289"/>
      <c r="CP25" s="289"/>
    </row>
    <row r="26" spans="1:99" x14ac:dyDescent="0.35">
      <c r="H26" s="30"/>
      <c r="I26" s="30"/>
      <c r="J26" s="30"/>
      <c r="K26" s="30"/>
      <c r="L26" s="30"/>
      <c r="M26" s="30"/>
      <c r="N26" s="30"/>
      <c r="O26" s="30"/>
      <c r="P26" s="30"/>
      <c r="Q26" s="289"/>
      <c r="R26" s="289"/>
      <c r="S26" s="289"/>
      <c r="T26" s="289"/>
      <c r="U26" s="289"/>
      <c r="V26" s="854" t="s">
        <v>366</v>
      </c>
      <c r="W26" s="854"/>
      <c r="X26" s="854"/>
      <c r="Y26" s="854"/>
      <c r="Z26" s="854"/>
      <c r="AA26" s="854"/>
      <c r="AB26" s="854"/>
      <c r="AC26" s="854"/>
      <c r="AD26" s="854"/>
      <c r="AE26" s="854"/>
      <c r="AF26" s="854"/>
      <c r="AG26" s="854"/>
      <c r="AH26" s="854"/>
      <c r="AI26" s="854"/>
      <c r="AJ26" s="854"/>
      <c r="AK26" s="289"/>
      <c r="AL26" s="855"/>
      <c r="AM26" s="856"/>
      <c r="AN26" s="856"/>
      <c r="AO26" s="856"/>
      <c r="AP26" s="856"/>
      <c r="AQ26" s="856"/>
      <c r="AR26" s="856"/>
      <c r="AS26" s="856"/>
      <c r="AT26" s="856"/>
      <c r="AU26" s="856"/>
      <c r="AV26" s="856"/>
      <c r="AW26" s="856"/>
      <c r="AX26" s="856"/>
      <c r="AY26" s="856"/>
      <c r="AZ26" s="856"/>
      <c r="BA26" s="856"/>
      <c r="BB26" s="856"/>
      <c r="BC26" s="856"/>
      <c r="BD26" s="856"/>
      <c r="BE26" s="856"/>
      <c r="BF26" s="856"/>
      <c r="BG26" s="857"/>
      <c r="BH26" s="289"/>
      <c r="BI26" s="854" t="s">
        <v>366</v>
      </c>
      <c r="BJ26" s="854"/>
      <c r="BK26" s="854"/>
      <c r="BL26" s="854"/>
      <c r="BM26" s="854"/>
      <c r="BN26" s="854"/>
      <c r="BO26" s="854"/>
      <c r="BP26" s="321"/>
      <c r="BQ26" s="855"/>
      <c r="BR26" s="856"/>
      <c r="BS26" s="856"/>
      <c r="BT26" s="856"/>
      <c r="BU26" s="856"/>
      <c r="BV26" s="856"/>
      <c r="BW26" s="856"/>
      <c r="BX26" s="856"/>
      <c r="BY26" s="856"/>
      <c r="BZ26" s="856"/>
      <c r="CA26" s="856"/>
      <c r="CB26" s="856"/>
      <c r="CC26" s="856"/>
      <c r="CD26" s="856"/>
      <c r="CE26" s="856"/>
      <c r="CF26" s="856"/>
      <c r="CG26" s="856"/>
      <c r="CH26" s="856"/>
      <c r="CI26" s="856"/>
      <c r="CJ26" s="856"/>
      <c r="CK26" s="856"/>
      <c r="CL26" s="857"/>
      <c r="CM26" s="289"/>
      <c r="CN26" s="289"/>
      <c r="CO26" s="289"/>
      <c r="CP26" s="289"/>
    </row>
    <row r="27" spans="1:99" x14ac:dyDescent="0.35">
      <c r="H27" s="30"/>
      <c r="I27" s="30"/>
      <c r="J27" s="30"/>
      <c r="K27" s="30"/>
      <c r="L27" s="30"/>
      <c r="M27" s="30"/>
      <c r="N27" s="30"/>
      <c r="O27" s="30"/>
      <c r="P27" s="30"/>
      <c r="Q27" s="289"/>
      <c r="R27" s="289"/>
      <c r="S27" s="289"/>
      <c r="T27" s="289"/>
      <c r="U27" s="289"/>
      <c r="V27" s="854" t="s">
        <v>367</v>
      </c>
      <c r="W27" s="854"/>
      <c r="X27" s="854"/>
      <c r="Y27" s="854"/>
      <c r="Z27" s="854"/>
      <c r="AA27" s="854"/>
      <c r="AB27" s="854"/>
      <c r="AC27" s="854"/>
      <c r="AD27" s="854"/>
      <c r="AE27" s="854"/>
      <c r="AF27" s="854"/>
      <c r="AG27" s="854"/>
      <c r="AH27" s="854"/>
      <c r="AI27" s="854"/>
      <c r="AJ27" s="854"/>
      <c r="AK27" s="289"/>
      <c r="AL27" s="855"/>
      <c r="AM27" s="856"/>
      <c r="AN27" s="856"/>
      <c r="AO27" s="856"/>
      <c r="AP27" s="856"/>
      <c r="AQ27" s="856"/>
      <c r="AR27" s="856"/>
      <c r="AS27" s="856"/>
      <c r="AT27" s="856"/>
      <c r="AU27" s="856"/>
      <c r="AV27" s="856"/>
      <c r="AW27" s="856"/>
      <c r="AX27" s="856"/>
      <c r="AY27" s="856"/>
      <c r="AZ27" s="856"/>
      <c r="BA27" s="856"/>
      <c r="BB27" s="856"/>
      <c r="BC27" s="856"/>
      <c r="BD27" s="856"/>
      <c r="BE27" s="856"/>
      <c r="BF27" s="856"/>
      <c r="BG27" s="857"/>
      <c r="BH27" s="289"/>
      <c r="BI27" s="854" t="s">
        <v>367</v>
      </c>
      <c r="BJ27" s="854"/>
      <c r="BK27" s="854"/>
      <c r="BL27" s="854"/>
      <c r="BM27" s="854"/>
      <c r="BN27" s="854"/>
      <c r="BO27" s="854"/>
      <c r="BP27" s="321"/>
      <c r="BQ27" s="855"/>
      <c r="BR27" s="856"/>
      <c r="BS27" s="856"/>
      <c r="BT27" s="856"/>
      <c r="BU27" s="856"/>
      <c r="BV27" s="856"/>
      <c r="BW27" s="856"/>
      <c r="BX27" s="856"/>
      <c r="BY27" s="856"/>
      <c r="BZ27" s="856"/>
      <c r="CA27" s="856"/>
      <c r="CB27" s="856"/>
      <c r="CC27" s="856"/>
      <c r="CD27" s="856"/>
      <c r="CE27" s="856"/>
      <c r="CF27" s="856"/>
      <c r="CG27" s="856"/>
      <c r="CH27" s="856"/>
      <c r="CI27" s="856"/>
      <c r="CJ27" s="856"/>
      <c r="CK27" s="856"/>
      <c r="CL27" s="857"/>
      <c r="CM27" s="289"/>
      <c r="CN27" s="289"/>
      <c r="CO27" s="289"/>
      <c r="CP27" s="289"/>
    </row>
    <row r="28" spans="1:99" x14ac:dyDescent="0.35">
      <c r="H28" s="30"/>
      <c r="I28" s="30"/>
      <c r="J28" s="30"/>
      <c r="K28" s="30"/>
      <c r="L28" s="30"/>
      <c r="M28" s="30"/>
      <c r="N28" s="30"/>
      <c r="O28" s="30"/>
      <c r="P28" s="30"/>
      <c r="Q28" s="289"/>
      <c r="R28" s="289"/>
      <c r="S28" s="289"/>
      <c r="T28" s="289"/>
      <c r="U28" s="289"/>
      <c r="V28" s="854" t="s">
        <v>368</v>
      </c>
      <c r="W28" s="854"/>
      <c r="X28" s="854"/>
      <c r="Y28" s="854"/>
      <c r="Z28" s="854"/>
      <c r="AA28" s="854"/>
      <c r="AB28" s="854"/>
      <c r="AC28" s="854"/>
      <c r="AD28" s="854"/>
      <c r="AE28" s="854"/>
      <c r="AF28" s="854"/>
      <c r="AG28" s="854"/>
      <c r="AH28" s="854"/>
      <c r="AI28" s="854"/>
      <c r="AJ28" s="854"/>
      <c r="AK28" s="289"/>
      <c r="AL28" s="858"/>
      <c r="AM28" s="858"/>
      <c r="AN28" s="858"/>
      <c r="AO28" s="858"/>
      <c r="AP28" s="858"/>
      <c r="AQ28" s="858"/>
      <c r="AR28" s="858"/>
      <c r="AS28" s="858"/>
      <c r="AT28" s="858"/>
      <c r="AU28" s="858"/>
      <c r="AV28" s="858"/>
      <c r="AW28" s="858"/>
      <c r="AX28" s="858"/>
      <c r="AY28" s="858"/>
      <c r="AZ28" s="858"/>
      <c r="BA28" s="299"/>
      <c r="BB28" s="299"/>
      <c r="BC28" s="299"/>
      <c r="BD28" s="299"/>
      <c r="BE28" s="299"/>
      <c r="BF28" s="299"/>
      <c r="BG28" s="299"/>
      <c r="BH28" s="289"/>
      <c r="BI28" s="854" t="s">
        <v>368</v>
      </c>
      <c r="BJ28" s="854"/>
      <c r="BK28" s="854"/>
      <c r="BL28" s="854"/>
      <c r="BM28" s="854"/>
      <c r="BN28" s="854"/>
      <c r="BO28" s="854"/>
      <c r="BP28" s="321"/>
      <c r="BQ28" s="858"/>
      <c r="BR28" s="858"/>
      <c r="BS28" s="858"/>
      <c r="BT28" s="858"/>
      <c r="BU28" s="858"/>
      <c r="BV28" s="858"/>
      <c r="BW28" s="858"/>
      <c r="BX28" s="858"/>
      <c r="BY28" s="858"/>
      <c r="BZ28" s="858"/>
      <c r="CA28" s="858"/>
      <c r="CB28" s="858"/>
      <c r="CC28" s="858"/>
      <c r="CD28" s="858"/>
      <c r="CE28" s="858"/>
      <c r="CF28" s="299"/>
      <c r="CG28" s="299"/>
      <c r="CH28" s="299"/>
      <c r="CI28" s="299"/>
      <c r="CJ28" s="299"/>
      <c r="CK28" s="299"/>
      <c r="CL28" s="299"/>
      <c r="CM28" s="289"/>
      <c r="CN28" s="289"/>
      <c r="CO28" s="289"/>
      <c r="CP28" s="289"/>
    </row>
    <row r="29" spans="1:99" x14ac:dyDescent="0.35">
      <c r="H29" s="30"/>
      <c r="I29" s="30"/>
      <c r="J29" s="30"/>
      <c r="K29" s="30"/>
      <c r="L29" s="30"/>
      <c r="M29" s="30"/>
      <c r="N29" s="30"/>
      <c r="O29" s="30"/>
      <c r="P29" s="30"/>
      <c r="Q29" s="289"/>
      <c r="R29" s="289"/>
      <c r="S29" s="289"/>
      <c r="T29" s="289"/>
      <c r="U29" s="289"/>
      <c r="V29" s="854" t="s">
        <v>369</v>
      </c>
      <c r="W29" s="854"/>
      <c r="X29" s="854"/>
      <c r="Y29" s="854"/>
      <c r="Z29" s="854"/>
      <c r="AA29" s="854"/>
      <c r="AB29" s="854"/>
      <c r="AC29" s="854"/>
      <c r="AD29" s="854"/>
      <c r="AE29" s="854"/>
      <c r="AF29" s="854"/>
      <c r="AG29" s="854"/>
      <c r="AH29" s="854"/>
      <c r="AI29" s="854"/>
      <c r="AJ29" s="854"/>
      <c r="AK29" s="289"/>
      <c r="AL29" s="859" t="str">
        <f>INDEX(dms_State_List,MATCH(dms_TradingName,dms_TradingName_List))</f>
        <v>Vic</v>
      </c>
      <c r="AM29" s="859"/>
      <c r="AN29" s="859"/>
      <c r="AO29" s="859"/>
      <c r="AP29" s="289"/>
      <c r="AQ29" s="300"/>
      <c r="AR29" s="289"/>
      <c r="AS29" s="289"/>
      <c r="AT29" s="289"/>
      <c r="AU29" s="289"/>
      <c r="AV29" s="300" t="s">
        <v>370</v>
      </c>
      <c r="AW29" s="300"/>
      <c r="AX29" s="860"/>
      <c r="AY29" s="860"/>
      <c r="AZ29" s="860"/>
      <c r="BA29" s="289"/>
      <c r="BB29" s="289"/>
      <c r="BC29" s="289"/>
      <c r="BD29" s="289"/>
      <c r="BE29" s="289"/>
      <c r="BF29" s="289"/>
      <c r="BG29" s="289"/>
      <c r="BH29" s="289"/>
      <c r="BI29" s="854" t="s">
        <v>369</v>
      </c>
      <c r="BJ29" s="854"/>
      <c r="BK29" s="854"/>
      <c r="BL29" s="854"/>
      <c r="BM29" s="854"/>
      <c r="BN29" s="854"/>
      <c r="BO29" s="854"/>
      <c r="BP29" s="321"/>
      <c r="BQ29" s="859" t="str">
        <f>INDEX(dms_PState_List,MATCH(dms_TradingName,dms_TradingName_List))</f>
        <v>Vic</v>
      </c>
      <c r="BR29" s="859"/>
      <c r="BS29" s="859"/>
      <c r="BT29" s="859"/>
      <c r="BU29" s="289"/>
      <c r="BV29" s="289"/>
      <c r="BW29" s="321"/>
      <c r="BX29" s="289"/>
      <c r="BY29" s="289"/>
      <c r="BZ29" s="289"/>
      <c r="CA29" s="300" t="s">
        <v>370</v>
      </c>
      <c r="CB29" s="289"/>
      <c r="CC29" s="860"/>
      <c r="CD29" s="860"/>
      <c r="CE29" s="860"/>
      <c r="CF29" s="289"/>
      <c r="CG29" s="289"/>
      <c r="CH29" s="289"/>
      <c r="CI29" s="289"/>
      <c r="CJ29" s="289"/>
      <c r="CK29" s="289"/>
      <c r="CL29" s="289"/>
      <c r="CM29" s="289"/>
      <c r="CN29" s="289"/>
      <c r="CO29" s="289"/>
      <c r="CP29" s="289"/>
    </row>
    <row r="30" spans="1:99" x14ac:dyDescent="0.35">
      <c r="H30" s="30"/>
      <c r="I30" s="30"/>
      <c r="J30" s="30"/>
      <c r="K30" s="30"/>
      <c r="L30" s="30"/>
      <c r="M30" s="30"/>
      <c r="N30" s="30"/>
      <c r="O30" s="30"/>
      <c r="P30" s="30"/>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U30" s="301"/>
    </row>
    <row r="31" spans="1:99" x14ac:dyDescent="0.35">
      <c r="H31" s="30"/>
      <c r="I31" s="30"/>
      <c r="J31" s="30"/>
      <c r="K31" s="30"/>
      <c r="L31" s="30"/>
      <c r="M31" s="30"/>
      <c r="N31" s="30"/>
      <c r="O31" s="30"/>
      <c r="P31" s="30"/>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t="s">
        <v>371</v>
      </c>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row>
    <row r="32" spans="1:99" x14ac:dyDescent="0.35">
      <c r="H32" s="30"/>
      <c r="I32" s="30"/>
      <c r="J32" s="30"/>
      <c r="K32" s="30"/>
      <c r="L32" s="30"/>
      <c r="M32" s="30"/>
      <c r="N32" s="30"/>
      <c r="O32" s="30"/>
      <c r="P32" s="30"/>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row>
    <row r="33" spans="2:94" ht="18" x14ac:dyDescent="0.4">
      <c r="H33" s="30"/>
      <c r="I33" s="30"/>
      <c r="J33" s="30"/>
      <c r="K33" s="30"/>
      <c r="L33" s="30"/>
      <c r="M33" s="30"/>
      <c r="N33" s="30"/>
      <c r="O33" s="30"/>
      <c r="P33" s="30"/>
      <c r="Q33" s="289"/>
      <c r="R33" s="289"/>
      <c r="S33" s="289"/>
      <c r="T33" s="289"/>
      <c r="U33" s="289"/>
      <c r="V33" s="290" t="s">
        <v>372</v>
      </c>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row>
    <row r="34" spans="2:94" x14ac:dyDescent="0.35">
      <c r="H34" s="30"/>
      <c r="I34" s="30"/>
      <c r="J34" s="30"/>
      <c r="K34" s="30"/>
      <c r="L34" s="30"/>
      <c r="M34" s="30"/>
      <c r="N34" s="30"/>
      <c r="O34" s="30"/>
      <c r="P34" s="30"/>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row>
    <row r="35" spans="2:94" x14ac:dyDescent="0.35">
      <c r="H35" s="30"/>
      <c r="I35" s="30"/>
      <c r="J35" s="30"/>
      <c r="K35" s="30"/>
      <c r="L35" s="30"/>
      <c r="M35" s="30"/>
      <c r="N35" s="30"/>
      <c r="O35" s="30"/>
      <c r="P35" s="30"/>
      <c r="Q35" s="289"/>
      <c r="R35" s="289"/>
      <c r="S35" s="289"/>
      <c r="T35" s="289"/>
      <c r="U35" s="289"/>
      <c r="V35" s="854" t="s">
        <v>84</v>
      </c>
      <c r="W35" s="854"/>
      <c r="X35" s="854"/>
      <c r="Y35" s="854"/>
      <c r="Z35" s="854"/>
      <c r="AA35" s="854"/>
      <c r="AB35" s="854"/>
      <c r="AC35" s="854"/>
      <c r="AD35" s="854"/>
      <c r="AE35" s="854"/>
      <c r="AF35" s="854"/>
      <c r="AG35" s="854"/>
      <c r="AH35" s="854"/>
      <c r="AI35" s="854"/>
      <c r="AJ35" s="854"/>
      <c r="AK35" s="289"/>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289"/>
      <c r="BI35" s="854" t="s">
        <v>84</v>
      </c>
      <c r="BJ35" s="854"/>
      <c r="BK35" s="854"/>
      <c r="BL35" s="854"/>
      <c r="BM35" s="854"/>
      <c r="BN35" s="854"/>
      <c r="BO35" s="854"/>
      <c r="BP35" s="32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289"/>
      <c r="CN35" s="289"/>
      <c r="CO35" s="289"/>
      <c r="CP35" s="289"/>
    </row>
    <row r="36" spans="2:94" x14ac:dyDescent="0.35">
      <c r="H36" s="30"/>
      <c r="I36" s="30"/>
      <c r="J36" s="30"/>
      <c r="K36" s="30"/>
      <c r="L36" s="30"/>
      <c r="M36" s="30"/>
      <c r="N36" s="30"/>
      <c r="O36" s="30"/>
      <c r="P36" s="30"/>
      <c r="Q36" s="289"/>
      <c r="R36" s="289"/>
      <c r="S36" s="289"/>
      <c r="T36" s="289"/>
      <c r="U36" s="289"/>
      <c r="V36" s="854" t="s">
        <v>373</v>
      </c>
      <c r="W36" s="854"/>
      <c r="X36" s="854"/>
      <c r="Y36" s="854"/>
      <c r="Z36" s="854"/>
      <c r="AA36" s="854"/>
      <c r="AB36" s="854"/>
      <c r="AC36" s="854"/>
      <c r="AD36" s="854"/>
      <c r="AE36" s="854"/>
      <c r="AF36" s="854"/>
      <c r="AG36" s="854"/>
      <c r="AH36" s="854"/>
      <c r="AI36" s="854"/>
      <c r="AJ36" s="854"/>
      <c r="AK36" s="289"/>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296"/>
      <c r="BI36" s="854" t="s">
        <v>373</v>
      </c>
      <c r="BJ36" s="854"/>
      <c r="BK36" s="854"/>
      <c r="BL36" s="854"/>
      <c r="BM36" s="854"/>
      <c r="BN36" s="854"/>
      <c r="BO36" s="854"/>
      <c r="BP36" s="321"/>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289"/>
      <c r="CN36" s="289"/>
      <c r="CO36" s="289"/>
      <c r="CP36" s="289"/>
    </row>
    <row r="37" spans="2:94" x14ac:dyDescent="0.35">
      <c r="H37" s="30"/>
      <c r="I37" s="30"/>
      <c r="J37" s="30"/>
      <c r="K37" s="30"/>
      <c r="L37" s="30"/>
      <c r="M37" s="30"/>
      <c r="N37" s="30"/>
      <c r="O37" s="30"/>
      <c r="P37" s="30"/>
      <c r="Q37" s="289"/>
      <c r="R37" s="289"/>
      <c r="S37" s="289"/>
      <c r="T37" s="289"/>
      <c r="U37" s="289"/>
      <c r="V37" s="854" t="s">
        <v>374</v>
      </c>
      <c r="W37" s="854"/>
      <c r="X37" s="854"/>
      <c r="Y37" s="854"/>
      <c r="Z37" s="854"/>
      <c r="AA37" s="854"/>
      <c r="AB37" s="854"/>
      <c r="AC37" s="854"/>
      <c r="AD37" s="854"/>
      <c r="AE37" s="854"/>
      <c r="AF37" s="854"/>
      <c r="AG37" s="854"/>
      <c r="AH37" s="854"/>
      <c r="AI37" s="854"/>
      <c r="AJ37" s="854"/>
      <c r="AK37" s="289"/>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289"/>
      <c r="BI37" s="854" t="s">
        <v>374</v>
      </c>
      <c r="BJ37" s="854"/>
      <c r="BK37" s="854"/>
      <c r="BL37" s="854"/>
      <c r="BM37" s="854"/>
      <c r="BN37" s="854"/>
      <c r="BO37" s="854"/>
      <c r="BP37" s="32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289"/>
      <c r="CN37" s="289"/>
      <c r="CO37" s="289"/>
      <c r="CP37" s="289"/>
    </row>
    <row r="38" spans="2:94" x14ac:dyDescent="0.35">
      <c r="H38" s="30"/>
      <c r="I38" s="30"/>
      <c r="J38" s="30"/>
      <c r="K38" s="30"/>
      <c r="L38" s="30"/>
      <c r="M38" s="30"/>
      <c r="N38" s="30"/>
      <c r="O38" s="30"/>
      <c r="P38" s="30"/>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row>
    <row r="39" spans="2:94" x14ac:dyDescent="0.35">
      <c r="H39" s="30"/>
      <c r="I39" s="30"/>
      <c r="J39" s="30"/>
      <c r="K39" s="30"/>
      <c r="L39" s="30"/>
      <c r="M39" s="30"/>
      <c r="N39" s="30"/>
      <c r="O39" s="30"/>
      <c r="P39" s="30"/>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row>
    <row r="40" spans="2:94" ht="15.5" x14ac:dyDescent="0.35">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3"/>
      <c r="AG40" s="303"/>
      <c r="AH40" s="303"/>
      <c r="AI40" s="303"/>
      <c r="AJ40" s="303"/>
      <c r="AK40" s="303"/>
      <c r="AL40" s="303"/>
      <c r="AM40" s="303"/>
      <c r="AN40" s="303"/>
      <c r="AO40" s="303"/>
      <c r="AP40" s="303"/>
      <c r="AQ40" s="303"/>
      <c r="AR40" s="303"/>
      <c r="AS40" s="303"/>
      <c r="AT40" s="303"/>
      <c r="AU40" s="303"/>
      <c r="AV40" s="303"/>
      <c r="AW40" s="303"/>
      <c r="AX40" s="303"/>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row>
    <row r="41" spans="2:94" x14ac:dyDescent="0.35">
      <c r="H41" s="30"/>
      <c r="I41" s="30"/>
      <c r="J41" s="30"/>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row>
    <row r="42" spans="2:94" ht="30" x14ac:dyDescent="0.35">
      <c r="H42" s="304"/>
      <c r="I42" s="304"/>
      <c r="J42" s="304"/>
      <c r="Q42" s="286" t="s">
        <v>375</v>
      </c>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row>
    <row r="43" spans="2:94" x14ac:dyDescent="0.35">
      <c r="H43" s="302"/>
      <c r="I43" s="302"/>
      <c r="J43" s="302"/>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row>
    <row r="44" spans="2:94" x14ac:dyDescent="0.35">
      <c r="H44" s="302"/>
      <c r="I44" s="302"/>
      <c r="J44" s="302"/>
      <c r="Q44" s="305"/>
      <c r="R44" s="305"/>
      <c r="S44" s="305"/>
      <c r="T44" s="305"/>
      <c r="U44" s="305"/>
      <c r="V44" s="305"/>
      <c r="W44" s="305"/>
      <c r="X44" s="305"/>
      <c r="Y44" s="305"/>
      <c r="Z44" s="305"/>
      <c r="AA44" s="305"/>
      <c r="AB44" s="305"/>
      <c r="AC44" s="305"/>
      <c r="AD44" s="305"/>
      <c r="AE44" s="305"/>
      <c r="AF44" s="305"/>
      <c r="AG44" s="305"/>
      <c r="AH44" s="305"/>
      <c r="AI44" s="305"/>
      <c r="AJ44" s="305"/>
      <c r="AK44" s="305"/>
      <c r="AL44" s="306"/>
      <c r="AM44" s="307"/>
      <c r="AN44" s="307"/>
      <c r="AO44" s="307"/>
      <c r="AP44" s="307"/>
      <c r="AQ44" s="307"/>
      <c r="AR44" s="307"/>
      <c r="AS44" s="307"/>
      <c r="AT44" s="307"/>
      <c r="AU44" s="306"/>
      <c r="AV44" s="307"/>
      <c r="AW44" s="307"/>
      <c r="AX44" s="307"/>
      <c r="AY44" s="307"/>
      <c r="AZ44" s="307"/>
      <c r="BA44" s="307"/>
      <c r="BB44" s="307"/>
      <c r="BC44" s="307"/>
      <c r="BD44" s="306"/>
      <c r="BE44" s="307"/>
      <c r="BF44" s="307"/>
      <c r="BG44" s="307"/>
      <c r="BH44" s="307"/>
      <c r="BI44" s="307"/>
      <c r="BJ44" s="307"/>
      <c r="BK44" s="307"/>
      <c r="BL44" s="307"/>
      <c r="BM44" s="306"/>
      <c r="BN44" s="307"/>
      <c r="BO44" s="307"/>
      <c r="BP44" s="307"/>
      <c r="BQ44" s="307"/>
      <c r="BR44" s="307"/>
      <c r="BS44" s="307"/>
      <c r="BT44" s="307"/>
      <c r="BU44" s="307"/>
      <c r="BV44" s="306"/>
      <c r="BW44" s="307"/>
      <c r="BX44" s="307"/>
      <c r="BY44" s="307"/>
      <c r="BZ44" s="307"/>
      <c r="CA44" s="307"/>
      <c r="CB44" s="307"/>
      <c r="CC44" s="307"/>
      <c r="CD44" s="307"/>
      <c r="CE44" s="305"/>
      <c r="CF44" s="305"/>
      <c r="CG44" s="305"/>
      <c r="CH44" s="305"/>
      <c r="CI44" s="305"/>
      <c r="CJ44" s="305"/>
      <c r="CK44" s="305"/>
      <c r="CL44" s="305"/>
      <c r="CM44" s="305"/>
      <c r="CN44" s="305"/>
      <c r="CO44" s="305"/>
      <c r="CP44" s="305"/>
    </row>
    <row r="45" spans="2:94" ht="15.75" customHeight="1" x14ac:dyDescent="0.35">
      <c r="B45" s="301"/>
      <c r="H45" s="302"/>
      <c r="I45" s="302"/>
      <c r="J45" s="302"/>
      <c r="Q45" s="322"/>
      <c r="R45" s="322"/>
      <c r="S45" s="322"/>
      <c r="T45" s="322"/>
      <c r="U45" s="322"/>
      <c r="V45" s="322"/>
      <c r="W45" s="305"/>
      <c r="X45" s="305"/>
      <c r="Y45" s="305"/>
      <c r="Z45" s="863" t="s">
        <v>376</v>
      </c>
      <c r="AA45" s="863"/>
      <c r="AB45" s="863"/>
      <c r="AC45" s="863"/>
      <c r="AD45" s="863"/>
      <c r="AE45" s="863"/>
      <c r="AF45" s="863"/>
      <c r="AG45" s="863"/>
      <c r="AH45" s="863"/>
      <c r="AI45" s="863"/>
      <c r="AJ45" s="308"/>
      <c r="AK45" s="308"/>
      <c r="AL45" s="864" t="s">
        <v>305</v>
      </c>
      <c r="AM45" s="864"/>
      <c r="AN45" s="864"/>
      <c r="AO45" s="864"/>
      <c r="AP45" s="864"/>
      <c r="AQ45" s="864"/>
      <c r="AR45" s="864"/>
      <c r="AS45" s="864"/>
      <c r="AT45" s="309"/>
      <c r="AU45" s="865" t="s">
        <v>307</v>
      </c>
      <c r="AV45" s="865"/>
      <c r="AW45" s="865"/>
      <c r="AX45" s="865"/>
      <c r="AY45" s="865"/>
      <c r="AZ45" s="865"/>
      <c r="BA45" s="865"/>
      <c r="BB45" s="865"/>
      <c r="BC45" s="309"/>
      <c r="BD45" s="865" t="s">
        <v>309</v>
      </c>
      <c r="BE45" s="865"/>
      <c r="BF45" s="865"/>
      <c r="BG45" s="865"/>
      <c r="BH45" s="865"/>
      <c r="BI45" s="865"/>
      <c r="BJ45" s="865"/>
      <c r="BK45" s="865"/>
      <c r="BL45" s="309"/>
      <c r="BM45" s="865" t="s">
        <v>311</v>
      </c>
      <c r="BN45" s="865"/>
      <c r="BO45" s="865"/>
      <c r="BP45" s="865"/>
      <c r="BQ45" s="865"/>
      <c r="BR45" s="865"/>
      <c r="BS45" s="865"/>
      <c r="BT45" s="865"/>
      <c r="BU45" s="309"/>
      <c r="BV45" s="866" t="s">
        <v>313</v>
      </c>
      <c r="BW45" s="866"/>
      <c r="BX45" s="866"/>
      <c r="BY45" s="866"/>
      <c r="BZ45" s="866"/>
      <c r="CA45" s="866"/>
      <c r="CB45" s="866"/>
      <c r="CC45" s="866"/>
      <c r="CD45" s="305"/>
      <c r="CE45" s="305"/>
      <c r="CF45" s="305"/>
      <c r="CG45" s="305"/>
      <c r="CH45" s="305"/>
      <c r="CI45" s="305"/>
      <c r="CJ45" s="305"/>
      <c r="CK45" s="305"/>
      <c r="CL45" s="305"/>
      <c r="CM45" s="305"/>
      <c r="CN45" s="305"/>
      <c r="CO45" s="305"/>
      <c r="CP45" s="305"/>
    </row>
    <row r="46" spans="2:94" ht="18" x14ac:dyDescent="0.35">
      <c r="B46" s="301"/>
      <c r="H46" s="302"/>
      <c r="I46" s="302"/>
      <c r="J46" s="302"/>
      <c r="Q46" s="322"/>
      <c r="R46" s="322"/>
      <c r="S46" s="322"/>
      <c r="T46" s="322"/>
      <c r="U46" s="322"/>
      <c r="V46" s="322"/>
      <c r="W46" s="305"/>
      <c r="X46" s="305"/>
      <c r="Y46" s="305"/>
      <c r="Z46" s="308"/>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05"/>
      <c r="CE46" s="305"/>
      <c r="CF46" s="305"/>
      <c r="CG46" s="305"/>
      <c r="CH46" s="305"/>
      <c r="CI46" s="305"/>
      <c r="CJ46" s="305"/>
      <c r="CK46" s="305"/>
      <c r="CL46" s="305"/>
      <c r="CM46" s="305"/>
      <c r="CN46" s="305"/>
      <c r="CO46" s="305"/>
      <c r="CP46" s="305"/>
    </row>
    <row r="47" spans="2:94" ht="15" customHeight="1" x14ac:dyDescent="0.35">
      <c r="H47" s="302"/>
      <c r="I47" s="302"/>
      <c r="J47" s="302"/>
      <c r="Q47" s="322"/>
      <c r="R47" s="322"/>
      <c r="S47" s="322"/>
      <c r="T47" s="322"/>
      <c r="U47" s="322"/>
      <c r="V47" s="322"/>
      <c r="W47" s="305"/>
      <c r="X47" s="305"/>
      <c r="Y47" s="305"/>
      <c r="Z47" s="308"/>
      <c r="AA47" s="308"/>
      <c r="AB47" s="308"/>
      <c r="AC47" s="308"/>
      <c r="AD47" s="308"/>
      <c r="AE47" s="308"/>
      <c r="AF47" s="308"/>
      <c r="AG47" s="308"/>
      <c r="AH47" s="308"/>
      <c r="AI47" s="308"/>
      <c r="AJ47" s="308"/>
      <c r="AK47" s="308"/>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05"/>
      <c r="CE47" s="305"/>
      <c r="CF47" s="305"/>
      <c r="CG47" s="305"/>
      <c r="CH47" s="305"/>
      <c r="CI47" s="305"/>
      <c r="CJ47" s="305"/>
      <c r="CK47" s="305"/>
      <c r="CL47" s="305"/>
      <c r="CM47" s="305"/>
      <c r="CN47" s="305"/>
      <c r="CO47" s="305"/>
      <c r="CP47" s="322"/>
    </row>
    <row r="48" spans="2:94" ht="15" customHeight="1" x14ac:dyDescent="0.35">
      <c r="B48" s="301"/>
      <c r="H48" s="302"/>
      <c r="I48" s="302"/>
      <c r="J48" s="302"/>
      <c r="Q48" s="322"/>
      <c r="R48" s="322"/>
      <c r="S48" s="322"/>
      <c r="T48" s="322"/>
      <c r="U48" s="322"/>
      <c r="V48" s="322"/>
      <c r="W48" s="305"/>
      <c r="X48" s="305"/>
      <c r="Y48" s="305"/>
      <c r="Z48" s="308"/>
      <c r="AA48" s="308"/>
      <c r="AB48" s="308"/>
      <c r="AC48" s="308"/>
      <c r="AD48" s="308"/>
      <c r="AE48" s="308"/>
      <c r="AF48" s="308"/>
      <c r="AG48" s="308"/>
      <c r="AH48" s="308"/>
      <c r="AI48" s="308"/>
      <c r="AJ48" s="308"/>
      <c r="AK48" s="308"/>
      <c r="AL48" s="313"/>
      <c r="AM48" s="312"/>
      <c r="AN48" s="312"/>
      <c r="AO48" s="312"/>
      <c r="AP48" s="312"/>
      <c r="AQ48" s="312"/>
      <c r="AR48" s="312"/>
      <c r="AS48" s="312"/>
      <c r="AT48" s="312"/>
      <c r="AU48" s="313"/>
      <c r="AV48" s="312"/>
      <c r="AW48" s="312"/>
      <c r="AX48" s="312"/>
      <c r="AY48" s="312"/>
      <c r="AZ48" s="312"/>
      <c r="BA48" s="312"/>
      <c r="BB48" s="312"/>
      <c r="BC48" s="312"/>
      <c r="BD48" s="313"/>
      <c r="BE48" s="312"/>
      <c r="BF48" s="312"/>
      <c r="BG48" s="312"/>
      <c r="BH48" s="312"/>
      <c r="BI48" s="312"/>
      <c r="BJ48" s="312"/>
      <c r="BK48" s="312"/>
      <c r="BL48" s="312"/>
      <c r="BM48" s="313"/>
      <c r="BN48" s="312"/>
      <c r="BO48" s="312"/>
      <c r="BP48" s="312"/>
      <c r="BQ48" s="312"/>
      <c r="BR48" s="312"/>
      <c r="BS48" s="312"/>
      <c r="BT48" s="312"/>
      <c r="BU48" s="312"/>
      <c r="BV48" s="313"/>
      <c r="BW48" s="312"/>
      <c r="BX48" s="312"/>
      <c r="BY48" s="312"/>
      <c r="BZ48" s="312"/>
      <c r="CA48" s="312"/>
      <c r="CB48" s="312"/>
      <c r="CC48" s="312"/>
      <c r="CD48" s="305"/>
      <c r="CE48" s="305"/>
      <c r="CF48" s="305"/>
      <c r="CG48" s="305"/>
      <c r="CH48" s="305"/>
      <c r="CI48" s="305"/>
      <c r="CJ48" s="305"/>
      <c r="CK48" s="305"/>
      <c r="CL48" s="305"/>
      <c r="CM48" s="305"/>
      <c r="CN48" s="305"/>
      <c r="CO48" s="305"/>
      <c r="CP48" s="322"/>
    </row>
    <row r="49" spans="2:94" ht="15.75" customHeight="1" x14ac:dyDescent="0.35">
      <c r="B49" s="301"/>
      <c r="H49" s="302"/>
      <c r="I49" s="302"/>
      <c r="J49" s="302"/>
      <c r="Q49" s="322"/>
      <c r="R49" s="322"/>
      <c r="S49" s="322"/>
      <c r="T49" s="322"/>
      <c r="U49" s="322"/>
      <c r="V49" s="322"/>
      <c r="W49" s="305"/>
      <c r="X49" s="322" t="s">
        <v>377</v>
      </c>
      <c r="Y49" s="305"/>
      <c r="Z49" s="863" t="s">
        <v>26</v>
      </c>
      <c r="AA49" s="863"/>
      <c r="AB49" s="863"/>
      <c r="AC49" s="863"/>
      <c r="AD49" s="863"/>
      <c r="AE49" s="863"/>
      <c r="AF49" s="863"/>
      <c r="AG49" s="863"/>
      <c r="AH49" s="863"/>
      <c r="AI49" s="863"/>
      <c r="AJ49" s="308"/>
      <c r="AK49" s="308"/>
      <c r="AL49" s="865" t="s">
        <v>296</v>
      </c>
      <c r="AM49" s="865"/>
      <c r="AN49" s="865"/>
      <c r="AO49" s="865"/>
      <c r="AP49" s="865"/>
      <c r="AQ49" s="865"/>
      <c r="AR49" s="865"/>
      <c r="AS49" s="865"/>
      <c r="AT49" s="309"/>
      <c r="AU49" s="865" t="s">
        <v>298</v>
      </c>
      <c r="AV49" s="865"/>
      <c r="AW49" s="865"/>
      <c r="AX49" s="865"/>
      <c r="AY49" s="865"/>
      <c r="AZ49" s="865"/>
      <c r="BA49" s="865"/>
      <c r="BB49" s="865"/>
      <c r="BC49" s="309"/>
      <c r="BD49" s="865" t="s">
        <v>36</v>
      </c>
      <c r="BE49" s="865"/>
      <c r="BF49" s="865"/>
      <c r="BG49" s="865"/>
      <c r="BH49" s="865"/>
      <c r="BI49" s="865"/>
      <c r="BJ49" s="865"/>
      <c r="BK49" s="865"/>
      <c r="BL49" s="309"/>
      <c r="BM49" s="865" t="s">
        <v>301</v>
      </c>
      <c r="BN49" s="865"/>
      <c r="BO49" s="865"/>
      <c r="BP49" s="865"/>
      <c r="BQ49" s="865"/>
      <c r="BR49" s="865"/>
      <c r="BS49" s="865"/>
      <c r="BT49" s="865"/>
      <c r="BU49" s="309"/>
      <c r="BV49" s="865" t="s">
        <v>303</v>
      </c>
      <c r="BW49" s="865"/>
      <c r="BX49" s="865"/>
      <c r="BY49" s="865"/>
      <c r="BZ49" s="865"/>
      <c r="CA49" s="865"/>
      <c r="CB49" s="865"/>
      <c r="CC49" s="865"/>
      <c r="CD49" s="305"/>
      <c r="CE49" s="305"/>
      <c r="CF49" s="305"/>
      <c r="CG49" s="305"/>
      <c r="CH49" s="305"/>
      <c r="CI49" s="305"/>
      <c r="CJ49" s="305"/>
      <c r="CK49" s="305"/>
      <c r="CL49" s="305"/>
      <c r="CM49" s="305"/>
      <c r="CN49" s="305"/>
      <c r="CO49" s="305"/>
      <c r="CP49" s="322"/>
    </row>
    <row r="50" spans="2:94" ht="15" customHeight="1" x14ac:dyDescent="0.35">
      <c r="H50" s="302"/>
      <c r="I50" s="302"/>
      <c r="J50" s="302"/>
      <c r="Q50" s="322"/>
      <c r="R50" s="322"/>
      <c r="S50" s="322"/>
      <c r="T50" s="322"/>
      <c r="U50" s="322"/>
      <c r="V50" s="322"/>
      <c r="W50" s="305"/>
      <c r="X50" s="305"/>
      <c r="Y50" s="305"/>
      <c r="Z50" s="308"/>
      <c r="AA50" s="308"/>
      <c r="AB50" s="308"/>
      <c r="AC50" s="308"/>
      <c r="AD50" s="308"/>
      <c r="AE50" s="308"/>
      <c r="AF50" s="308"/>
      <c r="AG50" s="308"/>
      <c r="AH50" s="308"/>
      <c r="AI50" s="308"/>
      <c r="AJ50" s="308"/>
      <c r="AK50" s="308"/>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05"/>
      <c r="CE50" s="305"/>
      <c r="CF50" s="305"/>
      <c r="CG50" s="305"/>
      <c r="CH50" s="305"/>
      <c r="CI50" s="305"/>
      <c r="CJ50" s="305"/>
      <c r="CK50" s="305"/>
      <c r="CL50" s="305"/>
      <c r="CM50" s="305"/>
      <c r="CN50" s="305"/>
      <c r="CO50" s="305"/>
      <c r="CP50" s="322"/>
    </row>
    <row r="51" spans="2:94" ht="15" customHeight="1" x14ac:dyDescent="0.35">
      <c r="H51" s="302"/>
      <c r="I51" s="302"/>
      <c r="J51" s="302"/>
      <c r="Q51" s="322"/>
      <c r="R51" s="322"/>
      <c r="S51" s="322"/>
      <c r="T51" s="322"/>
      <c r="U51" s="322"/>
      <c r="V51" s="322"/>
      <c r="W51" s="305"/>
      <c r="X51" s="305"/>
      <c r="Y51" s="305"/>
      <c r="Z51" s="308"/>
      <c r="AA51" s="308"/>
      <c r="AB51" s="308"/>
      <c r="AC51" s="308"/>
      <c r="AD51" s="308"/>
      <c r="AE51" s="308"/>
      <c r="AF51" s="308"/>
      <c r="AG51" s="308"/>
      <c r="AH51" s="308"/>
      <c r="AI51" s="308"/>
      <c r="AJ51" s="308"/>
      <c r="AK51" s="308"/>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05"/>
      <c r="CE51" s="305"/>
      <c r="CF51" s="305"/>
      <c r="CG51" s="305"/>
      <c r="CH51" s="305"/>
      <c r="CI51" s="305"/>
      <c r="CJ51" s="305"/>
      <c r="CK51" s="305"/>
      <c r="CL51" s="305"/>
      <c r="CM51" s="305"/>
      <c r="CN51" s="305"/>
      <c r="CO51" s="305"/>
      <c r="CP51" s="322"/>
    </row>
    <row r="52" spans="2:94" ht="15" customHeight="1" x14ac:dyDescent="0.35">
      <c r="H52" s="302"/>
      <c r="I52" s="302"/>
      <c r="J52" s="302"/>
      <c r="Q52" s="322"/>
      <c r="R52" s="322"/>
      <c r="S52" s="322"/>
      <c r="T52" s="322"/>
      <c r="U52" s="322"/>
      <c r="V52" s="322"/>
      <c r="W52" s="305"/>
      <c r="X52" s="305"/>
      <c r="Y52" s="305"/>
      <c r="Z52" s="308"/>
      <c r="AA52" s="308"/>
      <c r="AB52" s="308"/>
      <c r="AC52" s="308"/>
      <c r="AD52" s="308"/>
      <c r="AE52" s="308"/>
      <c r="AF52" s="308"/>
      <c r="AG52" s="308"/>
      <c r="AH52" s="308"/>
      <c r="AI52" s="308"/>
      <c r="AJ52" s="308"/>
      <c r="AK52" s="308"/>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6"/>
      <c r="CD52" s="305"/>
      <c r="CE52" s="305"/>
      <c r="CF52" s="305"/>
      <c r="CG52" s="305"/>
      <c r="CH52" s="305"/>
      <c r="CI52" s="305"/>
      <c r="CJ52" s="305"/>
      <c r="CK52" s="305"/>
      <c r="CL52" s="305"/>
      <c r="CM52" s="305"/>
      <c r="CN52" s="305"/>
      <c r="CO52" s="305"/>
      <c r="CP52" s="322"/>
    </row>
    <row r="53" spans="2:94" ht="15.75" hidden="1" customHeight="1" x14ac:dyDescent="0.35">
      <c r="H53" s="302"/>
      <c r="I53" s="302"/>
      <c r="J53" s="302"/>
      <c r="Q53" s="322"/>
      <c r="R53" s="322"/>
      <c r="S53" s="322"/>
      <c r="T53" s="322"/>
      <c r="U53" s="322"/>
      <c r="V53" s="322"/>
      <c r="W53" s="305"/>
      <c r="X53" s="305"/>
      <c r="Y53" s="305"/>
      <c r="Z53" s="863" t="s">
        <v>9</v>
      </c>
      <c r="AA53" s="863"/>
      <c r="AB53" s="863"/>
      <c r="AC53" s="863"/>
      <c r="AD53" s="863"/>
      <c r="AE53" s="863"/>
      <c r="AF53" s="863"/>
      <c r="AG53" s="863"/>
      <c r="AH53" s="863"/>
      <c r="AI53" s="863"/>
      <c r="AJ53" s="308"/>
      <c r="AK53" s="308"/>
      <c r="AL53" s="865" t="s">
        <v>291</v>
      </c>
      <c r="AM53" s="865"/>
      <c r="AN53" s="865"/>
      <c r="AO53" s="865"/>
      <c r="AP53" s="865"/>
      <c r="AQ53" s="865"/>
      <c r="AR53" s="865"/>
      <c r="AS53" s="865"/>
      <c r="AT53" s="309"/>
      <c r="AU53" s="865" t="s">
        <v>292</v>
      </c>
      <c r="AV53" s="865"/>
      <c r="AW53" s="865"/>
      <c r="AX53" s="865"/>
      <c r="AY53" s="865"/>
      <c r="AZ53" s="865"/>
      <c r="BA53" s="865"/>
      <c r="BB53" s="865"/>
      <c r="BC53" s="309"/>
      <c r="BD53" s="865" t="s">
        <v>293</v>
      </c>
      <c r="BE53" s="865"/>
      <c r="BF53" s="865"/>
      <c r="BG53" s="865"/>
      <c r="BH53" s="865"/>
      <c r="BI53" s="865"/>
      <c r="BJ53" s="865"/>
      <c r="BK53" s="865"/>
      <c r="BL53" s="309"/>
      <c r="BM53" s="865" t="s">
        <v>294</v>
      </c>
      <c r="BN53" s="865"/>
      <c r="BO53" s="865"/>
      <c r="BP53" s="865"/>
      <c r="BQ53" s="865"/>
      <c r="BR53" s="865"/>
      <c r="BS53" s="865"/>
      <c r="BT53" s="865"/>
      <c r="BU53" s="309"/>
      <c r="BV53" s="865" t="s">
        <v>295</v>
      </c>
      <c r="BW53" s="865"/>
      <c r="BX53" s="865"/>
      <c r="BY53" s="865"/>
      <c r="BZ53" s="865"/>
      <c r="CA53" s="865"/>
      <c r="CB53" s="865"/>
      <c r="CC53" s="865"/>
      <c r="CD53" s="305"/>
      <c r="CE53" s="305"/>
      <c r="CF53" s="305"/>
      <c r="CG53" s="305"/>
      <c r="CH53" s="305"/>
      <c r="CI53" s="305"/>
      <c r="CJ53" s="305"/>
      <c r="CK53" s="305"/>
      <c r="CL53" s="305"/>
      <c r="CM53" s="305"/>
      <c r="CN53" s="305"/>
      <c r="CO53" s="305"/>
      <c r="CP53" s="322"/>
    </row>
    <row r="54" spans="2:94" ht="15.5" x14ac:dyDescent="0.35">
      <c r="H54" s="302"/>
      <c r="I54" s="302"/>
      <c r="J54" s="302"/>
      <c r="Q54" s="305"/>
      <c r="R54" s="305"/>
      <c r="S54" s="305"/>
      <c r="T54" s="305"/>
      <c r="U54" s="305"/>
      <c r="V54" s="305"/>
      <c r="W54" s="305"/>
      <c r="X54" s="305"/>
      <c r="Y54" s="305"/>
      <c r="Z54" s="308"/>
      <c r="AA54" s="308"/>
      <c r="AB54" s="308"/>
      <c r="AC54" s="308"/>
      <c r="AD54" s="308"/>
      <c r="AE54" s="308"/>
      <c r="AF54" s="308"/>
      <c r="AG54" s="308"/>
      <c r="AH54" s="308"/>
      <c r="AI54" s="308"/>
      <c r="AJ54" s="308"/>
      <c r="AK54" s="308"/>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05"/>
      <c r="CE54" s="305"/>
      <c r="CF54" s="305"/>
      <c r="CG54" s="305"/>
      <c r="CH54" s="305"/>
      <c r="CI54" s="305"/>
      <c r="CJ54" s="305"/>
      <c r="CK54" s="305"/>
      <c r="CL54" s="305"/>
      <c r="CM54" s="305"/>
      <c r="CN54" s="305"/>
      <c r="CO54" s="305"/>
      <c r="CP54" s="305"/>
    </row>
    <row r="55" spans="2:94" ht="15.5" hidden="1" x14ac:dyDescent="0.35">
      <c r="H55" s="302"/>
      <c r="I55" s="302"/>
      <c r="J55" s="302"/>
      <c r="Q55" s="305"/>
      <c r="R55" s="305"/>
      <c r="S55" s="305"/>
      <c r="T55" s="305"/>
      <c r="U55" s="305"/>
      <c r="V55" s="305"/>
      <c r="W55" s="305"/>
      <c r="X55" s="305"/>
      <c r="Y55" s="305"/>
      <c r="Z55" s="308"/>
      <c r="AA55" s="308"/>
      <c r="AB55" s="308"/>
      <c r="AC55" s="308"/>
      <c r="AD55" s="308"/>
      <c r="AE55" s="308"/>
      <c r="AF55" s="308"/>
      <c r="AG55" s="308"/>
      <c r="AH55" s="308"/>
      <c r="AI55" s="308"/>
      <c r="AJ55" s="308"/>
      <c r="AK55" s="308"/>
      <c r="AL55" s="866" t="e">
        <f ca="1">PRCP_y11</f>
        <v>#NAME?</v>
      </c>
      <c r="AM55" s="866"/>
      <c r="AN55" s="866"/>
      <c r="AO55" s="866"/>
      <c r="AP55" s="866"/>
      <c r="AQ55" s="866"/>
      <c r="AR55" s="866"/>
      <c r="AS55" s="866"/>
      <c r="AT55" s="314"/>
      <c r="AU55" s="866" t="e">
        <f ca="1">PRCP_y12</f>
        <v>#NAME?</v>
      </c>
      <c r="AV55" s="866"/>
      <c r="AW55" s="866"/>
      <c r="AX55" s="866"/>
      <c r="AY55" s="866"/>
      <c r="AZ55" s="866"/>
      <c r="BA55" s="866"/>
      <c r="BB55" s="866"/>
      <c r="BC55" s="315"/>
      <c r="BD55" s="866" t="e">
        <f ca="1">PRCP_y13</f>
        <v>#NAME?</v>
      </c>
      <c r="BE55" s="866"/>
      <c r="BF55" s="866"/>
      <c r="BG55" s="866"/>
      <c r="BH55" s="866"/>
      <c r="BI55" s="866"/>
      <c r="BJ55" s="866"/>
      <c r="BK55" s="866"/>
      <c r="BL55" s="315"/>
      <c r="BM55" s="866" t="e">
        <f ca="1">PRCP_y14</f>
        <v>#NAME?</v>
      </c>
      <c r="BN55" s="866"/>
      <c r="BO55" s="866"/>
      <c r="BP55" s="866"/>
      <c r="BQ55" s="866"/>
      <c r="BR55" s="866"/>
      <c r="BS55" s="866"/>
      <c r="BT55" s="866"/>
      <c r="BU55" s="315"/>
      <c r="BV55" s="866" t="e">
        <f ca="1">PRCP_y15</f>
        <v>#NAME?</v>
      </c>
      <c r="BW55" s="866"/>
      <c r="BX55" s="866"/>
      <c r="BY55" s="866"/>
      <c r="BZ55" s="866"/>
      <c r="CA55" s="866"/>
      <c r="CB55" s="866"/>
      <c r="CC55" s="866"/>
      <c r="CD55" s="305"/>
      <c r="CE55" s="305"/>
      <c r="CF55" s="305"/>
      <c r="CG55" s="305"/>
      <c r="CH55" s="305"/>
      <c r="CI55" s="305"/>
      <c r="CJ55" s="305"/>
      <c r="CK55" s="305"/>
      <c r="CL55" s="305"/>
      <c r="CM55" s="305"/>
      <c r="CN55" s="305"/>
      <c r="CO55" s="305"/>
      <c r="CP55" s="305"/>
    </row>
    <row r="56" spans="2:94" ht="15.5" hidden="1" x14ac:dyDescent="0.35">
      <c r="E56" s="317"/>
      <c r="H56" s="302"/>
      <c r="I56" s="302"/>
      <c r="J56" s="302"/>
      <c r="Q56" s="305"/>
      <c r="R56" s="305"/>
      <c r="S56" s="305"/>
      <c r="T56" s="305"/>
      <c r="U56" s="305"/>
      <c r="V56" s="305"/>
      <c r="W56" s="305"/>
      <c r="X56" s="305"/>
      <c r="Y56" s="305"/>
      <c r="Z56" s="308"/>
      <c r="AA56" s="308"/>
      <c r="AB56" s="308"/>
      <c r="AC56" s="308"/>
      <c r="AD56" s="308"/>
      <c r="AE56" s="308"/>
      <c r="AF56" s="308"/>
      <c r="AG56" s="308"/>
      <c r="AH56" s="308"/>
      <c r="AI56" s="308"/>
      <c r="AJ56" s="308"/>
      <c r="AK56" s="308"/>
      <c r="AL56" s="308"/>
      <c r="AM56" s="308"/>
      <c r="AN56" s="308"/>
      <c r="AO56" s="308"/>
      <c r="AP56" s="308"/>
      <c r="AQ56" s="308"/>
      <c r="AR56" s="308"/>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row>
    <row r="57" spans="2:94" ht="15.75" hidden="1" customHeight="1" x14ac:dyDescent="0.35">
      <c r="H57" s="302"/>
      <c r="I57" s="302"/>
      <c r="J57" s="302"/>
      <c r="Q57" s="322"/>
      <c r="R57" s="322"/>
      <c r="S57" s="322"/>
      <c r="T57" s="322"/>
      <c r="U57" s="322"/>
      <c r="V57" s="322"/>
      <c r="W57" s="318"/>
      <c r="X57" s="322"/>
      <c r="Y57" s="305"/>
      <c r="Z57" s="863" t="s">
        <v>378</v>
      </c>
      <c r="AA57" s="863"/>
      <c r="AB57" s="863"/>
      <c r="AC57" s="863"/>
      <c r="AD57" s="863"/>
      <c r="AE57" s="863"/>
      <c r="AF57" s="863"/>
      <c r="AG57" s="863"/>
      <c r="AH57" s="863"/>
      <c r="AI57" s="863"/>
      <c r="AJ57" s="308"/>
      <c r="AK57" s="308"/>
      <c r="AL57" s="864" t="s">
        <v>36</v>
      </c>
      <c r="AM57" s="864"/>
      <c r="AN57" s="864"/>
      <c r="AO57" s="864"/>
      <c r="AP57" s="864"/>
      <c r="AQ57" s="864"/>
      <c r="AR57" s="864"/>
      <c r="AS57" s="864"/>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row>
    <row r="58" spans="2:94" ht="15.75" hidden="1" customHeight="1" x14ac:dyDescent="0.35">
      <c r="H58" s="302"/>
      <c r="I58" s="302"/>
      <c r="J58" s="302"/>
      <c r="Q58" s="322"/>
      <c r="R58" s="322"/>
      <c r="S58" s="322"/>
      <c r="T58" s="322"/>
      <c r="U58" s="322"/>
      <c r="V58" s="322"/>
      <c r="W58" s="318"/>
      <c r="X58" s="322" t="s">
        <v>379</v>
      </c>
      <c r="Y58" s="305"/>
      <c r="Z58" s="308"/>
      <c r="AA58" s="308"/>
      <c r="AB58" s="308"/>
      <c r="AC58" s="308"/>
      <c r="AD58" s="308"/>
      <c r="AE58" s="308"/>
      <c r="AF58" s="308"/>
      <c r="AG58" s="308"/>
      <c r="AH58" s="308"/>
      <c r="AI58" s="308"/>
      <c r="AJ58" s="308"/>
      <c r="AK58" s="308"/>
      <c r="AL58" s="308"/>
      <c r="AM58" s="308"/>
      <c r="AN58" s="308"/>
      <c r="AO58" s="308"/>
      <c r="AP58" s="308"/>
      <c r="AQ58" s="308"/>
      <c r="AR58" s="308"/>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row>
    <row r="59" spans="2:94" ht="15.75" hidden="1" customHeight="1" x14ac:dyDescent="0.35">
      <c r="H59" s="302"/>
      <c r="I59" s="302"/>
      <c r="J59" s="302"/>
      <c r="Q59" s="322"/>
      <c r="R59" s="322"/>
      <c r="S59" s="322"/>
      <c r="T59" s="322"/>
      <c r="U59" s="322"/>
      <c r="V59" s="322"/>
      <c r="W59" s="318"/>
      <c r="X59" s="318"/>
      <c r="Y59" s="305"/>
      <c r="Z59" s="863" t="s">
        <v>380</v>
      </c>
      <c r="AA59" s="863"/>
      <c r="AB59" s="863"/>
      <c r="AC59" s="863"/>
      <c r="AD59" s="863"/>
      <c r="AE59" s="863"/>
      <c r="AF59" s="863"/>
      <c r="AG59" s="863"/>
      <c r="AH59" s="863"/>
      <c r="AI59" s="863"/>
      <c r="AJ59" s="308"/>
      <c r="AK59" s="308"/>
      <c r="AL59" s="864" t="s">
        <v>311</v>
      </c>
      <c r="AM59" s="864"/>
      <c r="AN59" s="864"/>
      <c r="AO59" s="864"/>
      <c r="AP59" s="864"/>
      <c r="AQ59" s="864"/>
      <c r="AR59" s="864"/>
      <c r="AS59" s="864"/>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22"/>
    </row>
    <row r="60" spans="2:94" ht="15.5" hidden="1" x14ac:dyDescent="0.35">
      <c r="H60" s="302"/>
      <c r="I60" s="302"/>
      <c r="J60" s="302"/>
      <c r="Q60" s="305"/>
      <c r="R60" s="305"/>
      <c r="S60" s="305"/>
      <c r="T60" s="305"/>
      <c r="U60" s="305"/>
      <c r="V60" s="305"/>
      <c r="W60" s="305"/>
      <c r="X60" s="305"/>
      <c r="Y60" s="305"/>
      <c r="Z60" s="308"/>
      <c r="AA60" s="308"/>
      <c r="AB60" s="308"/>
      <c r="AC60" s="308"/>
      <c r="AD60" s="308"/>
      <c r="AE60" s="308"/>
      <c r="AF60" s="308"/>
      <c r="AG60" s="308"/>
      <c r="AH60" s="308"/>
      <c r="AI60" s="308"/>
      <c r="AJ60" s="308"/>
      <c r="AK60" s="308"/>
      <c r="AL60" s="308"/>
      <c r="AM60" s="308"/>
      <c r="AN60" s="308"/>
      <c r="AO60" s="308"/>
      <c r="AP60" s="308"/>
      <c r="AQ60" s="308"/>
      <c r="AR60" s="308"/>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row>
    <row r="61" spans="2:94" ht="15.5" x14ac:dyDescent="0.35">
      <c r="H61" s="302"/>
      <c r="I61" s="302"/>
      <c r="J61" s="302"/>
      <c r="Q61" s="302"/>
      <c r="R61" s="302"/>
      <c r="S61" s="302"/>
      <c r="T61" s="302"/>
      <c r="U61" s="302"/>
      <c r="V61" s="302"/>
      <c r="W61" s="302"/>
      <c r="X61" s="302"/>
      <c r="Y61" s="302"/>
      <c r="Z61" s="303"/>
      <c r="AA61" s="303"/>
      <c r="AB61" s="303"/>
      <c r="AC61" s="303"/>
      <c r="AD61" s="303"/>
      <c r="AE61" s="303"/>
      <c r="AF61" s="303"/>
      <c r="AG61" s="303"/>
      <c r="AH61" s="303"/>
      <c r="AI61" s="303"/>
      <c r="AJ61" s="303"/>
      <c r="AK61" s="303"/>
      <c r="AL61" s="303"/>
      <c r="AM61" s="303"/>
      <c r="AN61" s="303"/>
      <c r="AO61" s="303"/>
      <c r="AP61" s="303"/>
      <c r="AQ61" s="303"/>
      <c r="AR61" s="303"/>
      <c r="AS61" s="302"/>
      <c r="AT61" s="302"/>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2"/>
      <c r="CM61" s="302"/>
      <c r="CN61" s="302"/>
      <c r="CO61" s="302"/>
      <c r="CP61" s="302"/>
    </row>
    <row r="62" spans="2:94" ht="15.75" customHeight="1" x14ac:dyDescent="0.35">
      <c r="H62" s="302"/>
      <c r="I62" s="302"/>
      <c r="J62" s="302"/>
      <c r="Q62" s="305"/>
      <c r="R62" s="305"/>
      <c r="S62" s="305"/>
      <c r="T62" s="305"/>
      <c r="U62" s="318"/>
      <c r="V62" s="318"/>
      <c r="W62" s="318"/>
      <c r="X62" s="318"/>
      <c r="Y62" s="305"/>
      <c r="Z62" s="308"/>
      <c r="AA62" s="308"/>
      <c r="AB62" s="308"/>
      <c r="AC62" s="308"/>
      <c r="AD62" s="308"/>
      <c r="AE62" s="308"/>
      <c r="AF62" s="308"/>
      <c r="AG62" s="308"/>
      <c r="AH62" s="308"/>
      <c r="AI62" s="308"/>
      <c r="AJ62" s="308"/>
      <c r="AK62" s="308"/>
      <c r="AL62" s="308"/>
      <c r="AM62" s="308"/>
      <c r="AN62" s="308"/>
      <c r="AO62" s="308"/>
      <c r="AP62" s="308"/>
      <c r="AQ62" s="308"/>
      <c r="AR62" s="308"/>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row>
    <row r="63" spans="2:94" ht="30" x14ac:dyDescent="0.35">
      <c r="H63" s="304"/>
      <c r="I63" s="304"/>
      <c r="J63" s="304"/>
      <c r="Q63" s="286" t="s">
        <v>381</v>
      </c>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row>
    <row r="64" spans="2:94" ht="18" x14ac:dyDescent="0.35">
      <c r="Q64" s="305"/>
      <c r="R64" s="305"/>
      <c r="S64" s="305"/>
      <c r="T64" s="305"/>
      <c r="U64" s="318"/>
      <c r="V64" s="318"/>
      <c r="W64" s="318"/>
      <c r="X64" s="318"/>
      <c r="Y64" s="305"/>
      <c r="Z64" s="308"/>
      <c r="AA64" s="308"/>
      <c r="AB64" s="308"/>
      <c r="AC64" s="308"/>
      <c r="AD64" s="308"/>
      <c r="AE64" s="308"/>
      <c r="AF64" s="308"/>
      <c r="AG64" s="308"/>
      <c r="AH64" s="308"/>
      <c r="AI64" s="308"/>
      <c r="AJ64" s="308"/>
      <c r="AK64" s="308"/>
      <c r="AL64" s="308"/>
      <c r="AM64" s="308"/>
      <c r="AN64" s="308"/>
      <c r="AO64" s="308"/>
      <c r="AP64" s="308"/>
      <c r="AQ64" s="308"/>
      <c r="AR64" s="308"/>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row>
    <row r="65" spans="8:94" ht="18" x14ac:dyDescent="0.35">
      <c r="Q65" s="305"/>
      <c r="R65" s="305"/>
      <c r="S65" s="305"/>
      <c r="T65" s="305"/>
      <c r="U65" s="318"/>
      <c r="V65" s="318"/>
      <c r="W65" s="318"/>
      <c r="X65" s="318"/>
      <c r="Y65" s="305"/>
      <c r="Z65" s="863" t="s">
        <v>382</v>
      </c>
      <c r="AA65" s="863"/>
      <c r="AB65" s="863"/>
      <c r="AC65" s="863"/>
      <c r="AD65" s="863"/>
      <c r="AE65" s="863"/>
      <c r="AF65" s="863"/>
      <c r="AG65" s="863"/>
      <c r="AH65" s="863"/>
      <c r="AI65" s="863"/>
      <c r="AJ65" s="305"/>
      <c r="AK65" s="305"/>
      <c r="AL65" s="867" t="str">
        <f ca="1">INDIRECT(dms_MODEL)</f>
        <v>Regulatory Reporting (Reset)</v>
      </c>
      <c r="AM65" s="867"/>
      <c r="AN65" s="867"/>
      <c r="AO65" s="867"/>
      <c r="AP65" s="867"/>
      <c r="AQ65" s="867"/>
      <c r="AR65" s="867"/>
      <c r="AS65" s="867"/>
      <c r="AT65" s="867"/>
      <c r="AU65" s="867"/>
      <c r="AV65" s="867"/>
      <c r="AW65" s="867"/>
      <c r="AX65" s="867"/>
      <c r="AY65" s="867"/>
      <c r="AZ65" s="867"/>
      <c r="BA65" s="867"/>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row>
    <row r="66" spans="8:94" ht="18" x14ac:dyDescent="0.35">
      <c r="Q66" s="305"/>
      <c r="R66" s="305"/>
      <c r="S66" s="305"/>
      <c r="T66" s="305"/>
      <c r="U66" s="318"/>
      <c r="V66" s="318"/>
      <c r="W66" s="318"/>
      <c r="X66" s="318"/>
      <c r="Y66" s="305"/>
      <c r="Z66" s="308"/>
      <c r="AA66" s="308"/>
      <c r="AB66" s="308"/>
      <c r="AC66" s="308"/>
      <c r="AD66" s="308"/>
      <c r="AE66" s="308"/>
      <c r="AF66" s="308"/>
      <c r="AG66" s="308"/>
      <c r="AH66" s="308"/>
      <c r="AI66" s="308"/>
      <c r="AJ66" s="308"/>
      <c r="AK66" s="308"/>
      <c r="AL66" s="308"/>
      <c r="AM66" s="308"/>
      <c r="AN66" s="308"/>
      <c r="AO66" s="308"/>
      <c r="AP66" s="308"/>
      <c r="AQ66" s="308"/>
      <c r="AR66" s="308"/>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row>
    <row r="67" spans="8:94" ht="15.75" customHeight="1" x14ac:dyDescent="0.35">
      <c r="H67" s="302"/>
      <c r="I67" s="302"/>
      <c r="J67" s="302"/>
      <c r="Q67" s="322"/>
      <c r="R67" s="322"/>
      <c r="S67" s="322"/>
      <c r="T67" s="322"/>
      <c r="U67" s="322"/>
      <c r="V67" s="322"/>
      <c r="W67" s="308"/>
      <c r="X67" s="308"/>
      <c r="Y67" s="308"/>
      <c r="Z67" s="863" t="s">
        <v>383</v>
      </c>
      <c r="AA67" s="863"/>
      <c r="AB67" s="863"/>
      <c r="AC67" s="863"/>
      <c r="AD67" s="863"/>
      <c r="AE67" s="863"/>
      <c r="AF67" s="863"/>
      <c r="AG67" s="863"/>
      <c r="AH67" s="863"/>
      <c r="AI67" s="863"/>
      <c r="AJ67" s="305"/>
      <c r="AK67" s="305"/>
      <c r="AL67" s="872" t="s">
        <v>384</v>
      </c>
      <c r="AM67" s="872"/>
      <c r="AN67" s="872"/>
      <c r="AO67" s="872"/>
      <c r="AP67" s="872"/>
      <c r="AQ67" s="872"/>
      <c r="AR67" s="872"/>
      <c r="AS67" s="872"/>
      <c r="AT67" s="872"/>
      <c r="AU67" s="872"/>
      <c r="AV67" s="872"/>
      <c r="AW67" s="872"/>
      <c r="AX67" s="872"/>
      <c r="AY67" s="872"/>
      <c r="AZ67" s="872"/>
      <c r="BA67" s="872"/>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row>
    <row r="68" spans="8:94" ht="15" customHeight="1" x14ac:dyDescent="0.35">
      <c r="H68" s="302"/>
      <c r="I68" s="302"/>
      <c r="J68" s="302"/>
      <c r="Q68" s="322"/>
      <c r="R68" s="322"/>
      <c r="S68" s="322"/>
      <c r="T68" s="322"/>
      <c r="U68" s="322"/>
      <c r="V68" s="322"/>
      <c r="W68" s="308"/>
      <c r="X68" s="308"/>
      <c r="Y68" s="308"/>
      <c r="Z68" s="308"/>
      <c r="AA68" s="308"/>
      <c r="AB68" s="308"/>
      <c r="AC68" s="308"/>
      <c r="AD68" s="308"/>
      <c r="AE68" s="308"/>
      <c r="AF68" s="308"/>
      <c r="AG68" s="308"/>
      <c r="AH68" s="308"/>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row>
    <row r="69" spans="8:94" ht="15.75" customHeight="1" x14ac:dyDescent="0.35">
      <c r="H69" s="302"/>
      <c r="I69" s="302"/>
      <c r="J69" s="302"/>
      <c r="Q69" s="322"/>
      <c r="R69" s="322"/>
      <c r="S69" s="322"/>
      <c r="T69" s="322"/>
      <c r="U69" s="322"/>
      <c r="V69" s="322"/>
      <c r="W69" s="322"/>
      <c r="X69" s="322" t="s">
        <v>385</v>
      </c>
      <c r="Y69" s="308"/>
      <c r="Z69" s="863" t="s">
        <v>386</v>
      </c>
      <c r="AA69" s="863"/>
      <c r="AB69" s="863"/>
      <c r="AC69" s="863"/>
      <c r="AD69" s="863"/>
      <c r="AE69" s="863"/>
      <c r="AF69" s="863"/>
      <c r="AG69" s="863"/>
      <c r="AH69" s="863"/>
      <c r="AI69" s="863"/>
      <c r="AJ69" s="305"/>
      <c r="AK69" s="305"/>
      <c r="AL69" s="872" t="s">
        <v>387</v>
      </c>
      <c r="AM69" s="872"/>
      <c r="AN69" s="872"/>
      <c r="AO69" s="872"/>
      <c r="AP69" s="872"/>
      <c r="AQ69" s="872"/>
      <c r="AR69" s="872"/>
      <c r="AS69" s="872"/>
      <c r="AT69" s="872"/>
      <c r="AU69" s="872"/>
      <c r="AV69" s="872"/>
      <c r="AW69" s="872"/>
      <c r="AX69" s="872"/>
      <c r="AY69" s="872"/>
      <c r="AZ69" s="872"/>
      <c r="BA69" s="872"/>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8"/>
      <c r="CP69" s="322"/>
    </row>
    <row r="70" spans="8:94" ht="15" customHeight="1" x14ac:dyDescent="0.35">
      <c r="H70" s="302"/>
      <c r="I70" s="302"/>
      <c r="J70" s="302"/>
      <c r="Q70" s="322"/>
      <c r="R70" s="322"/>
      <c r="S70" s="322"/>
      <c r="T70" s="322"/>
      <c r="U70" s="322"/>
      <c r="V70" s="322"/>
      <c r="W70" s="308"/>
      <c r="X70" s="308"/>
      <c r="Y70" s="308"/>
      <c r="Z70" s="308"/>
      <c r="AA70" s="308"/>
      <c r="AB70" s="308"/>
      <c r="AC70" s="308"/>
      <c r="AD70" s="308"/>
      <c r="AE70" s="308"/>
      <c r="AF70" s="308"/>
      <c r="AG70" s="308"/>
      <c r="AH70" s="308"/>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8"/>
      <c r="CP70" s="322"/>
    </row>
    <row r="71" spans="8:94" ht="15.75" customHeight="1" x14ac:dyDescent="0.35">
      <c r="H71" s="302"/>
      <c r="I71" s="302"/>
      <c r="J71" s="302"/>
      <c r="Q71" s="322"/>
      <c r="R71" s="322"/>
      <c r="S71" s="322"/>
      <c r="T71" s="322"/>
      <c r="U71" s="322"/>
      <c r="V71" s="322"/>
      <c r="W71" s="308"/>
      <c r="X71" s="308"/>
      <c r="Y71" s="308"/>
      <c r="Z71" s="863" t="s">
        <v>388</v>
      </c>
      <c r="AA71" s="863"/>
      <c r="AB71" s="863"/>
      <c r="AC71" s="863"/>
      <c r="AD71" s="863"/>
      <c r="AE71" s="863"/>
      <c r="AF71" s="863"/>
      <c r="AG71" s="863"/>
      <c r="AH71" s="863"/>
      <c r="AI71" s="863"/>
      <c r="AJ71" s="305"/>
      <c r="AK71" s="305"/>
      <c r="AL71" s="872" t="s">
        <v>389</v>
      </c>
      <c r="AM71" s="872"/>
      <c r="AN71" s="872"/>
      <c r="AO71" s="872"/>
      <c r="AP71" s="872"/>
      <c r="AQ71" s="872"/>
      <c r="AR71" s="872"/>
      <c r="AS71" s="872"/>
      <c r="AT71" s="872"/>
      <c r="AU71" s="872"/>
      <c r="AV71" s="872"/>
      <c r="AW71" s="872"/>
      <c r="AX71" s="872"/>
      <c r="AY71" s="872"/>
      <c r="AZ71" s="872"/>
      <c r="BA71" s="872"/>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8"/>
      <c r="CP71" s="322"/>
    </row>
    <row r="72" spans="8:94" ht="15" customHeight="1" x14ac:dyDescent="0.35">
      <c r="H72" s="302"/>
      <c r="I72" s="302"/>
      <c r="J72" s="302"/>
      <c r="Q72" s="322"/>
      <c r="R72" s="322"/>
      <c r="S72" s="322"/>
      <c r="T72" s="322"/>
      <c r="U72" s="322"/>
      <c r="V72" s="322"/>
      <c r="W72" s="308"/>
      <c r="X72" s="308"/>
      <c r="Y72" s="308"/>
      <c r="Z72" s="308"/>
      <c r="AA72" s="308"/>
      <c r="AB72" s="308"/>
      <c r="AC72" s="308"/>
      <c r="AD72" s="308"/>
      <c r="AE72" s="308"/>
      <c r="AF72" s="308"/>
      <c r="AG72" s="308"/>
      <c r="AH72" s="308"/>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8"/>
      <c r="CP72" s="322"/>
    </row>
    <row r="73" spans="8:94" ht="15" customHeight="1" x14ac:dyDescent="0.35">
      <c r="H73" s="302"/>
      <c r="I73" s="302"/>
      <c r="J73" s="302"/>
      <c r="Q73" s="322"/>
      <c r="R73" s="322"/>
      <c r="S73" s="322"/>
      <c r="T73" s="322"/>
      <c r="U73" s="322"/>
      <c r="V73" s="322"/>
      <c r="W73" s="308"/>
      <c r="X73" s="308"/>
      <c r="Y73" s="308"/>
      <c r="Z73" s="868" t="s">
        <v>390</v>
      </c>
      <c r="AA73" s="868"/>
      <c r="AB73" s="868"/>
      <c r="AC73" s="868"/>
      <c r="AD73" s="868"/>
      <c r="AE73" s="868"/>
      <c r="AF73" s="868"/>
      <c r="AG73" s="868"/>
      <c r="AH73" s="868"/>
      <c r="AI73" s="868"/>
      <c r="AJ73" s="305"/>
      <c r="AK73" s="305"/>
      <c r="AL73" s="869" t="s">
        <v>391</v>
      </c>
      <c r="AM73" s="869"/>
      <c r="AN73" s="869"/>
      <c r="AO73" s="869"/>
      <c r="AP73" s="869"/>
      <c r="AQ73" s="869"/>
      <c r="AR73" s="869"/>
      <c r="AS73" s="869"/>
      <c r="AT73" s="869"/>
      <c r="AU73" s="869"/>
      <c r="AV73" s="869"/>
      <c r="AW73" s="869"/>
      <c r="AX73" s="869"/>
      <c r="AY73" s="869"/>
      <c r="AZ73" s="869"/>
      <c r="BA73" s="869"/>
      <c r="BB73" s="869"/>
      <c r="BC73" s="869"/>
      <c r="BD73" s="869"/>
      <c r="BE73" s="869"/>
      <c r="BF73" s="869"/>
      <c r="BG73" s="869"/>
      <c r="BH73" s="869"/>
      <c r="BI73" s="869"/>
      <c r="BJ73" s="869"/>
      <c r="BK73" s="869"/>
      <c r="BL73" s="869"/>
      <c r="BM73" s="869"/>
      <c r="BN73" s="869"/>
      <c r="BO73" s="869"/>
      <c r="BP73" s="869"/>
      <c r="BQ73" s="869"/>
      <c r="BR73" s="869"/>
      <c r="BS73" s="869"/>
      <c r="BT73" s="869"/>
      <c r="BU73" s="869"/>
      <c r="BV73" s="869"/>
      <c r="BW73" s="869"/>
      <c r="BX73" s="869"/>
      <c r="BY73" s="869"/>
      <c r="BZ73" s="869"/>
      <c r="CA73" s="869"/>
      <c r="CB73" s="869"/>
      <c r="CC73" s="869"/>
      <c r="CD73" s="869"/>
      <c r="CE73" s="305"/>
      <c r="CF73" s="305"/>
      <c r="CG73" s="305"/>
      <c r="CH73" s="305"/>
      <c r="CI73" s="305"/>
      <c r="CJ73" s="305"/>
      <c r="CK73" s="305"/>
      <c r="CL73" s="305"/>
      <c r="CM73" s="305"/>
      <c r="CN73" s="305"/>
      <c r="CO73" s="308"/>
      <c r="CP73" s="322"/>
    </row>
    <row r="74" spans="8:94" ht="15" customHeight="1" x14ac:dyDescent="0.35">
      <c r="H74" s="302"/>
      <c r="I74" s="302"/>
      <c r="J74" s="302"/>
      <c r="Q74" s="322"/>
      <c r="R74" s="322"/>
      <c r="S74" s="322"/>
      <c r="T74" s="322"/>
      <c r="U74" s="322"/>
      <c r="V74" s="322"/>
      <c r="W74" s="308"/>
      <c r="X74" s="308"/>
      <c r="Y74" s="308"/>
      <c r="Z74" s="868"/>
      <c r="AA74" s="868"/>
      <c r="AB74" s="868"/>
      <c r="AC74" s="868"/>
      <c r="AD74" s="868"/>
      <c r="AE74" s="868"/>
      <c r="AF74" s="868"/>
      <c r="AG74" s="868"/>
      <c r="AH74" s="868"/>
      <c r="AI74" s="868"/>
      <c r="AJ74" s="305"/>
      <c r="AK74" s="305"/>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c r="BI74" s="869"/>
      <c r="BJ74" s="869"/>
      <c r="BK74" s="869"/>
      <c r="BL74" s="869"/>
      <c r="BM74" s="869"/>
      <c r="BN74" s="869"/>
      <c r="BO74" s="869"/>
      <c r="BP74" s="869"/>
      <c r="BQ74" s="869"/>
      <c r="BR74" s="869"/>
      <c r="BS74" s="869"/>
      <c r="BT74" s="869"/>
      <c r="BU74" s="869"/>
      <c r="BV74" s="869"/>
      <c r="BW74" s="869"/>
      <c r="BX74" s="869"/>
      <c r="BY74" s="869"/>
      <c r="BZ74" s="869"/>
      <c r="CA74" s="869"/>
      <c r="CB74" s="869"/>
      <c r="CC74" s="869"/>
      <c r="CD74" s="869"/>
      <c r="CE74" s="305"/>
      <c r="CF74" s="305"/>
      <c r="CG74" s="305"/>
      <c r="CH74" s="305"/>
      <c r="CI74" s="305"/>
      <c r="CJ74" s="305"/>
      <c r="CK74" s="305"/>
      <c r="CL74" s="305"/>
      <c r="CM74" s="305"/>
      <c r="CN74" s="305"/>
      <c r="CO74" s="308"/>
      <c r="CP74" s="322"/>
    </row>
    <row r="75" spans="8:94" ht="15" customHeight="1" x14ac:dyDescent="0.35">
      <c r="H75" s="302"/>
      <c r="I75" s="302"/>
      <c r="J75" s="302"/>
      <c r="Q75" s="322"/>
      <c r="R75" s="322"/>
      <c r="S75" s="322"/>
      <c r="T75" s="322"/>
      <c r="U75" s="322"/>
      <c r="V75" s="322"/>
      <c r="W75" s="308"/>
      <c r="X75" s="308"/>
      <c r="Y75" s="308"/>
      <c r="Z75" s="868"/>
      <c r="AA75" s="868"/>
      <c r="AB75" s="868"/>
      <c r="AC75" s="868"/>
      <c r="AD75" s="868"/>
      <c r="AE75" s="868"/>
      <c r="AF75" s="868"/>
      <c r="AG75" s="868"/>
      <c r="AH75" s="868"/>
      <c r="AI75" s="868"/>
      <c r="AJ75" s="305"/>
      <c r="AK75" s="305"/>
      <c r="AL75" s="869"/>
      <c r="AM75" s="869"/>
      <c r="AN75" s="869"/>
      <c r="AO75" s="869"/>
      <c r="AP75" s="869"/>
      <c r="AQ75" s="869"/>
      <c r="AR75" s="869"/>
      <c r="AS75" s="869"/>
      <c r="AT75" s="869"/>
      <c r="AU75" s="869"/>
      <c r="AV75" s="869"/>
      <c r="AW75" s="869"/>
      <c r="AX75" s="869"/>
      <c r="AY75" s="869"/>
      <c r="AZ75" s="869"/>
      <c r="BA75" s="869"/>
      <c r="BB75" s="869"/>
      <c r="BC75" s="869"/>
      <c r="BD75" s="869"/>
      <c r="BE75" s="869"/>
      <c r="BF75" s="869"/>
      <c r="BG75" s="869"/>
      <c r="BH75" s="869"/>
      <c r="BI75" s="869"/>
      <c r="BJ75" s="869"/>
      <c r="BK75" s="869"/>
      <c r="BL75" s="869"/>
      <c r="BM75" s="869"/>
      <c r="BN75" s="869"/>
      <c r="BO75" s="869"/>
      <c r="BP75" s="869"/>
      <c r="BQ75" s="869"/>
      <c r="BR75" s="869"/>
      <c r="BS75" s="869"/>
      <c r="BT75" s="869"/>
      <c r="BU75" s="869"/>
      <c r="BV75" s="869"/>
      <c r="BW75" s="869"/>
      <c r="BX75" s="869"/>
      <c r="BY75" s="869"/>
      <c r="BZ75" s="869"/>
      <c r="CA75" s="869"/>
      <c r="CB75" s="869"/>
      <c r="CC75" s="869"/>
      <c r="CD75" s="869"/>
      <c r="CE75" s="305"/>
      <c r="CF75" s="305"/>
      <c r="CG75" s="305"/>
      <c r="CH75" s="305"/>
      <c r="CI75" s="305"/>
      <c r="CJ75" s="305"/>
      <c r="CK75" s="305"/>
      <c r="CL75" s="305"/>
      <c r="CM75" s="305"/>
      <c r="CN75" s="305"/>
      <c r="CO75" s="308"/>
      <c r="CP75" s="322"/>
    </row>
    <row r="76" spans="8:94" ht="15" customHeight="1" x14ac:dyDescent="0.35">
      <c r="H76" s="302"/>
      <c r="I76" s="302"/>
      <c r="J76" s="302"/>
      <c r="Q76" s="322"/>
      <c r="R76" s="322"/>
      <c r="S76" s="322"/>
      <c r="T76" s="322"/>
      <c r="U76" s="322"/>
      <c r="V76" s="322"/>
      <c r="W76" s="308"/>
      <c r="X76" s="308"/>
      <c r="Y76" s="308"/>
      <c r="Z76" s="308"/>
      <c r="AA76" s="308"/>
      <c r="AB76" s="308"/>
      <c r="AC76" s="308"/>
      <c r="AD76" s="308"/>
      <c r="AE76" s="308"/>
      <c r="AF76" s="308"/>
      <c r="AG76" s="308"/>
      <c r="AH76" s="308"/>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8"/>
      <c r="CP76" s="322"/>
    </row>
    <row r="77" spans="8:94" ht="15.75" customHeight="1" x14ac:dyDescent="0.35">
      <c r="H77" s="302"/>
      <c r="I77" s="302"/>
      <c r="J77" s="302"/>
      <c r="Q77" s="322"/>
      <c r="R77" s="322"/>
      <c r="S77" s="322"/>
      <c r="T77" s="322"/>
      <c r="U77" s="322"/>
      <c r="V77" s="322"/>
      <c r="W77" s="308"/>
      <c r="X77" s="308"/>
      <c r="Y77" s="308"/>
      <c r="Z77" s="863" t="s">
        <v>392</v>
      </c>
      <c r="AA77" s="863"/>
      <c r="AB77" s="863"/>
      <c r="AC77" s="863"/>
      <c r="AD77" s="863"/>
      <c r="AE77" s="863"/>
      <c r="AF77" s="863"/>
      <c r="AG77" s="863"/>
      <c r="AH77" s="863"/>
      <c r="AI77" s="863"/>
      <c r="AJ77" s="305"/>
      <c r="AK77" s="305"/>
      <c r="AL77" s="870" t="s">
        <v>393</v>
      </c>
      <c r="AM77" s="871"/>
      <c r="AN77" s="871"/>
      <c r="AO77" s="871"/>
      <c r="AP77" s="871"/>
      <c r="AQ77" s="871"/>
      <c r="AR77" s="871"/>
      <c r="AS77" s="871"/>
      <c r="AT77" s="871"/>
      <c r="AU77" s="871"/>
      <c r="AV77" s="871"/>
      <c r="AW77" s="871"/>
      <c r="AX77" s="871"/>
      <c r="AY77" s="871"/>
      <c r="AZ77" s="871"/>
      <c r="BA77" s="871"/>
      <c r="BB77" s="305"/>
      <c r="BC77" s="305"/>
      <c r="BD77" s="319" t="s">
        <v>394</v>
      </c>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8"/>
      <c r="CP77" s="322"/>
    </row>
    <row r="78" spans="8:94" ht="15.5" x14ac:dyDescent="0.35">
      <c r="H78" s="302"/>
      <c r="I78" s="302"/>
      <c r="J78" s="302"/>
      <c r="Q78" s="308"/>
      <c r="R78" s="308"/>
      <c r="S78" s="308"/>
      <c r="T78" s="308"/>
      <c r="U78" s="308"/>
      <c r="V78" s="308"/>
      <c r="W78" s="308"/>
      <c r="X78" s="308"/>
      <c r="Y78" s="308"/>
      <c r="Z78" s="308"/>
      <c r="AA78" s="308"/>
      <c r="AB78" s="308"/>
      <c r="AC78" s="308"/>
      <c r="AD78" s="308"/>
      <c r="AE78" s="308"/>
      <c r="AF78" s="308"/>
      <c r="AG78" s="308"/>
      <c r="AH78" s="308"/>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8"/>
      <c r="CP78" s="308"/>
    </row>
    <row r="79" spans="8:94" ht="15.5" x14ac:dyDescent="0.35">
      <c r="H79" s="302"/>
      <c r="I79" s="302"/>
      <c r="J79" s="302"/>
      <c r="Q79" s="308"/>
      <c r="R79" s="308"/>
      <c r="S79" s="308"/>
      <c r="T79" s="308"/>
      <c r="U79" s="308"/>
      <c r="V79" s="308"/>
      <c r="W79" s="308"/>
      <c r="X79" s="308"/>
      <c r="Y79" s="308"/>
      <c r="Z79" s="308"/>
      <c r="AA79" s="308"/>
      <c r="AB79" s="308"/>
      <c r="AC79" s="308"/>
      <c r="AD79" s="308"/>
      <c r="AE79" s="308"/>
      <c r="AF79" s="308"/>
      <c r="AG79" s="308"/>
      <c r="AH79" s="308"/>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8"/>
      <c r="CP79" s="308"/>
    </row>
    <row r="80" spans="8:94" ht="15.5" x14ac:dyDescent="0.35">
      <c r="H80" s="30"/>
      <c r="I80" s="30"/>
      <c r="J80" s="30"/>
      <c r="Q80" s="320"/>
      <c r="R80" s="320"/>
      <c r="S80" s="320"/>
      <c r="T80" s="320"/>
      <c r="U80" s="320"/>
      <c r="V80" s="320"/>
      <c r="W80" s="320"/>
      <c r="X80" s="320"/>
      <c r="Y80" s="320"/>
      <c r="Z80" s="320"/>
      <c r="AA80" s="320"/>
      <c r="AB80" s="320"/>
      <c r="AC80" s="320"/>
      <c r="AD80" s="320"/>
      <c r="AE80" s="320"/>
      <c r="AF80" s="320"/>
      <c r="AG80" s="320"/>
      <c r="AH80" s="320"/>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320"/>
      <c r="CP80" s="320"/>
    </row>
  </sheetData>
  <mergeCells count="81">
    <mergeCell ref="Z73:AI75"/>
    <mergeCell ref="AL73:CD75"/>
    <mergeCell ref="Z77:AI77"/>
    <mergeCell ref="AL77:BA77"/>
    <mergeCell ref="Z67:AI67"/>
    <mergeCell ref="AL67:BA67"/>
    <mergeCell ref="Z69:AI69"/>
    <mergeCell ref="AL69:BA69"/>
    <mergeCell ref="Z71:AI71"/>
    <mergeCell ref="AL71:BA71"/>
    <mergeCell ref="Z57:AI57"/>
    <mergeCell ref="AL57:AS57"/>
    <mergeCell ref="Z59:AI59"/>
    <mergeCell ref="AL59:AS59"/>
    <mergeCell ref="Z65:AI65"/>
    <mergeCell ref="AL65:BA65"/>
    <mergeCell ref="AL55:AS55"/>
    <mergeCell ref="AU55:BB55"/>
    <mergeCell ref="BD55:BK55"/>
    <mergeCell ref="BM55:BT55"/>
    <mergeCell ref="BV55:CC55"/>
    <mergeCell ref="BV53:CC53"/>
    <mergeCell ref="Z49:AI49"/>
    <mergeCell ref="AL49:AS49"/>
    <mergeCell ref="AU49:BB49"/>
    <mergeCell ref="BD49:BK49"/>
    <mergeCell ref="BM49:BT49"/>
    <mergeCell ref="BV49:CC49"/>
    <mergeCell ref="Z53:AI53"/>
    <mergeCell ref="AL53:AS53"/>
    <mergeCell ref="AU53:BB53"/>
    <mergeCell ref="BD53:BK53"/>
    <mergeCell ref="BM53:BT53"/>
    <mergeCell ref="V37:AJ37"/>
    <mergeCell ref="AL37:BG37"/>
    <mergeCell ref="BI37:BO37"/>
    <mergeCell ref="BQ37:CL37"/>
    <mergeCell ref="Z45:AI45"/>
    <mergeCell ref="AL45:AS45"/>
    <mergeCell ref="AU45:BB45"/>
    <mergeCell ref="BD45:BK45"/>
    <mergeCell ref="BM45:BT45"/>
    <mergeCell ref="BV45:CC45"/>
    <mergeCell ref="V35:AJ35"/>
    <mergeCell ref="AL35:BG35"/>
    <mergeCell ref="BI35:BO35"/>
    <mergeCell ref="BQ35:CL35"/>
    <mergeCell ref="V36:AJ36"/>
    <mergeCell ref="AL36:BG36"/>
    <mergeCell ref="BI36:BO36"/>
    <mergeCell ref="BQ36:CL36"/>
    <mergeCell ref="V28:AJ28"/>
    <mergeCell ref="AL28:AZ28"/>
    <mergeCell ref="BI28:BO28"/>
    <mergeCell ref="BQ28:CE28"/>
    <mergeCell ref="V29:AJ29"/>
    <mergeCell ref="AL29:AO29"/>
    <mergeCell ref="AX29:AZ29"/>
    <mergeCell ref="BI29:BO29"/>
    <mergeCell ref="BQ29:BT29"/>
    <mergeCell ref="CC29:CE29"/>
    <mergeCell ref="V26:AJ26"/>
    <mergeCell ref="AL26:BG26"/>
    <mergeCell ref="BI26:BO26"/>
    <mergeCell ref="BQ26:CL26"/>
    <mergeCell ref="V27:AJ27"/>
    <mergeCell ref="AL27:BG27"/>
    <mergeCell ref="BI27:BO27"/>
    <mergeCell ref="BQ27:CL27"/>
    <mergeCell ref="V19:AJ19"/>
    <mergeCell ref="AL19:BG19"/>
    <mergeCell ref="V20:AJ20"/>
    <mergeCell ref="AL20:AW20"/>
    <mergeCell ref="V21:AJ21"/>
    <mergeCell ref="AL21:AW21"/>
    <mergeCell ref="Q12:CP12"/>
    <mergeCell ref="H1:P3"/>
    <mergeCell ref="V4:BF4"/>
    <mergeCell ref="V7:BX7"/>
    <mergeCell ref="Q9:CP9"/>
    <mergeCell ref="Q11:CP1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sheetPr codeName="Sheet1"/>
  <dimension ref="A1:KA86"/>
  <sheetViews>
    <sheetView showGridLines="0" topLeftCell="D31" zoomScale="70" zoomScaleNormal="70" workbookViewId="0">
      <selection activeCell="F44" sqref="F44:I48"/>
    </sheetView>
  </sheetViews>
  <sheetFormatPr defaultColWidth="0" defaultRowHeight="0" customHeight="1" zeroHeight="1" x14ac:dyDescent="0.35"/>
  <cols>
    <col min="1" max="1" width="8.26953125" style="1" customWidth="1"/>
    <col min="2" max="2" width="70.1796875" style="4" customWidth="1"/>
    <col min="3" max="25" width="12.26953125" style="4" customWidth="1"/>
    <col min="26" max="26" width="12.1796875" customWidth="1"/>
    <col min="27" max="27" width="12.26953125" customWidth="1"/>
    <col min="28" max="30" width="12.26953125" hidden="1" customWidth="1"/>
    <col min="31" max="31" width="0" hidden="1" customWidth="1"/>
    <col min="32" max="287" width="0" style="4" hidden="1" customWidth="1"/>
    <col min="288" max="16384" width="9.1796875" style="4" hidden="1"/>
  </cols>
  <sheetData>
    <row r="1" spans="1:35" ht="30.25" customHeight="1" x14ac:dyDescent="0.3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5" customHeight="1" x14ac:dyDescent="0.35">
      <c r="B2" s="5" t="str">
        <f>_xlfn.SINGLE(INDEX(dms_TradingNameFull_List,MATCH(_xlfn.SINGLE(dms_TradingName),dms_TradingName_List)))</f>
        <v>CitiPower</v>
      </c>
      <c r="C2" s="6"/>
      <c r="D2" s="6"/>
      <c r="E2" s="6"/>
      <c r="F2" s="6"/>
      <c r="G2" s="6"/>
      <c r="H2" s="3"/>
      <c r="I2" s="3"/>
      <c r="J2" s="3"/>
      <c r="K2" s="3"/>
      <c r="L2" s="3"/>
      <c r="M2" s="3"/>
      <c r="N2" s="3"/>
      <c r="O2" s="3"/>
      <c r="P2" s="3"/>
      <c r="Q2" s="3"/>
      <c r="R2" s="3"/>
      <c r="S2" s="3"/>
      <c r="T2" s="3"/>
      <c r="U2" s="3"/>
      <c r="V2" s="3"/>
      <c r="W2" s="3"/>
      <c r="X2" s="3"/>
      <c r="Y2" s="3"/>
    </row>
    <row r="3" spans="1:35" ht="30.25" customHeight="1" x14ac:dyDescent="0.3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5" customHeight="1" x14ac:dyDescent="0.35">
      <c r="B4" s="8" t="s">
        <v>0</v>
      </c>
      <c r="C4" s="8"/>
      <c r="D4" s="8"/>
      <c r="E4" s="8"/>
      <c r="F4" s="8"/>
      <c r="G4" s="8"/>
      <c r="H4" s="8"/>
      <c r="I4" s="8"/>
      <c r="J4" s="8"/>
      <c r="K4" s="8"/>
      <c r="L4" s="8"/>
      <c r="M4" s="8"/>
      <c r="N4" s="8"/>
      <c r="O4" s="8"/>
      <c r="P4" s="8"/>
      <c r="Q4" s="8"/>
      <c r="R4" s="8"/>
      <c r="S4" s="8"/>
      <c r="T4" s="8"/>
      <c r="U4" s="8"/>
      <c r="V4" s="8"/>
      <c r="W4" s="8"/>
      <c r="X4" s="8"/>
      <c r="Y4" s="8"/>
    </row>
    <row r="5" spans="1:35" ht="14.5" x14ac:dyDescent="0.35"/>
    <row r="6" spans="1:35" ht="25.5" customHeight="1" x14ac:dyDescent="0.3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35">
      <c r="A7" s="10"/>
      <c r="B7" s="11" t="str">
        <f>CONCATENATE(_xlfn.SINGLE(dms_TradingName), " is required to populate all input cells (yellow) in this worksheet.")</f>
        <v>CitiPower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5" customHeight="1" x14ac:dyDescent="0.35">
      <c r="A8" s="10"/>
      <c r="B8" s="873" t="s">
        <v>708</v>
      </c>
      <c r="C8" s="874"/>
      <c r="D8" s="874"/>
      <c r="E8" s="874"/>
      <c r="F8" s="874"/>
      <c r="G8" s="874"/>
      <c r="H8" s="874"/>
      <c r="I8" s="874"/>
      <c r="J8" s="874"/>
      <c r="K8" s="874"/>
      <c r="L8" s="874"/>
      <c r="M8" s="874"/>
      <c r="N8" s="875"/>
      <c r="O8"/>
      <c r="P8"/>
      <c r="Q8"/>
      <c r="R8"/>
      <c r="S8"/>
      <c r="T8" s="14"/>
      <c r="U8"/>
      <c r="V8"/>
      <c r="W8"/>
      <c r="X8"/>
      <c r="Y8"/>
      <c r="AC8" s="4"/>
      <c r="AD8" s="4"/>
      <c r="AE8" s="4"/>
    </row>
    <row r="9" spans="1:35" ht="14.5" x14ac:dyDescent="0.35">
      <c r="B9" s="15"/>
      <c r="C9" s="15"/>
      <c r="D9" s="15"/>
      <c r="E9" s="15"/>
      <c r="F9" s="15"/>
      <c r="G9" s="15"/>
      <c r="H9" s="15"/>
      <c r="I9" s="15"/>
      <c r="J9" s="15"/>
      <c r="K9" s="15"/>
      <c r="L9" s="15"/>
      <c r="M9" s="15"/>
      <c r="N9" s="15"/>
      <c r="O9" s="15"/>
      <c r="P9" s="15"/>
      <c r="Q9" s="15"/>
      <c r="R9" s="15"/>
      <c r="S9" s="15"/>
      <c r="T9" s="15"/>
      <c r="U9" s="15"/>
      <c r="V9" s="15"/>
      <c r="W9" s="15"/>
      <c r="X9" s="15"/>
      <c r="Y9" s="15"/>
    </row>
    <row r="10" spans="1:35" ht="14.5" x14ac:dyDescent="0.3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4">
      <c r="A11" s="1"/>
    </row>
    <row r="12" spans="1:35" customFormat="1" ht="16" thickBot="1" x14ac:dyDescent="0.4">
      <c r="A12" s="1"/>
      <c r="B12" s="16" t="s">
        <v>2</v>
      </c>
      <c r="C12" s="16"/>
      <c r="D12" s="17"/>
      <c r="E12" s="17"/>
      <c r="F12" s="17"/>
      <c r="G12" s="17"/>
      <c r="H12" s="17"/>
      <c r="I12" s="17"/>
      <c r="J12" s="17"/>
      <c r="K12" s="17"/>
      <c r="L12" s="17"/>
      <c r="M12" s="17"/>
      <c r="N12" s="18"/>
      <c r="O12" s="4"/>
    </row>
    <row r="13" spans="1:35" s="20" customFormat="1" ht="15.5" x14ac:dyDescent="0.35">
      <c r="A13" s="1"/>
      <c r="B13" s="19"/>
      <c r="C13" s="337" t="s">
        <v>3</v>
      </c>
      <c r="D13" s="338"/>
      <c r="E13" s="338"/>
      <c r="F13" s="338"/>
      <c r="G13" s="338"/>
      <c r="H13" s="338"/>
      <c r="I13" s="338"/>
      <c r="J13" s="338"/>
      <c r="K13" s="338"/>
      <c r="L13" s="338"/>
      <c r="M13" s="338" t="s">
        <v>4</v>
      </c>
      <c r="N13" s="339"/>
      <c r="P13"/>
      <c r="Q13"/>
      <c r="R13"/>
      <c r="S13"/>
      <c r="T13"/>
      <c r="U13"/>
      <c r="V13"/>
      <c r="W13"/>
      <c r="X13"/>
      <c r="Y13"/>
      <c r="Z13"/>
      <c r="AA13"/>
      <c r="AB13"/>
      <c r="AC13"/>
      <c r="AD13"/>
      <c r="AE13"/>
    </row>
    <row r="14" spans="1:35" ht="16" thickBot="1" x14ac:dyDescent="0.4">
      <c r="B14" s="19"/>
      <c r="C14" s="333">
        <v>2015</v>
      </c>
      <c r="D14" s="334">
        <v>2016</v>
      </c>
      <c r="E14" s="335">
        <v>2017</v>
      </c>
      <c r="F14" s="335">
        <v>2018</v>
      </c>
      <c r="G14" s="335">
        <v>2019</v>
      </c>
      <c r="H14" s="335">
        <v>2020</v>
      </c>
      <c r="I14" s="335" t="s">
        <v>29</v>
      </c>
      <c r="J14" s="335" t="s">
        <v>296</v>
      </c>
      <c r="K14" s="335" t="s">
        <v>298</v>
      </c>
      <c r="L14" s="335" t="s">
        <v>36</v>
      </c>
      <c r="M14" s="335" t="s">
        <v>301</v>
      </c>
      <c r="N14" s="336" t="s">
        <v>303</v>
      </c>
      <c r="P14"/>
      <c r="Q14"/>
      <c r="R14"/>
      <c r="S14"/>
      <c r="T14"/>
      <c r="U14"/>
      <c r="V14"/>
      <c r="W14"/>
      <c r="X14"/>
      <c r="Y14"/>
      <c r="AH14"/>
    </row>
    <row r="15" spans="1:35" ht="14.5" x14ac:dyDescent="0.35">
      <c r="B15" s="21" t="s">
        <v>30</v>
      </c>
      <c r="C15" s="325">
        <v>108.4</v>
      </c>
      <c r="D15" s="326">
        <v>110</v>
      </c>
      <c r="E15" s="326">
        <v>112.1</v>
      </c>
      <c r="F15" s="326">
        <v>114.1</v>
      </c>
      <c r="G15" s="326">
        <v>116.2</v>
      </c>
      <c r="H15" s="326">
        <v>117.2</v>
      </c>
      <c r="I15" s="326">
        <v>118.8</v>
      </c>
      <c r="J15" s="326">
        <v>126.1</v>
      </c>
      <c r="K15" s="326">
        <v>133.69999999999999</v>
      </c>
      <c r="L15" s="717">
        <v>138.12641420090506</v>
      </c>
      <c r="M15" s="717">
        <v>142.09733856258879</v>
      </c>
      <c r="N15" s="718">
        <v>146.00479928791569</v>
      </c>
      <c r="P15"/>
      <c r="Q15"/>
      <c r="R15"/>
      <c r="S15"/>
      <c r="T15"/>
      <c r="U15"/>
      <c r="V15"/>
      <c r="W15"/>
      <c r="X15"/>
      <c r="Y15"/>
      <c r="AH15"/>
      <c r="AI15"/>
    </row>
    <row r="16" spans="1:35" ht="14.5" x14ac:dyDescent="0.35">
      <c r="B16" s="22" t="s">
        <v>5</v>
      </c>
      <c r="C16" s="23">
        <v>0</v>
      </c>
      <c r="D16" s="327">
        <v>1.4760147601476037E-2</v>
      </c>
      <c r="E16" s="327">
        <v>1.9090909090909047E-2</v>
      </c>
      <c r="F16" s="327">
        <v>1.7841213202497874E-2</v>
      </c>
      <c r="G16" s="327">
        <v>1.8404907975460238E-2</v>
      </c>
      <c r="H16" s="327">
        <v>8.6058519793459354E-3</v>
      </c>
      <c r="I16" s="327">
        <v>1.3651877133105783E-2</v>
      </c>
      <c r="J16" s="327">
        <v>6.1447811447811418E-2</v>
      </c>
      <c r="K16" s="327">
        <v>6.0269627279936566E-2</v>
      </c>
      <c r="L16" s="327">
        <v>3.3107062086051409E-2</v>
      </c>
      <c r="M16" s="327">
        <v>2.8748479316258901E-2</v>
      </c>
      <c r="N16" s="328">
        <v>2.7498479316034441E-2</v>
      </c>
      <c r="P16"/>
      <c r="Q16"/>
      <c r="R16"/>
      <c r="S16"/>
      <c r="T16"/>
      <c r="U16"/>
      <c r="V16"/>
      <c r="W16"/>
      <c r="X16"/>
      <c r="Y16"/>
    </row>
    <row r="17" spans="1:287" ht="15" thickBot="1" x14ac:dyDescent="0.4">
      <c r="B17" s="24" t="s">
        <v>701</v>
      </c>
      <c r="C17" s="329">
        <v>0.74244134801513939</v>
      </c>
      <c r="D17" s="330">
        <v>0.75339989189728174</v>
      </c>
      <c r="E17" s="331">
        <v>0.76778298074259343</v>
      </c>
      <c r="F17" s="331">
        <v>0.7814811605952714</v>
      </c>
      <c r="G17" s="331">
        <v>0.7958642494405832</v>
      </c>
      <c r="H17" s="331">
        <v>0.80271333936692213</v>
      </c>
      <c r="I17" s="331">
        <v>0.81367188324906436</v>
      </c>
      <c r="J17" s="331">
        <v>0.86367023971133849</v>
      </c>
      <c r="K17" s="331">
        <v>0.91572332315151428</v>
      </c>
      <c r="L17" s="331">
        <v>0.94604023206473675</v>
      </c>
      <c r="M17" s="331">
        <v>0.97323745010859863</v>
      </c>
      <c r="N17" s="332">
        <v>1</v>
      </c>
      <c r="P17"/>
      <c r="Q17"/>
      <c r="R17"/>
      <c r="S17"/>
      <c r="T17"/>
      <c r="U17"/>
      <c r="V17"/>
      <c r="W17"/>
      <c r="X17"/>
      <c r="Y17"/>
    </row>
    <row r="18" spans="1:287" ht="14.5" x14ac:dyDescent="0.3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5" x14ac:dyDescent="0.35">
      <c r="B19" s="25"/>
      <c r="C19" s="26"/>
      <c r="D19" s="26"/>
      <c r="E19" s="26"/>
      <c r="F19" s="26"/>
      <c r="G19" s="26"/>
      <c r="H19" s="26"/>
      <c r="I19" s="26"/>
      <c r="J19" s="26"/>
      <c r="K19" s="28"/>
      <c r="L19"/>
      <c r="M19"/>
      <c r="N19"/>
      <c r="O19"/>
      <c r="P19"/>
      <c r="Q19"/>
      <c r="R19"/>
      <c r="S19" s="28"/>
      <c r="T19" s="29"/>
      <c r="U19" s="29"/>
      <c r="V19" s="29"/>
      <c r="W19" s="29"/>
      <c r="X19" s="29"/>
    </row>
    <row r="20" spans="1:287" ht="14.5" x14ac:dyDescent="0.3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5" x14ac:dyDescent="0.45">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4">
      <c r="A22" s="1"/>
    </row>
    <row r="23" spans="1:287" customFormat="1" ht="15" thickBot="1" x14ac:dyDescent="0.4">
      <c r="A23" s="1"/>
      <c r="B23" s="716"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4">
      <c r="A24" s="1"/>
      <c r="B24" s="716"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4">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5">
      <c r="B26"/>
      <c r="C26" s="876" t="s">
        <v>31</v>
      </c>
      <c r="D26" s="877"/>
      <c r="E26" s="715" t="s">
        <v>700</v>
      </c>
      <c r="F26" s="878" t="s">
        <v>32</v>
      </c>
      <c r="G26" s="878"/>
      <c r="H26" s="878"/>
      <c r="I26" s="878"/>
      <c r="J26" s="879"/>
      <c r="K26" s="30"/>
      <c r="L26" s="883" t="s">
        <v>699</v>
      </c>
      <c r="M26" s="884"/>
      <c r="N26" s="884"/>
      <c r="O26" s="884"/>
      <c r="P26" s="884"/>
      <c r="Q26" s="884"/>
      <c r="R26" s="884"/>
      <c r="S26" s="885"/>
      <c r="T26"/>
      <c r="U26"/>
      <c r="V26"/>
      <c r="W26"/>
      <c r="X26"/>
      <c r="Y26"/>
    </row>
    <row r="27" spans="1:287" ht="21.75" customHeight="1" x14ac:dyDescent="0.35">
      <c r="B27"/>
      <c r="C27" s="892" t="s">
        <v>9</v>
      </c>
      <c r="D27" s="893"/>
      <c r="E27" s="894"/>
      <c r="F27" s="880" t="s">
        <v>10</v>
      </c>
      <c r="G27" s="881"/>
      <c r="H27" s="881"/>
      <c r="I27" s="881"/>
      <c r="J27" s="882"/>
      <c r="K27" s="30"/>
      <c r="L27" s="886" t="s">
        <v>9</v>
      </c>
      <c r="M27" s="887"/>
      <c r="N27" s="888"/>
      <c r="O27" s="889" t="s">
        <v>10</v>
      </c>
      <c r="P27" s="890"/>
      <c r="Q27" s="890"/>
      <c r="R27" s="890"/>
      <c r="S27" s="891"/>
      <c r="T27"/>
      <c r="U27"/>
      <c r="V27"/>
      <c r="W27"/>
      <c r="X27"/>
      <c r="Y27"/>
    </row>
    <row r="28" spans="1:287" ht="21.75" customHeight="1" thickBot="1" x14ac:dyDescent="0.4">
      <c r="B28"/>
      <c r="C28" s="41">
        <f>dms_PRCP_BaseYear</f>
        <v>2019</v>
      </c>
      <c r="D28" s="42">
        <v>2020</v>
      </c>
      <c r="E28" s="130"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4.5" x14ac:dyDescent="0.35">
      <c r="B29" s="46" t="s">
        <v>11</v>
      </c>
      <c r="C29" s="725">
        <v>88.260549911601615</v>
      </c>
      <c r="D29" s="726">
        <v>90.280954836958784</v>
      </c>
      <c r="E29" s="727">
        <v>49.654499604094831</v>
      </c>
      <c r="F29" s="725">
        <v>94.860171040059456</v>
      </c>
      <c r="G29" s="728">
        <v>93.675820439874371</v>
      </c>
      <c r="H29" s="728">
        <v>96.066952196434087</v>
      </c>
      <c r="I29" s="728">
        <v>95.618723790251948</v>
      </c>
      <c r="J29" s="729">
        <v>96.520160069101834</v>
      </c>
      <c r="K29" s="30"/>
      <c r="L29" s="758">
        <f>+C29/$C$17</f>
        <v>118.87881803398949</v>
      </c>
      <c r="M29" s="759">
        <f>+D29/$C$17</f>
        <v>121.60011707095526</v>
      </c>
      <c r="N29" s="759">
        <f>+E29/$H$17</f>
        <v>61.858321232404045</v>
      </c>
      <c r="O29" s="760">
        <f>+F29/$I$17</f>
        <v>116.58283024512822</v>
      </c>
      <c r="P29" s="761">
        <f>+G29/$I$17</f>
        <v>115.12726735231217</v>
      </c>
      <c r="Q29" s="761">
        <f>+H29/$I$17</f>
        <v>118.06596021584301</v>
      </c>
      <c r="R29" s="761">
        <f>+I29/$I$17</f>
        <v>117.51508901651837</v>
      </c>
      <c r="S29" s="762">
        <f>+J29/$I$17</f>
        <v>118.62295116268271</v>
      </c>
      <c r="T29"/>
      <c r="U29"/>
      <c r="V29"/>
      <c r="W29"/>
      <c r="X29"/>
      <c r="Y29"/>
    </row>
    <row r="30" spans="1:287" ht="14.5" x14ac:dyDescent="0.35">
      <c r="B30" s="47" t="s">
        <v>12</v>
      </c>
      <c r="C30" s="730"/>
      <c r="D30" s="731"/>
      <c r="E30" s="732"/>
      <c r="F30" s="730"/>
      <c r="G30" s="733"/>
      <c r="H30" s="733"/>
      <c r="I30" s="733"/>
      <c r="J30" s="734"/>
      <c r="K30" s="26"/>
      <c r="L30" s="763"/>
      <c r="M30" s="764"/>
      <c r="N30" s="764"/>
      <c r="O30" s="765"/>
      <c r="P30" s="766"/>
      <c r="Q30" s="766"/>
      <c r="R30" s="766"/>
      <c r="S30" s="767"/>
      <c r="T30"/>
      <c r="U30"/>
      <c r="V30"/>
      <c r="W30"/>
      <c r="X30"/>
      <c r="Y30"/>
    </row>
    <row r="31" spans="1:287" ht="14.5" x14ac:dyDescent="0.35">
      <c r="B31" s="138" t="s">
        <v>709</v>
      </c>
      <c r="C31" s="735">
        <v>-1.0109317999239358</v>
      </c>
      <c r="D31" s="736">
        <v>-1.0294017058063551</v>
      </c>
      <c r="E31" s="720">
        <v>-0.47564505752804637</v>
      </c>
      <c r="F31" s="721">
        <v>-0.96120197597728219</v>
      </c>
      <c r="G31" s="722">
        <v>-0.98049372817257308</v>
      </c>
      <c r="H31" s="722">
        <v>-0.99170523587454384</v>
      </c>
      <c r="I31" s="722">
        <v>-0.99612030972142207</v>
      </c>
      <c r="J31" s="723">
        <v>-0.99261470845399169</v>
      </c>
      <c r="K31" s="26"/>
      <c r="L31" s="768">
        <f t="shared" ref="L31:M35" si="0">+C31/$C$17</f>
        <v>-1.3616318684655497</v>
      </c>
      <c r="M31" s="769">
        <f t="shared" si="0"/>
        <v>-1.3865091277019828</v>
      </c>
      <c r="N31" s="769">
        <f t="shared" ref="N31:N35" si="1">+E31/$H$17</f>
        <v>-0.59254659689992761</v>
      </c>
      <c r="O31" s="770">
        <f t="shared" ref="O31:S35" si="2">F31/$I$17</f>
        <v>-1.1813139863443689</v>
      </c>
      <c r="P31" s="770">
        <f t="shared" si="2"/>
        <v>-1.2050234847213526</v>
      </c>
      <c r="Q31" s="770">
        <f t="shared" si="2"/>
        <v>-1.218802389870689</v>
      </c>
      <c r="R31" s="770">
        <f t="shared" si="2"/>
        <v>-1.2242285007364699</v>
      </c>
      <c r="S31" s="771">
        <f t="shared" si="2"/>
        <v>-1.2199201286031818</v>
      </c>
      <c r="T31"/>
      <c r="U31"/>
      <c r="V31"/>
      <c r="W31"/>
      <c r="X31"/>
      <c r="Y31"/>
    </row>
    <row r="32" spans="1:287" ht="14.5" x14ac:dyDescent="0.35">
      <c r="B32" s="139" t="s">
        <v>710</v>
      </c>
      <c r="C32" s="735">
        <v>-6.2733087790552422E-2</v>
      </c>
      <c r="D32" s="736">
        <v>-6.2733087790552422E-2</v>
      </c>
      <c r="E32" s="720">
        <v>-3.4043840457924218E-2</v>
      </c>
      <c r="F32" s="721">
        <v>-2.279415353678681E-2</v>
      </c>
      <c r="G32" s="722">
        <v>-2.279415353678681E-2</v>
      </c>
      <c r="H32" s="722">
        <v>-2.279415353678681E-2</v>
      </c>
      <c r="I32" s="722">
        <v>-2.279415353678681E-2</v>
      </c>
      <c r="J32" s="723">
        <v>-2.279415353678681E-2</v>
      </c>
      <c r="K32" s="26"/>
      <c r="L32" s="768">
        <f t="shared" si="0"/>
        <v>-8.4495681656557214E-2</v>
      </c>
      <c r="M32" s="769">
        <f t="shared" si="0"/>
        <v>-8.4495681656557214E-2</v>
      </c>
      <c r="N32" s="769">
        <f t="shared" si="1"/>
        <v>-4.2410956425333178E-2</v>
      </c>
      <c r="O32" s="770">
        <f t="shared" si="2"/>
        <v>-2.8013937812091678E-2</v>
      </c>
      <c r="P32" s="770">
        <f t="shared" si="2"/>
        <v>-2.8013937812091678E-2</v>
      </c>
      <c r="Q32" s="770">
        <f t="shared" si="2"/>
        <v>-2.8013937812091678E-2</v>
      </c>
      <c r="R32" s="770">
        <f t="shared" si="2"/>
        <v>-2.8013937812091678E-2</v>
      </c>
      <c r="S32" s="771">
        <f t="shared" si="2"/>
        <v>-2.8013937812091678E-2</v>
      </c>
      <c r="T32"/>
      <c r="U32"/>
      <c r="V32"/>
      <c r="W32"/>
      <c r="X32"/>
      <c r="Y32"/>
    </row>
    <row r="33" spans="1:31" ht="14.5" x14ac:dyDescent="0.35">
      <c r="B33" s="140" t="s">
        <v>711</v>
      </c>
      <c r="C33" s="735">
        <v>0</v>
      </c>
      <c r="D33" s="736">
        <v>0</v>
      </c>
      <c r="E33" s="720">
        <v>0</v>
      </c>
      <c r="F33" s="721">
        <v>0</v>
      </c>
      <c r="G33" s="722">
        <v>0</v>
      </c>
      <c r="H33" s="722">
        <v>0</v>
      </c>
      <c r="I33" s="722">
        <v>0</v>
      </c>
      <c r="J33" s="723">
        <v>0</v>
      </c>
      <c r="K33" s="26"/>
      <c r="L33" s="768">
        <f t="shared" si="0"/>
        <v>0</v>
      </c>
      <c r="M33" s="769">
        <f t="shared" si="0"/>
        <v>0</v>
      </c>
      <c r="N33" s="769">
        <f t="shared" si="1"/>
        <v>0</v>
      </c>
      <c r="O33" s="770">
        <f t="shared" si="2"/>
        <v>0</v>
      </c>
      <c r="P33" s="770">
        <f t="shared" si="2"/>
        <v>0</v>
      </c>
      <c r="Q33" s="770">
        <f t="shared" si="2"/>
        <v>0</v>
      </c>
      <c r="R33" s="770">
        <f t="shared" si="2"/>
        <v>0</v>
      </c>
      <c r="S33" s="771">
        <f t="shared" si="2"/>
        <v>0</v>
      </c>
      <c r="T33"/>
      <c r="U33"/>
      <c r="V33"/>
      <c r="W33"/>
      <c r="X33"/>
      <c r="Y33"/>
    </row>
    <row r="34" spans="1:31" ht="14.5" x14ac:dyDescent="0.35">
      <c r="B34" s="48" t="s">
        <v>13</v>
      </c>
      <c r="C34" s="735"/>
      <c r="D34" s="736"/>
      <c r="E34" s="720"/>
      <c r="F34" s="721"/>
      <c r="G34" s="722"/>
      <c r="H34" s="722"/>
      <c r="I34" s="722"/>
      <c r="J34" s="723"/>
      <c r="K34" s="49"/>
      <c r="L34" s="768">
        <f t="shared" si="0"/>
        <v>0</v>
      </c>
      <c r="M34" s="769">
        <f t="shared" si="0"/>
        <v>0</v>
      </c>
      <c r="N34" s="769">
        <f t="shared" si="1"/>
        <v>0</v>
      </c>
      <c r="O34" s="770">
        <f t="shared" si="2"/>
        <v>0</v>
      </c>
      <c r="P34" s="770">
        <f t="shared" si="2"/>
        <v>0</v>
      </c>
      <c r="Q34" s="770">
        <f t="shared" si="2"/>
        <v>0</v>
      </c>
      <c r="R34" s="770">
        <f t="shared" si="2"/>
        <v>0</v>
      </c>
      <c r="S34" s="771">
        <f t="shared" si="2"/>
        <v>0</v>
      </c>
      <c r="T34"/>
      <c r="U34"/>
      <c r="V34"/>
      <c r="W34"/>
      <c r="X34"/>
      <c r="Y34"/>
    </row>
    <row r="35" spans="1:31" ht="15" thickBot="1" x14ac:dyDescent="0.4">
      <c r="B35" s="50" t="s">
        <v>14</v>
      </c>
      <c r="C35" s="737"/>
      <c r="D35" s="738"/>
      <c r="E35" s="739"/>
      <c r="F35" s="737"/>
      <c r="G35" s="740"/>
      <c r="H35" s="740"/>
      <c r="I35" s="740"/>
      <c r="J35" s="741"/>
      <c r="K35" s="26"/>
      <c r="L35" s="772">
        <f t="shared" si="0"/>
        <v>0</v>
      </c>
      <c r="M35" s="773">
        <f t="shared" si="0"/>
        <v>0</v>
      </c>
      <c r="N35" s="773">
        <f t="shared" si="1"/>
        <v>0</v>
      </c>
      <c r="O35" s="774">
        <f t="shared" si="2"/>
        <v>0</v>
      </c>
      <c r="P35" s="774">
        <f t="shared" si="2"/>
        <v>0</v>
      </c>
      <c r="Q35" s="774">
        <f t="shared" si="2"/>
        <v>0</v>
      </c>
      <c r="R35" s="774">
        <f t="shared" si="2"/>
        <v>0</v>
      </c>
      <c r="S35" s="775">
        <f t="shared" si="2"/>
        <v>0</v>
      </c>
      <c r="T35"/>
      <c r="U35"/>
      <c r="V35"/>
      <c r="W35"/>
      <c r="X35"/>
      <c r="Y35"/>
    </row>
    <row r="36" spans="1:31" ht="15" thickBot="1" x14ac:dyDescent="0.4">
      <c r="B36" s="51" t="s">
        <v>15</v>
      </c>
      <c r="C36" s="742">
        <f t="shared" ref="C36:J36" si="3">SUM(C29:C35)</f>
        <v>87.186885023887129</v>
      </c>
      <c r="D36" s="742">
        <f t="shared" si="3"/>
        <v>89.188820043361886</v>
      </c>
      <c r="E36" s="742">
        <f t="shared" si="3"/>
        <v>49.144810706108856</v>
      </c>
      <c r="F36" s="742">
        <f t="shared" si="3"/>
        <v>93.876174910545373</v>
      </c>
      <c r="G36" s="742">
        <f t="shared" si="3"/>
        <v>92.672532558165003</v>
      </c>
      <c r="H36" s="742">
        <f t="shared" si="3"/>
        <v>95.052452807022746</v>
      </c>
      <c r="I36" s="742">
        <f t="shared" si="3"/>
        <v>94.599809326993736</v>
      </c>
      <c r="J36" s="743">
        <f t="shared" si="3"/>
        <v>95.504751207111056</v>
      </c>
      <c r="K36" s="26"/>
      <c r="L36" s="776">
        <f t="shared" ref="L36:M36" si="4">+SUM(L29:L35)</f>
        <v>117.43269048386738</v>
      </c>
      <c r="M36" s="777">
        <f t="shared" si="4"/>
        <v>120.12911226159672</v>
      </c>
      <c r="N36" s="777">
        <f t="shared" ref="N36:S36" si="5">+SUM(N29:N35)</f>
        <v>61.22336367907878</v>
      </c>
      <c r="O36" s="777">
        <f t="shared" si="5"/>
        <v>115.37350232097177</v>
      </c>
      <c r="P36" s="777">
        <f t="shared" si="5"/>
        <v>113.89422992977873</v>
      </c>
      <c r="Q36" s="777">
        <f t="shared" si="5"/>
        <v>116.81914388816023</v>
      </c>
      <c r="R36" s="777">
        <f t="shared" si="5"/>
        <v>116.26284657796981</v>
      </c>
      <c r="S36" s="778">
        <f t="shared" si="5"/>
        <v>117.37501709626744</v>
      </c>
      <c r="T36"/>
      <c r="U36"/>
      <c r="V36"/>
      <c r="W36"/>
      <c r="X36"/>
      <c r="Y36"/>
    </row>
    <row r="37" spans="1:31" ht="15" thickBot="1" x14ac:dyDescent="0.4">
      <c r="B37" s="52"/>
      <c r="C37" s="53"/>
      <c r="D37" s="54"/>
      <c r="E37" s="54"/>
      <c r="F37" s="54"/>
      <c r="G37" s="54"/>
      <c r="H37" s="54"/>
      <c r="I37" s="54"/>
      <c r="J37" s="54"/>
      <c r="K37" s="55"/>
      <c r="L37" s="53"/>
      <c r="N37" s="53"/>
      <c r="O37" s="53"/>
      <c r="P37" s="53"/>
      <c r="Q37" s="53"/>
      <c r="R37" s="53"/>
      <c r="S37" s="53"/>
      <c r="T37"/>
      <c r="U37"/>
      <c r="V37"/>
      <c r="W37"/>
      <c r="X37"/>
      <c r="Y37"/>
    </row>
    <row r="38" spans="1:31" s="40" customFormat="1" ht="16" thickBot="1" x14ac:dyDescent="0.4">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5" x14ac:dyDescent="0.35">
      <c r="B39" s="56"/>
      <c r="C39" s="895" t="s">
        <v>707</v>
      </c>
      <c r="D39" s="896"/>
      <c r="E39" s="896"/>
      <c r="F39" s="896"/>
      <c r="G39" s="896"/>
      <c r="H39" s="896"/>
      <c r="I39" s="896"/>
      <c r="J39" s="897"/>
      <c r="K39" s="57"/>
      <c r="L39" s="883" t="s">
        <v>699</v>
      </c>
      <c r="M39" s="884"/>
      <c r="N39" s="884"/>
      <c r="O39" s="884"/>
      <c r="P39" s="884"/>
      <c r="Q39" s="884"/>
      <c r="R39" s="884"/>
      <c r="S39" s="885"/>
      <c r="T39"/>
      <c r="U39"/>
      <c r="V39"/>
      <c r="W39"/>
      <c r="X39"/>
      <c r="Y39"/>
    </row>
    <row r="40" spans="1:31" ht="14.5" x14ac:dyDescent="0.35">
      <c r="B40" s="56"/>
      <c r="C40" s="892" t="s">
        <v>9</v>
      </c>
      <c r="D40" s="893"/>
      <c r="E40" s="894"/>
      <c r="F40" s="880" t="s">
        <v>10</v>
      </c>
      <c r="G40" s="881"/>
      <c r="H40" s="881"/>
      <c r="I40" s="881"/>
      <c r="J40" s="882"/>
      <c r="K40" s="57"/>
      <c r="L40" s="892" t="s">
        <v>9</v>
      </c>
      <c r="M40" s="893"/>
      <c r="N40" s="894"/>
      <c r="O40" s="889" t="s">
        <v>10</v>
      </c>
      <c r="P40" s="890"/>
      <c r="Q40" s="890"/>
      <c r="R40" s="890"/>
      <c r="S40" s="891"/>
      <c r="T40"/>
      <c r="U40"/>
      <c r="V40"/>
      <c r="W40"/>
      <c r="X40"/>
      <c r="Y40"/>
    </row>
    <row r="41" spans="1:31" ht="15" thickBot="1" x14ac:dyDescent="0.4">
      <c r="B41" s="58"/>
      <c r="C41" s="41">
        <f>dms_PRCP_BaseYear</f>
        <v>2019</v>
      </c>
      <c r="D41" s="42">
        <v>2020</v>
      </c>
      <c r="E41" s="130" t="s">
        <v>29</v>
      </c>
      <c r="F41" s="43" t="s">
        <v>296</v>
      </c>
      <c r="G41" s="44" t="s">
        <v>298</v>
      </c>
      <c r="H41" s="44" t="s">
        <v>36</v>
      </c>
      <c r="I41" s="44" t="s">
        <v>301</v>
      </c>
      <c r="J41" s="45" t="s">
        <v>303</v>
      </c>
      <c r="K41" s="49"/>
      <c r="L41" s="41">
        <f>dms_PRCP_BaseYear</f>
        <v>2019</v>
      </c>
      <c r="M41" s="42">
        <f>D41</f>
        <v>2020</v>
      </c>
      <c r="N41" s="42" t="str">
        <f>E41</f>
        <v>HY2021</v>
      </c>
      <c r="O41" s="43" t="s">
        <v>296</v>
      </c>
      <c r="P41" s="44" t="s">
        <v>298</v>
      </c>
      <c r="Q41" s="44" t="s">
        <v>36</v>
      </c>
      <c r="R41" s="44" t="s">
        <v>301</v>
      </c>
      <c r="S41" s="45" t="s">
        <v>303</v>
      </c>
      <c r="T41"/>
      <c r="U41"/>
      <c r="V41"/>
      <c r="W41"/>
      <c r="X41"/>
      <c r="Y41"/>
    </row>
    <row r="42" spans="1:31" ht="14.5" x14ac:dyDescent="0.35">
      <c r="B42" s="46" t="s">
        <v>17</v>
      </c>
      <c r="C42" s="744">
        <v>78.422085870000004</v>
      </c>
      <c r="D42" s="745">
        <v>77.230256060000002</v>
      </c>
      <c r="E42" s="746">
        <v>33.26555016861095</v>
      </c>
      <c r="F42" s="744">
        <v>74.324523810000002</v>
      </c>
      <c r="G42" s="747">
        <v>81.809777800000006</v>
      </c>
      <c r="H42" s="747">
        <v>90.854254880000013</v>
      </c>
      <c r="I42" s="747">
        <v>90.98685279351001</v>
      </c>
      <c r="J42" s="59"/>
      <c r="K42" s="49"/>
      <c r="L42" s="779">
        <f>+C42/LOOKUP(dms_PRCP_BaseYear,$D$14:$N$14,$D$17:$N$17)*(1+LOOKUP(dms_PRCP_BaseYear,$D$14:$N$14,$D$16:$N$16))^0.5</f>
        <v>99.439660946721247</v>
      </c>
      <c r="M42" s="780">
        <f t="shared" ref="M42:R42" si="6">+D42/H$17*(1+H$16)^0.5</f>
        <v>96.624606103365679</v>
      </c>
      <c r="N42" s="781">
        <f>+E42/I$17*(1+I$16)^0.5</f>
        <v>41.161369499200902</v>
      </c>
      <c r="O42" s="782">
        <f t="shared" si="6"/>
        <v>88.661179251306621</v>
      </c>
      <c r="P42" s="783">
        <f t="shared" si="6"/>
        <v>91.991795979439047</v>
      </c>
      <c r="Q42" s="783">
        <f t="shared" si="6"/>
        <v>97.613150534714393</v>
      </c>
      <c r="R42" s="780">
        <f t="shared" si="6"/>
        <v>94.823162169124956</v>
      </c>
      <c r="S42" s="784"/>
      <c r="T42"/>
      <c r="U42"/>
      <c r="V42"/>
      <c r="W42"/>
      <c r="X42"/>
      <c r="Y42"/>
    </row>
    <row r="43" spans="1:31" ht="14.5" x14ac:dyDescent="0.35">
      <c r="B43" s="47" t="s">
        <v>18</v>
      </c>
      <c r="C43" s="748"/>
      <c r="D43" s="749"/>
      <c r="E43" s="750"/>
      <c r="F43" s="748"/>
      <c r="G43" s="751"/>
      <c r="H43" s="751"/>
      <c r="I43" s="752"/>
      <c r="J43" s="60"/>
      <c r="K43" s="26"/>
      <c r="L43" s="785"/>
      <c r="M43" s="786"/>
      <c r="N43" s="787"/>
      <c r="O43" s="788"/>
      <c r="P43" s="789"/>
      <c r="Q43" s="789"/>
      <c r="R43" s="786"/>
      <c r="S43" s="790"/>
      <c r="T43"/>
      <c r="U43"/>
      <c r="V43"/>
      <c r="W43"/>
      <c r="X43"/>
      <c r="Y43"/>
    </row>
    <row r="44" spans="1:31" ht="14.5" x14ac:dyDescent="0.35">
      <c r="B44" s="61" t="str">
        <f>IF(ISBLANK(B31),"",B31)</f>
        <v>Debt raising costs</v>
      </c>
      <c r="C44" s="126">
        <v>0</v>
      </c>
      <c r="D44" s="724">
        <v>0</v>
      </c>
      <c r="E44" s="719">
        <v>0</v>
      </c>
      <c r="F44" s="125">
        <v>0</v>
      </c>
      <c r="G44" s="126">
        <v>0</v>
      </c>
      <c r="H44" s="126">
        <v>0</v>
      </c>
      <c r="I44" s="126">
        <v>0</v>
      </c>
      <c r="J44" s="60"/>
      <c r="K44" s="49"/>
      <c r="L44" s="791">
        <f t="shared" ref="L44:L49" si="7">+C44/LOOKUP(dms_PRCP_BaseYear,$D$14:$N$14,$D$17:$N$17)*(1+LOOKUP(dms_PRCP_BaseYear,$D$14:$N$14,$D$16:$N$16))^0.5</f>
        <v>0</v>
      </c>
      <c r="M44" s="792">
        <f t="shared" ref="M44:M49" si="8">+D44/H$17*(1+H$16)^0.5</f>
        <v>0</v>
      </c>
      <c r="N44" s="793">
        <f t="shared" ref="N44:N49" si="9">+E44/I$17*(1+I$16)^0.5</f>
        <v>0</v>
      </c>
      <c r="O44" s="794">
        <f t="shared" ref="O44:R49" si="10">F44/J$17*(1+J$16)^0.5</f>
        <v>0</v>
      </c>
      <c r="P44" s="794">
        <f t="shared" si="10"/>
        <v>0</v>
      </c>
      <c r="Q44" s="794">
        <f t="shared" si="10"/>
        <v>0</v>
      </c>
      <c r="R44" s="792">
        <f t="shared" si="10"/>
        <v>0</v>
      </c>
      <c r="S44" s="790"/>
      <c r="T44"/>
      <c r="U44"/>
      <c r="V44"/>
      <c r="W44"/>
      <c r="X44"/>
      <c r="Y44"/>
    </row>
    <row r="45" spans="1:31" ht="14.5" x14ac:dyDescent="0.35">
      <c r="B45" s="61" t="str">
        <f t="shared" ref="B45:B46" si="11">IF(ISBLANK(B32),"",B32)</f>
        <v>GSL payments</v>
      </c>
      <c r="C45" s="126">
        <v>-6.1379999999999997E-2</v>
      </c>
      <c r="D45" s="724">
        <v>-4.9345E-2</v>
      </c>
      <c r="E45" s="719">
        <v>-4.8259999999999997E-2</v>
      </c>
      <c r="F45" s="125">
        <v>-8.8270000000000001E-2</v>
      </c>
      <c r="G45" s="126">
        <v>-2.4074999999999999E-2</v>
      </c>
      <c r="H45" s="126">
        <v>-3.8460000000000001E-2</v>
      </c>
      <c r="I45" s="126">
        <v>-5.0335519480519474E-2</v>
      </c>
      <c r="J45" s="60"/>
      <c r="K45" s="26"/>
      <c r="L45" s="791">
        <f t="shared" si="7"/>
        <v>-7.7830196955328071E-2</v>
      </c>
      <c r="M45" s="792">
        <f t="shared" si="8"/>
        <v>-6.1736700503315402E-2</v>
      </c>
      <c r="N45" s="793">
        <f t="shared" si="9"/>
        <v>-5.9714860627972662E-2</v>
      </c>
      <c r="O45" s="794">
        <f t="shared" si="10"/>
        <v>-0.10529663550242442</v>
      </c>
      <c r="P45" s="794">
        <f t="shared" si="10"/>
        <v>-2.707136662342817E-2</v>
      </c>
      <c r="Q45" s="794">
        <f t="shared" si="10"/>
        <v>-4.1321144227352391E-2</v>
      </c>
      <c r="R45" s="792">
        <f t="shared" si="10"/>
        <v>-5.2457832972863279E-2</v>
      </c>
      <c r="S45" s="790"/>
      <c r="T45"/>
      <c r="U45"/>
      <c r="V45"/>
      <c r="W45"/>
      <c r="X45"/>
      <c r="Y45"/>
    </row>
    <row r="46" spans="1:31" ht="15" customHeight="1" x14ac:dyDescent="0.35">
      <c r="B46" s="61" t="str">
        <f t="shared" si="11"/>
        <v>DMIA</v>
      </c>
      <c r="C46" s="126">
        <v>0</v>
      </c>
      <c r="D46" s="724">
        <v>0</v>
      </c>
      <c r="E46" s="719">
        <v>0</v>
      </c>
      <c r="F46" s="125">
        <v>-8.2926920000000001E-2</v>
      </c>
      <c r="G46" s="126">
        <v>0</v>
      </c>
      <c r="H46" s="126">
        <v>0</v>
      </c>
      <c r="I46" s="126">
        <v>0</v>
      </c>
      <c r="J46" s="60"/>
      <c r="K46" s="26"/>
      <c r="L46" s="791">
        <f t="shared" si="7"/>
        <v>0</v>
      </c>
      <c r="M46" s="792">
        <f t="shared" si="8"/>
        <v>0</v>
      </c>
      <c r="N46" s="793">
        <f t="shared" si="9"/>
        <v>0</v>
      </c>
      <c r="O46" s="794">
        <f t="shared" si="10"/>
        <v>-9.8922914564163467E-2</v>
      </c>
      <c r="P46" s="794">
        <f t="shared" si="10"/>
        <v>0</v>
      </c>
      <c r="Q46" s="794">
        <f t="shared" si="10"/>
        <v>0</v>
      </c>
      <c r="R46" s="792">
        <f t="shared" si="10"/>
        <v>0</v>
      </c>
      <c r="S46" s="790"/>
      <c r="T46"/>
      <c r="W46"/>
      <c r="X46"/>
      <c r="Y46"/>
    </row>
    <row r="47" spans="1:31" ht="15" customHeight="1" x14ac:dyDescent="0.35">
      <c r="B47" s="62" t="s">
        <v>19</v>
      </c>
      <c r="C47" s="126"/>
      <c r="D47" s="724"/>
      <c r="E47" s="719"/>
      <c r="F47" s="125"/>
      <c r="G47" s="126"/>
      <c r="H47" s="126"/>
      <c r="I47" s="126"/>
      <c r="J47" s="60"/>
      <c r="K47" s="63"/>
      <c r="L47" s="791">
        <f t="shared" si="7"/>
        <v>0</v>
      </c>
      <c r="M47" s="792">
        <f t="shared" si="8"/>
        <v>0</v>
      </c>
      <c r="N47" s="793">
        <f t="shared" si="9"/>
        <v>0</v>
      </c>
      <c r="O47" s="794">
        <f t="shared" si="10"/>
        <v>0</v>
      </c>
      <c r="P47" s="794">
        <f t="shared" si="10"/>
        <v>0</v>
      </c>
      <c r="Q47" s="794">
        <f t="shared" si="10"/>
        <v>0</v>
      </c>
      <c r="R47" s="792">
        <f t="shared" si="10"/>
        <v>0</v>
      </c>
      <c r="S47" s="795"/>
      <c r="T47"/>
      <c r="U47"/>
      <c r="V47"/>
      <c r="W47"/>
      <c r="X47"/>
      <c r="Y47"/>
    </row>
    <row r="48" spans="1:31" ht="15" customHeight="1" x14ac:dyDescent="0.35">
      <c r="B48" s="62" t="s">
        <v>20</v>
      </c>
      <c r="C48" s="126">
        <v>2.3696935500000009</v>
      </c>
      <c r="D48" s="724">
        <v>-1.5119531299999989</v>
      </c>
      <c r="E48" s="719">
        <v>-1.554788061620202E-2</v>
      </c>
      <c r="F48" s="125">
        <v>0.77278391000000113</v>
      </c>
      <c r="G48" s="126">
        <v>0.95883685000000007</v>
      </c>
      <c r="H48" s="126">
        <v>0.98280777124999885</v>
      </c>
      <c r="I48" s="126">
        <v>0</v>
      </c>
      <c r="J48" s="60"/>
      <c r="K48" s="63"/>
      <c r="L48" s="791">
        <f t="shared" si="7"/>
        <v>3.0047852023504502</v>
      </c>
      <c r="M48" s="792">
        <f t="shared" si="8"/>
        <v>-1.8916404410144945</v>
      </c>
      <c r="N48" s="793">
        <f t="shared" si="9"/>
        <v>-1.9238282719785772E-2</v>
      </c>
      <c r="O48" s="794">
        <f t="shared" si="10"/>
        <v>0.92184825754399546</v>
      </c>
      <c r="P48" s="794">
        <f t="shared" si="10"/>
        <v>1.0781733706501768</v>
      </c>
      <c r="Q48" s="794">
        <f t="shared" si="10"/>
        <v>1.0559215201139875</v>
      </c>
      <c r="R48" s="792">
        <f t="shared" si="10"/>
        <v>0</v>
      </c>
      <c r="S48" s="795"/>
      <c r="T48"/>
      <c r="U48"/>
      <c r="V48"/>
      <c r="W48"/>
      <c r="X48"/>
      <c r="Y48"/>
    </row>
    <row r="49" spans="1:31" ht="15.75" customHeight="1" thickBot="1" x14ac:dyDescent="0.4">
      <c r="B49" s="50" t="s">
        <v>14</v>
      </c>
      <c r="C49" s="753"/>
      <c r="D49" s="754"/>
      <c r="E49" s="755"/>
      <c r="F49" s="756"/>
      <c r="G49" s="753"/>
      <c r="H49" s="753"/>
      <c r="I49" s="753"/>
      <c r="J49" s="65"/>
      <c r="K49" s="63"/>
      <c r="L49" s="796">
        <f t="shared" si="7"/>
        <v>0</v>
      </c>
      <c r="M49" s="797">
        <f t="shared" si="8"/>
        <v>0</v>
      </c>
      <c r="N49" s="797">
        <f t="shared" si="9"/>
        <v>0</v>
      </c>
      <c r="O49" s="798">
        <f t="shared" si="10"/>
        <v>0</v>
      </c>
      <c r="P49" s="798">
        <f t="shared" si="10"/>
        <v>0</v>
      </c>
      <c r="Q49" s="798">
        <f t="shared" si="10"/>
        <v>0</v>
      </c>
      <c r="R49" s="799">
        <f t="shared" si="10"/>
        <v>0</v>
      </c>
      <c r="S49" s="800"/>
      <c r="T49"/>
      <c r="U49"/>
      <c r="V49"/>
      <c r="W49"/>
      <c r="X49"/>
      <c r="Y49"/>
    </row>
    <row r="50" spans="1:31" ht="43.5" customHeight="1" thickBot="1" x14ac:dyDescent="0.4">
      <c r="B50" s="66" t="s">
        <v>21</v>
      </c>
      <c r="C50" s="757">
        <f t="shared" ref="C50:E50" si="12">SUM(C42:C49)</f>
        <v>80.730399419999998</v>
      </c>
      <c r="D50" s="757">
        <f t="shared" si="12"/>
        <v>75.668957930000005</v>
      </c>
      <c r="E50" s="757">
        <f t="shared" si="12"/>
        <v>33.201742287994747</v>
      </c>
      <c r="F50" s="757">
        <f>SUM(F42:F49)</f>
        <v>74.926110800000004</v>
      </c>
      <c r="G50" s="757">
        <f>SUM(G42:G49)</f>
        <v>82.744539650000007</v>
      </c>
      <c r="H50" s="757">
        <f>SUM(H42:H49)</f>
        <v>91.798602651250008</v>
      </c>
      <c r="I50" s="757">
        <f>SUM(I42:I49)</f>
        <v>90.936517274029498</v>
      </c>
      <c r="J50" s="67"/>
      <c r="K50" s="26"/>
      <c r="L50" s="801">
        <f t="shared" ref="L50" si="13">L42+SUM(L44:L49)</f>
        <v>102.36661595211638</v>
      </c>
      <c r="M50" s="802">
        <f t="shared" ref="M50" si="14">M42+SUM(M44:M49)</f>
        <v>94.671228961847874</v>
      </c>
      <c r="N50" s="802">
        <f t="shared" ref="N50" si="15">N42+SUM(N44:N49)</f>
        <v>41.082416355853141</v>
      </c>
      <c r="O50" s="802">
        <f t="shared" ref="O50:R50" si="16">O42+SUM(O44:O49)</f>
        <v>89.378807958784023</v>
      </c>
      <c r="P50" s="802">
        <f t="shared" si="16"/>
        <v>93.042897983465792</v>
      </c>
      <c r="Q50" s="802">
        <f t="shared" si="16"/>
        <v>98.627750910601023</v>
      </c>
      <c r="R50" s="802">
        <f t="shared" si="16"/>
        <v>94.770704336152093</v>
      </c>
      <c r="S50" s="803">
        <f>S36-(LOOKUP($T$50,O28:R28,O36:R36)-LOOKUP($T$50,O41:R41,O50:R50))+T51</f>
        <v>95.882874854449724</v>
      </c>
      <c r="T50" s="340" t="s">
        <v>301</v>
      </c>
      <c r="U50" s="898" t="str">
        <f>CONCATENATE(dms_TradingName," to nominate base year used to forecast opex 
(drop down menu)")</f>
        <v>CitiPower to nominate base year used to forecast opex 
(drop down menu)</v>
      </c>
      <c r="V50" s="899"/>
      <c r="W50" s="899"/>
      <c r="X50" s="899"/>
      <c r="Y50" s="899"/>
      <c r="Z50" s="900"/>
    </row>
    <row r="51" spans="1:31" customFormat="1" ht="15.65" customHeight="1" thickBot="1" x14ac:dyDescent="0.4">
      <c r="A51" s="1"/>
      <c r="M51" s="4"/>
      <c r="T51" s="68">
        <v>0</v>
      </c>
      <c r="U51" s="901" t="str">
        <f>"Base year non-recurrent efficiency gain "&amp;(CONCATENATE("$m, real June 2026 "))</f>
        <v xml:space="preserve">Base year non-recurrent efficiency gain $m, real June 2026 </v>
      </c>
      <c r="V51" s="902"/>
      <c r="W51" s="902"/>
      <c r="X51" s="902"/>
      <c r="Y51" s="902"/>
      <c r="Z51" s="902"/>
    </row>
    <row r="52" spans="1:31" s="75" customFormat="1" ht="18.5" thickBot="1" x14ac:dyDescent="0.4">
      <c r="A52" s="1"/>
      <c r="B52" s="69"/>
      <c r="C52" s="69"/>
      <c r="D52" s="69"/>
      <c r="E52" s="69"/>
      <c r="F52" s="69"/>
      <c r="G52" s="69"/>
      <c r="H52" s="70"/>
      <c r="I52" s="70"/>
      <c r="J52" s="70"/>
      <c r="K52" s="70"/>
      <c r="L52" s="71" t="s">
        <v>702</v>
      </c>
      <c r="M52" s="131"/>
      <c r="N52" s="72"/>
      <c r="O52" s="73"/>
      <c r="P52" s="72"/>
      <c r="Q52" s="72"/>
      <c r="R52" s="72"/>
      <c r="S52" s="74"/>
      <c r="U52"/>
      <c r="V52"/>
      <c r="W52"/>
      <c r="X52"/>
      <c r="Y52"/>
      <c r="Z52"/>
      <c r="AA52"/>
      <c r="AB52"/>
      <c r="AC52"/>
      <c r="AD52"/>
      <c r="AE52"/>
    </row>
    <row r="53" spans="1:31" ht="15" thickBot="1" x14ac:dyDescent="0.4">
      <c r="B53" s="69"/>
      <c r="C53" s="69"/>
      <c r="D53" s="69"/>
      <c r="E53" s="69"/>
      <c r="F53" s="69"/>
      <c r="G53" s="69"/>
      <c r="H53" s="70"/>
      <c r="I53" s="70"/>
      <c r="J53" s="70"/>
      <c r="K53" s="70"/>
      <c r="L53" s="76"/>
      <c r="M53" s="804">
        <f>(M36-M50)-(L36-L50)+C24/$I$17</f>
        <v>10.391808767997844</v>
      </c>
      <c r="N53" s="805">
        <f>(N36-N50)-(M36-M50)/2</f>
        <v>7.4120056733512172</v>
      </c>
      <c r="O53" s="804">
        <f>(O36-O50)-(2*(N36-N50)-(L36-L50))-C24/$I$17</f>
        <v>0.77887424748746525</v>
      </c>
      <c r="P53" s="805">
        <f>(P36-P50)-(O36-O50)</f>
        <v>-5.1433624158748046</v>
      </c>
      <c r="Q53" s="805">
        <f>(Q36-Q50)-(P36-P50)</f>
        <v>-2.6599389687537354</v>
      </c>
      <c r="R53" s="805">
        <f>(R36-R50)-(Q36-Q50)</f>
        <v>3.3007492642585134</v>
      </c>
      <c r="S53" s="806">
        <f>(S36-S50)-(R36-R50)</f>
        <v>0</v>
      </c>
      <c r="T53"/>
      <c r="U53"/>
      <c r="V53"/>
      <c r="W53"/>
      <c r="X53"/>
      <c r="Y53"/>
    </row>
    <row r="54" spans="1:31" ht="23.25" customHeight="1" thickBot="1" x14ac:dyDescent="0.4">
      <c r="B54" s="69"/>
      <c r="C54" s="69"/>
      <c r="D54" s="69"/>
      <c r="E54" s="69"/>
      <c r="F54" s="69"/>
      <c r="G54" s="69"/>
      <c r="H54" s="70"/>
      <c r="I54" s="70"/>
      <c r="J54" s="70"/>
      <c r="K54" s="70"/>
      <c r="L54" s="77"/>
      <c r="N54" s="77"/>
      <c r="O54" s="77"/>
      <c r="P54" s="77"/>
      <c r="Q54" s="77"/>
      <c r="R54" s="77"/>
      <c r="S54" s="77"/>
      <c r="T54"/>
      <c r="U54"/>
      <c r="V54"/>
      <c r="W54"/>
      <c r="X54"/>
      <c r="Y54"/>
    </row>
    <row r="55" spans="1:31" s="75" customFormat="1" ht="18.5" thickBot="1" x14ac:dyDescent="0.4">
      <c r="A55" s="1"/>
      <c r="B55" s="69"/>
      <c r="C55" s="69"/>
      <c r="D55" s="69"/>
      <c r="E55" s="69"/>
      <c r="F55" s="69"/>
      <c r="G55" s="69"/>
      <c r="H55" s="70"/>
      <c r="I55" s="70"/>
      <c r="J55" s="70"/>
      <c r="K55" s="70"/>
      <c r="L55" s="78" t="s">
        <v>22</v>
      </c>
      <c r="M55" s="79"/>
      <c r="N55" s="79"/>
      <c r="O55" s="72"/>
      <c r="P55" s="72"/>
      <c r="Q55" s="72"/>
      <c r="R55" s="72"/>
      <c r="S55" s="72"/>
      <c r="T55" s="72"/>
      <c r="U55" s="72"/>
      <c r="V55" s="72"/>
      <c r="W55" s="72"/>
      <c r="X55" s="80"/>
      <c r="Y55" s="81"/>
      <c r="Z55"/>
      <c r="AA55"/>
      <c r="AB55"/>
      <c r="AC55"/>
    </row>
    <row r="56" spans="1:31" ht="30.25" customHeight="1" x14ac:dyDescent="0.35">
      <c r="B56" s="69"/>
      <c r="C56" s="69"/>
      <c r="D56" s="69"/>
      <c r="E56" s="69"/>
      <c r="F56" s="69"/>
      <c r="G56" s="69"/>
      <c r="H56" s="70"/>
      <c r="I56" s="70"/>
      <c r="J56" s="70"/>
      <c r="K56" s="70"/>
      <c r="L56" s="82"/>
      <c r="N56" s="83"/>
      <c r="O56" s="913" t="s">
        <v>10</v>
      </c>
      <c r="P56" s="914"/>
      <c r="Q56" s="914"/>
      <c r="R56" s="914"/>
      <c r="S56" s="915"/>
      <c r="T56" s="916" t="s">
        <v>23</v>
      </c>
      <c r="U56" s="917"/>
      <c r="V56" s="917"/>
      <c r="W56" s="917"/>
      <c r="X56" s="917"/>
      <c r="Y56" s="84"/>
    </row>
    <row r="57" spans="1:31" ht="14.5" x14ac:dyDescent="0.35">
      <c r="B57" s="69"/>
      <c r="C57" s="69"/>
      <c r="D57" s="69"/>
      <c r="E57" s="69"/>
      <c r="F57" s="69"/>
      <c r="G57" s="69"/>
      <c r="H57" s="70"/>
      <c r="I57" s="70"/>
      <c r="J57" s="70"/>
      <c r="K57" s="70"/>
      <c r="L57" s="85"/>
      <c r="N57" s="86"/>
      <c r="O57" s="918" t="s">
        <v>699</v>
      </c>
      <c r="P57" s="919"/>
      <c r="Q57" s="919"/>
      <c r="R57" s="919"/>
      <c r="S57" s="919"/>
      <c r="T57" s="919"/>
      <c r="U57" s="919"/>
      <c r="V57" s="919"/>
      <c r="W57" s="919"/>
      <c r="X57" s="919"/>
      <c r="Y57" s="920"/>
    </row>
    <row r="58" spans="1:31" ht="15" thickBot="1" x14ac:dyDescent="0.4">
      <c r="B58" s="69"/>
      <c r="C58" s="69"/>
      <c r="D58" s="69"/>
      <c r="E58" s="69"/>
      <c r="F58" s="69"/>
      <c r="G58" s="69"/>
      <c r="H58" s="70"/>
      <c r="I58" s="70"/>
      <c r="J58" s="70"/>
      <c r="K58" s="70"/>
      <c r="L58" s="85"/>
      <c r="N58" s="86"/>
      <c r="O58" s="87" t="s">
        <v>296</v>
      </c>
      <c r="P58" s="88" t="s">
        <v>298</v>
      </c>
      <c r="Q58" s="88" t="s">
        <v>36</v>
      </c>
      <c r="R58" s="88" t="s">
        <v>301</v>
      </c>
      <c r="S58" s="88" t="s">
        <v>303</v>
      </c>
      <c r="T58" s="89" t="str">
        <f>_xlfn.SINGLE(FRCP_y1)</f>
        <v>2026-27</v>
      </c>
      <c r="U58" s="89" t="s">
        <v>307</v>
      </c>
      <c r="V58" s="89" t="s">
        <v>309</v>
      </c>
      <c r="W58" s="89" t="s">
        <v>311</v>
      </c>
      <c r="X58" s="89" t="s">
        <v>313</v>
      </c>
      <c r="Y58" s="90" t="s">
        <v>24</v>
      </c>
    </row>
    <row r="59" spans="1:31" ht="15" thickBot="1" x14ac:dyDescent="0.4">
      <c r="B59" s="69"/>
      <c r="C59" s="69"/>
      <c r="D59" s="69"/>
      <c r="E59" s="69"/>
      <c r="F59" s="69"/>
      <c r="G59" s="69"/>
      <c r="H59" s="70"/>
      <c r="I59" s="70"/>
      <c r="J59" s="70"/>
      <c r="K59" s="70"/>
      <c r="L59" s="903" t="s">
        <v>34</v>
      </c>
      <c r="M59" s="904"/>
      <c r="N59" s="905"/>
      <c r="O59" s="807"/>
      <c r="P59" s="808"/>
      <c r="Q59" s="808"/>
      <c r="R59" s="808"/>
      <c r="S59" s="809">
        <f>-M53/2</f>
        <v>-5.1959043839989221</v>
      </c>
      <c r="T59" s="808"/>
      <c r="U59" s="808"/>
      <c r="V59" s="808"/>
      <c r="W59" s="808"/>
      <c r="X59" s="808"/>
      <c r="Y59" s="810"/>
    </row>
    <row r="60" spans="1:31" ht="15" thickBot="1" x14ac:dyDescent="0.4">
      <c r="B60" s="69"/>
      <c r="C60" s="69"/>
      <c r="D60" s="69"/>
      <c r="E60" s="69"/>
      <c r="F60" s="69"/>
      <c r="G60" s="69"/>
      <c r="H60" s="70"/>
      <c r="I60" s="70"/>
      <c r="J60" s="70"/>
      <c r="K60" s="70"/>
      <c r="L60" s="903" t="s">
        <v>35</v>
      </c>
      <c r="M60" s="904"/>
      <c r="N60" s="905"/>
      <c r="O60" s="811"/>
      <c r="P60" s="812"/>
      <c r="Q60" s="813"/>
      <c r="R60" s="813"/>
      <c r="S60" s="813"/>
      <c r="T60" s="814">
        <f>N53</f>
        <v>7.4120056733512172</v>
      </c>
      <c r="U60" s="808"/>
      <c r="V60" s="808"/>
      <c r="W60" s="808"/>
      <c r="X60" s="808"/>
      <c r="Y60" s="810"/>
    </row>
    <row r="61" spans="1:31" ht="15" thickBot="1" x14ac:dyDescent="0.4">
      <c r="B61" s="69"/>
      <c r="C61" s="69"/>
      <c r="D61" s="69"/>
      <c r="E61" s="69"/>
      <c r="F61" s="69"/>
      <c r="G61" s="69"/>
      <c r="H61" s="70"/>
      <c r="I61" s="70"/>
      <c r="J61" s="70"/>
      <c r="K61" s="70"/>
      <c r="L61" s="903" t="s">
        <v>296</v>
      </c>
      <c r="M61" s="904"/>
      <c r="N61" s="905"/>
      <c r="O61" s="812"/>
      <c r="P61" s="815">
        <f>$O$53</f>
        <v>0.77887424748746525</v>
      </c>
      <c r="Q61" s="816">
        <f>$O$53</f>
        <v>0.77887424748746525</v>
      </c>
      <c r="R61" s="817">
        <f>$O$53</f>
        <v>0.77887424748746525</v>
      </c>
      <c r="S61" s="816">
        <f>$O$53</f>
        <v>0.77887424748746525</v>
      </c>
      <c r="T61" s="818">
        <f>$O$53</f>
        <v>0.77887424748746525</v>
      </c>
      <c r="U61" s="819"/>
      <c r="V61" s="808"/>
      <c r="W61" s="808"/>
      <c r="X61" s="808"/>
      <c r="Y61" s="820"/>
      <c r="AD61" s="4"/>
      <c r="AE61" s="4"/>
    </row>
    <row r="62" spans="1:31" ht="15" thickBot="1" x14ac:dyDescent="0.4">
      <c r="B62" s="69"/>
      <c r="C62" s="69"/>
      <c r="D62" s="69"/>
      <c r="E62" s="69"/>
      <c r="F62" s="69"/>
      <c r="G62" s="69"/>
      <c r="H62" s="70"/>
      <c r="I62" s="70"/>
      <c r="J62" s="70"/>
      <c r="K62" s="70"/>
      <c r="L62" s="903" t="s">
        <v>298</v>
      </c>
      <c r="M62" s="904"/>
      <c r="N62" s="905"/>
      <c r="O62" s="812"/>
      <c r="P62" s="812"/>
      <c r="Q62" s="821">
        <f>$P$53</f>
        <v>-5.1433624158748046</v>
      </c>
      <c r="R62" s="822">
        <f>$P$53</f>
        <v>-5.1433624158748046</v>
      </c>
      <c r="S62" s="823">
        <f>$P$53</f>
        <v>-5.1433624158748046</v>
      </c>
      <c r="T62" s="822">
        <f>$P$53</f>
        <v>-5.1433624158748046</v>
      </c>
      <c r="U62" s="824">
        <f>$P$53</f>
        <v>-5.1433624158748046</v>
      </c>
      <c r="V62" s="808"/>
      <c r="W62" s="808"/>
      <c r="X62" s="808"/>
      <c r="Y62" s="820"/>
      <c r="AD62" s="4"/>
      <c r="AE62" s="4"/>
    </row>
    <row r="63" spans="1:31" ht="15" thickBot="1" x14ac:dyDescent="0.4">
      <c r="B63" s="69"/>
      <c r="C63" s="69"/>
      <c r="D63" s="69"/>
      <c r="E63" s="69"/>
      <c r="F63" s="69"/>
      <c r="G63" s="69"/>
      <c r="H63" s="70"/>
      <c r="I63" s="70"/>
      <c r="J63" s="70"/>
      <c r="K63" s="70"/>
      <c r="L63" s="903" t="s">
        <v>36</v>
      </c>
      <c r="M63" s="904"/>
      <c r="N63" s="905"/>
      <c r="O63" s="808"/>
      <c r="P63" s="808"/>
      <c r="Q63" s="812"/>
      <c r="R63" s="825">
        <f>$Q$53</f>
        <v>-2.6599389687537354</v>
      </c>
      <c r="S63" s="823">
        <f>$Q$53</f>
        <v>-2.6599389687537354</v>
      </c>
      <c r="T63" s="822">
        <f>$Q$53</f>
        <v>-2.6599389687537354</v>
      </c>
      <c r="U63" s="823">
        <f>$Q$53</f>
        <v>-2.6599389687537354</v>
      </c>
      <c r="V63" s="826">
        <f>$Q$53</f>
        <v>-2.6599389687537354</v>
      </c>
      <c r="W63" s="819"/>
      <c r="X63" s="808"/>
      <c r="Y63" s="820"/>
      <c r="AD63" s="4"/>
      <c r="AE63" s="4"/>
    </row>
    <row r="64" spans="1:31" ht="15" thickBot="1" x14ac:dyDescent="0.4">
      <c r="B64" s="69"/>
      <c r="C64" s="69"/>
      <c r="D64" s="69"/>
      <c r="E64" s="69"/>
      <c r="F64" s="69"/>
      <c r="G64" s="69"/>
      <c r="H64" s="70"/>
      <c r="I64" s="70"/>
      <c r="J64" s="70"/>
      <c r="K64" s="70"/>
      <c r="L64" s="903" t="s">
        <v>301</v>
      </c>
      <c r="M64" s="904"/>
      <c r="N64" s="905"/>
      <c r="O64" s="808"/>
      <c r="P64" s="808"/>
      <c r="Q64" s="808"/>
      <c r="R64" s="812"/>
      <c r="S64" s="821">
        <f>$R$53</f>
        <v>3.3007492642585134</v>
      </c>
      <c r="T64" s="823">
        <f>$R$53</f>
        <v>3.3007492642585134</v>
      </c>
      <c r="U64" s="827">
        <f>$R$53</f>
        <v>3.3007492642585134</v>
      </c>
      <c r="V64" s="822">
        <f>$R$53</f>
        <v>3.3007492642585134</v>
      </c>
      <c r="W64" s="828">
        <f>$R$53</f>
        <v>3.3007492642585134</v>
      </c>
      <c r="X64" s="819"/>
      <c r="Y64" s="820"/>
      <c r="AD64" s="4"/>
      <c r="AE64" s="4"/>
    </row>
    <row r="65" spans="1:31" ht="15" thickBot="1" x14ac:dyDescent="0.4">
      <c r="B65" s="69"/>
      <c r="C65" s="69"/>
      <c r="D65" s="69"/>
      <c r="E65" s="69"/>
      <c r="F65" s="69"/>
      <c r="G65" s="69"/>
      <c r="H65" s="70"/>
      <c r="I65" s="70"/>
      <c r="J65" s="70"/>
      <c r="K65" s="70"/>
      <c r="L65" s="903" t="s">
        <v>303</v>
      </c>
      <c r="M65" s="904"/>
      <c r="N65" s="905"/>
      <c r="O65" s="829"/>
      <c r="P65" s="829"/>
      <c r="Q65" s="808"/>
      <c r="R65" s="829"/>
      <c r="S65" s="812"/>
      <c r="T65" s="830">
        <f>+$S$53</f>
        <v>0</v>
      </c>
      <c r="U65" s="827">
        <f>+$S$53</f>
        <v>0</v>
      </c>
      <c r="V65" s="831">
        <f>+$S$53</f>
        <v>0</v>
      </c>
      <c r="W65" s="832">
        <f>+$S$53</f>
        <v>0</v>
      </c>
      <c r="X65" s="833">
        <f>+$S$53</f>
        <v>0</v>
      </c>
      <c r="Y65" s="820"/>
      <c r="AD65" s="4"/>
      <c r="AE65" s="4"/>
    </row>
    <row r="66" spans="1:31" ht="15" thickBot="1" x14ac:dyDescent="0.4">
      <c r="B66" s="69"/>
      <c r="C66" s="69"/>
      <c r="D66" s="69"/>
      <c r="E66" s="69"/>
      <c r="F66" s="69"/>
      <c r="G66" s="69"/>
      <c r="H66" s="70"/>
      <c r="I66" s="70"/>
      <c r="J66" s="70"/>
      <c r="K66" s="70"/>
      <c r="L66" s="91" t="s">
        <v>705</v>
      </c>
      <c r="M66" s="92"/>
      <c r="N66" s="92"/>
      <c r="O66" s="834"/>
      <c r="P66" s="834"/>
      <c r="Q66" s="834"/>
      <c r="R66" s="834"/>
      <c r="S66" s="835">
        <f>S59</f>
        <v>-5.1959043839989221</v>
      </c>
      <c r="T66" s="835">
        <f>+SUM(T60:T65)</f>
        <v>3.6883278004686559</v>
      </c>
      <c r="U66" s="835">
        <f>+SUM(U62:U65)</f>
        <v>-4.5025521203700265</v>
      </c>
      <c r="V66" s="835">
        <f>+SUM(V63:V65)</f>
        <v>0.64081029550477808</v>
      </c>
      <c r="W66" s="835">
        <f>+SUM(W64:W65)</f>
        <v>3.3007492642585134</v>
      </c>
      <c r="X66" s="835">
        <f>+SUM(X65)</f>
        <v>0</v>
      </c>
      <c r="Y66" s="836">
        <f>+SUM(T66:X66)</f>
        <v>3.127335239861921</v>
      </c>
      <c r="AE66" s="4"/>
    </row>
    <row r="67" spans="1:31" ht="18.5" thickBot="1" x14ac:dyDescent="0.4">
      <c r="B67" s="69"/>
      <c r="C67" s="69"/>
      <c r="D67" s="69"/>
      <c r="E67" s="69"/>
      <c r="F67" s="69"/>
      <c r="G67" s="69"/>
      <c r="H67" s="70"/>
      <c r="I67" s="70"/>
      <c r="J67" s="70"/>
      <c r="K67" s="104"/>
      <c r="L67" s="104"/>
      <c r="M67" s="104"/>
      <c r="N67" s="104"/>
      <c r="O67" s="104"/>
      <c r="P67" s="104"/>
      <c r="Q67" s="104"/>
      <c r="R67" s="104"/>
      <c r="S67" s="104"/>
      <c r="T67" s="93"/>
      <c r="U67" s="93"/>
      <c r="V67" s="93"/>
      <c r="W67" s="93"/>
      <c r="X67" s="93"/>
      <c r="Y67"/>
      <c r="AE67" s="4"/>
    </row>
    <row r="68" spans="1:31" ht="18.5" thickBot="1" x14ac:dyDescent="0.4">
      <c r="B68" s="69"/>
      <c r="C68" s="69"/>
      <c r="D68" s="69"/>
      <c r="E68" s="69"/>
      <c r="F68" s="69"/>
      <c r="G68" s="69"/>
      <c r="H68" s="70"/>
      <c r="I68" s="70"/>
      <c r="J68" s="70"/>
      <c r="K68" s="104"/>
      <c r="L68" s="94" t="s">
        <v>33</v>
      </c>
      <c r="M68" s="95"/>
      <c r="N68" s="96"/>
      <c r="O68" s="134"/>
      <c r="P68" s="135"/>
      <c r="Q68" s="135"/>
      <c r="R68" s="136"/>
      <c r="S68" s="837">
        <v>4.7528711245095306E-2</v>
      </c>
      <c r="T68" s="837">
        <v>5.8429179799791828E-2</v>
      </c>
      <c r="U68" s="135"/>
      <c r="V68" s="135"/>
      <c r="W68" s="135"/>
      <c r="X68" s="135"/>
      <c r="Y68" s="137"/>
      <c r="AE68" s="4"/>
    </row>
    <row r="69" spans="1:31" ht="18.5" thickBot="1" x14ac:dyDescent="0.4">
      <c r="B69" s="69"/>
      <c r="C69" s="69"/>
      <c r="D69" s="69"/>
      <c r="E69" s="69"/>
      <c r="F69" s="69"/>
      <c r="G69" s="69"/>
      <c r="H69" s="70"/>
      <c r="I69" s="70"/>
      <c r="J69" s="70"/>
      <c r="K69" s="104"/>
      <c r="L69" s="104"/>
      <c r="M69" s="104"/>
      <c r="N69" s="104"/>
      <c r="O69" s="104"/>
      <c r="P69" s="104"/>
      <c r="Q69" s="104"/>
      <c r="R69" s="104"/>
      <c r="S69" s="104"/>
      <c r="T69" s="93"/>
      <c r="U69" s="93"/>
      <c r="V69" s="93"/>
      <c r="W69" s="93"/>
      <c r="X69" s="93"/>
      <c r="Y69"/>
      <c r="AE69" s="4"/>
    </row>
    <row r="70" spans="1:31" ht="15" thickBot="1" x14ac:dyDescent="0.4">
      <c r="B70" s="69"/>
      <c r="C70" s="69"/>
      <c r="D70" s="69"/>
      <c r="E70" s="69"/>
      <c r="F70" s="69"/>
      <c r="G70" s="69"/>
      <c r="H70" s="69"/>
      <c r="I70" s="69"/>
      <c r="J70" s="69"/>
      <c r="K70" s="69"/>
      <c r="L70" s="94" t="s">
        <v>704</v>
      </c>
      <c r="M70" s="95"/>
      <c r="N70" s="95"/>
      <c r="O70" s="96"/>
      <c r="P70" s="96"/>
      <c r="Q70" s="96"/>
      <c r="R70" s="96"/>
      <c r="S70" s="96"/>
      <c r="T70" s="838">
        <f>T66+S66*(1+S68)^(6/12)*(1+T68)^(6/12)</f>
        <v>-1.782776828830646</v>
      </c>
      <c r="U70" s="838">
        <f>U66</f>
        <v>-4.5025521203700265</v>
      </c>
      <c r="V70" s="838">
        <f>V66</f>
        <v>0.64081029550477808</v>
      </c>
      <c r="W70" s="838">
        <f>W66</f>
        <v>3.3007492642585134</v>
      </c>
      <c r="X70" s="838">
        <f>X66</f>
        <v>0</v>
      </c>
      <c r="Y70" s="839">
        <f>+SUM(T70:X70)</f>
        <v>-2.343769389437381</v>
      </c>
      <c r="AE70" s="4"/>
    </row>
    <row r="71" spans="1:31" ht="15" thickBot="1" x14ac:dyDescent="0.4">
      <c r="B71"/>
      <c r="C71"/>
      <c r="D71"/>
      <c r="E71"/>
      <c r="F71"/>
      <c r="G71"/>
      <c r="H71"/>
      <c r="I71"/>
      <c r="J71" s="97"/>
      <c r="K71" s="97"/>
      <c r="L71" s="97"/>
      <c r="M71" s="97"/>
      <c r="N71" s="98"/>
      <c r="O71" s="97"/>
      <c r="P71" s="97"/>
      <c r="Q71" s="97"/>
      <c r="R71" s="98"/>
      <c r="S71" s="98"/>
      <c r="T71" s="98"/>
      <c r="U71" s="99"/>
      <c r="V71" s="99"/>
      <c r="W71"/>
      <c r="X71"/>
      <c r="Y71"/>
    </row>
    <row r="72" spans="1:31" s="105" customFormat="1" ht="19" thickBot="1" x14ac:dyDescent="0.4">
      <c r="A72" s="1"/>
      <c r="B72" s="100" t="s">
        <v>25</v>
      </c>
      <c r="C72" s="101"/>
      <c r="D72" s="101"/>
      <c r="E72" s="101"/>
      <c r="F72" s="101"/>
      <c r="G72" s="101"/>
      <c r="H72" s="101"/>
      <c r="I72" s="102"/>
      <c r="K72" s="103"/>
      <c r="L72" s="103"/>
      <c r="M72" s="103"/>
      <c r="N72" s="104"/>
      <c r="O72" s="104"/>
      <c r="P72" s="104"/>
      <c r="Q72" s="104"/>
      <c r="R72" s="104"/>
      <c r="S72" s="104"/>
      <c r="T72" s="104"/>
      <c r="U72" s="104"/>
      <c r="V72" s="104"/>
      <c r="W72" s="104"/>
      <c r="X72" s="104"/>
      <c r="Y72"/>
      <c r="Z72"/>
      <c r="AA72"/>
      <c r="AB72"/>
      <c r="AC72"/>
      <c r="AD72"/>
      <c r="AE72"/>
    </row>
    <row r="73" spans="1:31" ht="14.5" x14ac:dyDescent="0.35">
      <c r="B73" s="106"/>
      <c r="C73" s="911" t="s">
        <v>26</v>
      </c>
      <c r="D73" s="912"/>
      <c r="E73" s="909" t="s">
        <v>23</v>
      </c>
      <c r="F73" s="909"/>
      <c r="G73" s="909"/>
      <c r="H73" s="909"/>
      <c r="I73" s="910"/>
      <c r="K73" s="97"/>
      <c r="L73" s="97"/>
      <c r="M73" s="97"/>
      <c r="N73" s="107"/>
      <c r="O73" s="108"/>
      <c r="P73" s="108"/>
      <c r="Q73" s="108"/>
      <c r="R73" s="107"/>
      <c r="S73" s="107"/>
      <c r="T73" s="107"/>
      <c r="U73" s="99"/>
      <c r="V73" s="99"/>
      <c r="W73"/>
      <c r="X73"/>
      <c r="Y73"/>
    </row>
    <row r="74" spans="1:31" s="20" customFormat="1" ht="15" thickBot="1" x14ac:dyDescent="0.4">
      <c r="A74" s="1"/>
      <c r="B74" s="106"/>
      <c r="C74" s="906" t="s">
        <v>699</v>
      </c>
      <c r="D74" s="907"/>
      <c r="E74" s="907"/>
      <c r="F74" s="907"/>
      <c r="G74" s="907"/>
      <c r="H74" s="907"/>
      <c r="I74" s="908"/>
      <c r="Z74"/>
      <c r="AA74"/>
      <c r="AB74"/>
      <c r="AC74"/>
      <c r="AD74"/>
      <c r="AE74"/>
    </row>
    <row r="75" spans="1:31" ht="15" thickBot="1" x14ac:dyDescent="0.4">
      <c r="B75" s="109"/>
      <c r="C75" s="110" t="s">
        <v>301</v>
      </c>
      <c r="D75" s="111" t="s">
        <v>303</v>
      </c>
      <c r="E75" s="112" t="s">
        <v>305</v>
      </c>
      <c r="F75" s="113" t="s">
        <v>307</v>
      </c>
      <c r="G75" s="113" t="s">
        <v>309</v>
      </c>
      <c r="H75" s="113" t="s">
        <v>311</v>
      </c>
      <c r="I75" s="114" t="s">
        <v>313</v>
      </c>
      <c r="K75" s="107"/>
      <c r="L75" s="107"/>
      <c r="M75" s="107"/>
      <c r="N75" s="64"/>
      <c r="O75" s="64"/>
      <c r="P75" s="64"/>
      <c r="Q75" s="99"/>
      <c r="R75" s="99"/>
      <c r="S75"/>
      <c r="T75"/>
      <c r="U75"/>
      <c r="V75"/>
      <c r="W75"/>
      <c r="X75"/>
      <c r="Y75"/>
    </row>
    <row r="76" spans="1:31" ht="14.5" x14ac:dyDescent="0.35">
      <c r="B76" s="115" t="s">
        <v>27</v>
      </c>
      <c r="C76" s="116">
        <v>90.98685279351001</v>
      </c>
      <c r="D76" s="116">
        <v>90.98685279351001</v>
      </c>
      <c r="E76" s="116">
        <v>108.16823544884235</v>
      </c>
      <c r="F76" s="117">
        <v>115.49450940425567</v>
      </c>
      <c r="G76" s="117">
        <v>118.1474663574687</v>
      </c>
      <c r="H76" s="117">
        <v>121.48269711346569</v>
      </c>
      <c r="I76" s="118">
        <v>122.82112859518766</v>
      </c>
      <c r="K76" s="97"/>
      <c r="L76" s="97"/>
      <c r="M76" s="97"/>
      <c r="N76" s="108"/>
      <c r="O76" s="108"/>
      <c r="P76" s="108"/>
      <c r="Q76" s="99"/>
      <c r="R76" s="99"/>
      <c r="S76"/>
      <c r="T76"/>
      <c r="U76"/>
      <c r="V76"/>
      <c r="W76"/>
      <c r="X76"/>
      <c r="Y76"/>
    </row>
    <row r="77" spans="1:31" ht="14.5" x14ac:dyDescent="0.35">
      <c r="B77" s="119" t="s">
        <v>28</v>
      </c>
      <c r="C77" s="120"/>
      <c r="D77" s="120"/>
      <c r="E77" s="120"/>
      <c r="F77" s="121"/>
      <c r="G77" s="121"/>
      <c r="H77" s="121"/>
      <c r="I77" s="122"/>
      <c r="K77" s="97"/>
      <c r="L77" s="97"/>
      <c r="M77" s="97"/>
      <c r="N77" s="107"/>
      <c r="O77" s="107"/>
      <c r="P77" s="107"/>
      <c r="Q77" s="123"/>
      <c r="R77" s="99"/>
      <c r="S77"/>
      <c r="T77"/>
      <c r="U77"/>
      <c r="V77"/>
      <c r="W77"/>
      <c r="X77"/>
      <c r="Y77"/>
    </row>
    <row r="78" spans="1:31" ht="14.5" x14ac:dyDescent="0.35">
      <c r="B78" s="124" t="s">
        <v>709</v>
      </c>
      <c r="C78" s="125">
        <v>0</v>
      </c>
      <c r="D78" s="125">
        <v>0</v>
      </c>
      <c r="E78" s="125">
        <v>1.1833995797970829</v>
      </c>
      <c r="F78" s="126">
        <v>1.2524508256559699</v>
      </c>
      <c r="G78" s="126">
        <v>1.3180929262215244</v>
      </c>
      <c r="H78" s="126">
        <v>1.3535721872341639</v>
      </c>
      <c r="I78" s="127">
        <v>1.372848928160991</v>
      </c>
      <c r="K78" s="97"/>
      <c r="L78" s="97"/>
      <c r="M78" s="97"/>
      <c r="N78" s="97"/>
      <c r="O78" s="97"/>
      <c r="P78" s="97"/>
      <c r="Q78" s="99"/>
      <c r="R78" s="123"/>
      <c r="S78"/>
      <c r="T78"/>
      <c r="U78"/>
      <c r="V78"/>
      <c r="W78"/>
      <c r="X78"/>
      <c r="Y78"/>
    </row>
    <row r="79" spans="1:31" ht="14.5" x14ac:dyDescent="0.35">
      <c r="B79" s="128" t="s">
        <v>710</v>
      </c>
      <c r="C79" s="125">
        <v>5.0335519480519474E-2</v>
      </c>
      <c r="D79" s="125">
        <v>5.0335519480519474E-2</v>
      </c>
      <c r="E79" s="125">
        <v>5.6336674523479353E-2</v>
      </c>
      <c r="F79" s="126">
        <v>5.4828961460829127E-2</v>
      </c>
      <c r="G79" s="126">
        <v>5.336159864423997E-2</v>
      </c>
      <c r="H79" s="126">
        <v>5.1933506198238596E-2</v>
      </c>
      <c r="I79" s="127">
        <v>5.0543633147572847E-2</v>
      </c>
      <c r="N79" s="97"/>
      <c r="O79" s="97"/>
      <c r="P79" s="97"/>
      <c r="Q79" s="99"/>
      <c r="R79" s="99"/>
      <c r="S79"/>
      <c r="T79"/>
      <c r="U79"/>
      <c r="V79"/>
      <c r="W79"/>
      <c r="X79"/>
      <c r="Y79"/>
    </row>
    <row r="80" spans="1:31" ht="14.5" x14ac:dyDescent="0.35">
      <c r="B80" s="128" t="s">
        <v>712</v>
      </c>
      <c r="C80" s="840">
        <v>0</v>
      </c>
      <c r="D80" s="840">
        <v>0</v>
      </c>
      <c r="E80" s="125">
        <v>0.71250000000000002</v>
      </c>
      <c r="F80" s="126">
        <v>0.71250000000000002</v>
      </c>
      <c r="G80" s="126">
        <v>0.47500000000000003</v>
      </c>
      <c r="H80" s="126">
        <v>0.47500000000000003</v>
      </c>
      <c r="I80" s="127">
        <v>0.47500000000000003</v>
      </c>
      <c r="N80" s="97"/>
      <c r="O80" s="97"/>
      <c r="P80" s="97"/>
      <c r="Q80" s="99"/>
      <c r="R80" s="99"/>
      <c r="S80"/>
      <c r="T80"/>
      <c r="U80"/>
      <c r="V80"/>
      <c r="W80"/>
      <c r="X80"/>
      <c r="Y80"/>
    </row>
    <row r="81" spans="2:25" ht="15" thickBot="1" x14ac:dyDescent="0.4">
      <c r="B81" s="141" t="s">
        <v>713</v>
      </c>
      <c r="C81" s="142">
        <v>0</v>
      </c>
      <c r="D81" s="142">
        <v>0.34882856503124998</v>
      </c>
      <c r="E81" s="841">
        <v>0</v>
      </c>
      <c r="F81" s="842">
        <v>0</v>
      </c>
      <c r="G81" s="842">
        <v>0</v>
      </c>
      <c r="H81" s="842">
        <v>0</v>
      </c>
      <c r="I81" s="843">
        <v>0</v>
      </c>
      <c r="R81" s="99"/>
      <c r="S81"/>
      <c r="T81"/>
      <c r="U81"/>
      <c r="V81"/>
      <c r="W81"/>
      <c r="X81"/>
      <c r="Y81"/>
    </row>
    <row r="82" spans="2:25" ht="15" thickBot="1" x14ac:dyDescent="0.4">
      <c r="B82" s="129" t="s">
        <v>703</v>
      </c>
      <c r="C82" s="132">
        <f t="shared" ref="C82:D82" si="17">+C76-SUM(C78:C81)</f>
        <v>90.936517274029498</v>
      </c>
      <c r="D82" s="132">
        <f t="shared" si="17"/>
        <v>90.587688708998243</v>
      </c>
      <c r="E82" s="132">
        <f>+E76-SUM(E78:E81)</f>
        <v>106.21599919452179</v>
      </c>
      <c r="F82" s="132">
        <f>+F76-SUM(F78:F81)</f>
        <v>113.47472961713886</v>
      </c>
      <c r="G82" s="132">
        <f>+G76-SUM(G78:G81)</f>
        <v>116.30101183260294</v>
      </c>
      <c r="H82" s="132">
        <f>+H76-SUM(H78:H81)</f>
        <v>119.60219142003329</v>
      </c>
      <c r="I82" s="133">
        <f>+I76-SUM(I78:I81)</f>
        <v>120.92273603387909</v>
      </c>
      <c r="X82"/>
      <c r="Y82"/>
    </row>
    <row r="83" spans="2:25" ht="14.5" x14ac:dyDescent="0.35"/>
    <row r="84" spans="2:25" ht="14.5" x14ac:dyDescent="0.35"/>
    <row r="85" spans="2:25" ht="14.5" x14ac:dyDescent="0.35"/>
    <row r="86" spans="2:25" ht="14.5" x14ac:dyDescent="0.35"/>
  </sheetData>
  <sheetProtection formatColumns="0"/>
  <mergeCells count="29">
    <mergeCell ref="O56:S56"/>
    <mergeCell ref="T56:X56"/>
    <mergeCell ref="O57:Y57"/>
    <mergeCell ref="L60:N60"/>
    <mergeCell ref="L59:N59"/>
    <mergeCell ref="L61:N61"/>
    <mergeCell ref="L62:N62"/>
    <mergeCell ref="L63:N63"/>
    <mergeCell ref="C74:I74"/>
    <mergeCell ref="L64:N64"/>
    <mergeCell ref="L65:N65"/>
    <mergeCell ref="E73:I73"/>
    <mergeCell ref="C73:D73"/>
    <mergeCell ref="C39:J39"/>
    <mergeCell ref="F40:J40"/>
    <mergeCell ref="C40:E40"/>
    <mergeCell ref="U50:Z50"/>
    <mergeCell ref="U51:Z51"/>
    <mergeCell ref="O40:S40"/>
    <mergeCell ref="L39:S39"/>
    <mergeCell ref="L40:N40"/>
    <mergeCell ref="B8:N8"/>
    <mergeCell ref="C26:D26"/>
    <mergeCell ref="F26:J26"/>
    <mergeCell ref="F27:J27"/>
    <mergeCell ref="L26:S26"/>
    <mergeCell ref="L27:N27"/>
    <mergeCell ref="O27:S27"/>
    <mergeCell ref="C27:E27"/>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31:J35 C44:I49">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796875" defaultRowHeight="14.5" x14ac:dyDescent="0.35"/>
  <cols>
    <col min="1" max="1" width="16.7265625" customWidth="1"/>
    <col min="2" max="2" width="33.81640625" style="30" customWidth="1"/>
    <col min="3" max="3" width="60.54296875" style="30" customWidth="1"/>
    <col min="4" max="4" width="38.81640625" customWidth="1"/>
    <col min="5" max="5" width="27" style="108" customWidth="1"/>
    <col min="6" max="6" width="22.1796875" customWidth="1"/>
    <col min="7" max="7" width="27.26953125" customWidth="1"/>
    <col min="8" max="8" width="28.26953125" style="30" customWidth="1"/>
    <col min="9" max="9" width="19" style="224" customWidth="1"/>
    <col min="10" max="10" width="25.7265625" style="30" customWidth="1"/>
    <col min="11" max="11" width="27.81640625" style="30" customWidth="1"/>
    <col min="12" max="12" width="27.54296875" style="225" customWidth="1"/>
    <col min="13" max="13" width="27.81640625" customWidth="1"/>
    <col min="14" max="14" width="21" customWidth="1"/>
    <col min="15" max="15" width="21" style="75" customWidth="1"/>
    <col min="16" max="17" width="22.26953125" style="75" customWidth="1"/>
    <col min="18" max="19" width="25" style="75" customWidth="1"/>
    <col min="20" max="20" width="22.54296875" style="75" customWidth="1"/>
    <col min="21" max="22" width="23.81640625" style="75" customWidth="1"/>
    <col min="23" max="23" width="26.453125" customWidth="1"/>
    <col min="24" max="24" width="37.81640625" customWidth="1"/>
    <col min="25" max="25" width="21.26953125" customWidth="1"/>
    <col min="26" max="27" width="27" customWidth="1"/>
    <col min="28" max="29" width="30.1796875" customWidth="1"/>
    <col min="30" max="30" width="25.1796875" customWidth="1"/>
    <col min="31" max="31" width="28.81640625" customWidth="1"/>
    <col min="32" max="32" width="28.54296875" customWidth="1"/>
    <col min="33" max="33" width="25.1796875" customWidth="1"/>
    <col min="34" max="35" width="30" customWidth="1"/>
    <col min="36" max="36" width="32" customWidth="1"/>
    <col min="37" max="37" width="28.54296875" customWidth="1"/>
  </cols>
  <sheetData>
    <row r="1" spans="1:38" ht="51" customHeight="1" x14ac:dyDescent="0.35">
      <c r="B1" s="143" t="s">
        <v>37</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8" ht="24.75" customHeight="1" thickBot="1" x14ac:dyDescent="0.4">
      <c r="B2"/>
      <c r="C2"/>
      <c r="E2"/>
      <c r="H2"/>
      <c r="I2"/>
      <c r="J2"/>
      <c r="K2"/>
      <c r="L2"/>
      <c r="O2"/>
      <c r="P2"/>
      <c r="Q2"/>
      <c r="R2"/>
      <c r="S2"/>
      <c r="T2"/>
      <c r="U2"/>
      <c r="V2"/>
    </row>
    <row r="3" spans="1:38" ht="24.75" customHeight="1" thickBot="1" x14ac:dyDescent="0.4">
      <c r="B3" s="145" t="s">
        <v>38</v>
      </c>
      <c r="C3" s="146">
        <v>5</v>
      </c>
      <c r="E3"/>
      <c r="H3"/>
      <c r="I3"/>
      <c r="J3"/>
      <c r="K3"/>
      <c r="L3"/>
      <c r="O3"/>
      <c r="P3"/>
      <c r="Q3"/>
      <c r="R3"/>
      <c r="S3"/>
      <c r="T3"/>
      <c r="U3"/>
      <c r="V3"/>
    </row>
    <row r="4" spans="1:38" ht="24.75" customHeight="1" thickBot="1" x14ac:dyDescent="0.4">
      <c r="B4" s="147"/>
      <c r="C4" s="148"/>
      <c r="D4" s="148"/>
      <c r="E4" s="148"/>
      <c r="F4" s="148"/>
      <c r="G4" s="148"/>
      <c r="H4" s="148"/>
      <c r="I4" s="148"/>
      <c r="J4" s="148"/>
      <c r="K4" s="148"/>
      <c r="L4" s="148"/>
      <c r="M4" s="148"/>
      <c r="N4" s="148"/>
      <c r="O4" s="148"/>
      <c r="P4" s="148"/>
      <c r="Q4" s="148"/>
      <c r="R4" s="148"/>
      <c r="S4" s="148"/>
      <c r="T4" s="148"/>
      <c r="U4" s="148"/>
      <c r="V4" s="148"/>
      <c r="W4" s="148"/>
      <c r="X4" s="148"/>
    </row>
    <row r="5" spans="1:38" ht="16" thickBot="1" x14ac:dyDescent="0.4">
      <c r="B5" s="149"/>
      <c r="C5" s="150"/>
      <c r="D5" s="150"/>
      <c r="E5" s="150"/>
      <c r="F5" s="150"/>
      <c r="G5" s="150"/>
      <c r="H5" s="150"/>
      <c r="I5" s="150"/>
      <c r="J5" s="150"/>
      <c r="K5" s="150"/>
      <c r="L5" s="150"/>
      <c r="M5" s="150"/>
      <c r="N5" s="150"/>
      <c r="O5" s="150"/>
      <c r="P5" s="150"/>
      <c r="Q5" s="150"/>
      <c r="R5" s="150"/>
      <c r="S5" s="150"/>
      <c r="T5" s="150"/>
      <c r="U5" s="150"/>
      <c r="V5" s="150"/>
      <c r="W5" s="150"/>
      <c r="X5" s="150"/>
      <c r="Y5" s="151"/>
      <c r="Z5" s="926" t="s">
        <v>39</v>
      </c>
      <c r="AA5" s="926"/>
      <c r="AB5" s="926"/>
      <c r="AC5" s="926"/>
      <c r="AD5" s="926"/>
      <c r="AE5" s="926"/>
      <c r="AF5" s="926"/>
      <c r="AG5" s="926"/>
      <c r="AH5" s="926"/>
      <c r="AI5" s="926"/>
      <c r="AJ5" s="926"/>
      <c r="AK5" s="926"/>
      <c r="AL5" s="152"/>
    </row>
    <row r="6" spans="1:38" x14ac:dyDescent="0.35">
      <c r="B6" s="153"/>
      <c r="C6" s="154"/>
      <c r="D6" s="154"/>
      <c r="E6" s="154"/>
      <c r="F6" s="154"/>
      <c r="G6" s="154"/>
      <c r="H6" s="154"/>
      <c r="I6" s="154"/>
      <c r="J6" s="154"/>
      <c r="K6" s="154"/>
      <c r="L6" s="154"/>
      <c r="M6" s="154"/>
      <c r="N6" s="154"/>
      <c r="O6" s="154"/>
      <c r="P6" s="154"/>
      <c r="Q6" s="154"/>
      <c r="R6" s="154"/>
      <c r="S6" s="154"/>
      <c r="T6" s="154"/>
      <c r="U6" s="154"/>
      <c r="V6" s="154"/>
      <c r="W6" s="154"/>
      <c r="X6" s="154"/>
      <c r="Y6" s="155"/>
      <c r="Z6" s="927" t="s">
        <v>40</v>
      </c>
      <c r="AA6" s="927"/>
      <c r="AB6" s="927"/>
      <c r="AC6" s="927"/>
      <c r="AD6" s="156" t="s">
        <v>41</v>
      </c>
      <c r="AE6" s="928" t="s">
        <v>42</v>
      </c>
      <c r="AF6" s="929"/>
      <c r="AG6" s="929"/>
      <c r="AH6" s="929"/>
      <c r="AI6" s="930"/>
      <c r="AJ6" s="937"/>
      <c r="AK6" s="937"/>
      <c r="AL6" s="921"/>
    </row>
    <row r="7" spans="1:38" x14ac:dyDescent="0.35">
      <c r="B7" s="153"/>
      <c r="C7" s="154"/>
      <c r="D7" s="154"/>
      <c r="E7" s="154"/>
      <c r="F7" s="154"/>
      <c r="G7" s="154"/>
      <c r="H7" s="154"/>
      <c r="I7" s="154"/>
      <c r="J7" s="154"/>
      <c r="K7" s="154"/>
      <c r="L7" s="154"/>
      <c r="M7" s="154"/>
      <c r="N7" s="154"/>
      <c r="O7" s="154"/>
      <c r="P7" s="154"/>
      <c r="Q7" s="154"/>
      <c r="R7" s="154"/>
      <c r="S7" s="154"/>
      <c r="T7" s="154"/>
      <c r="U7" s="154"/>
      <c r="V7" s="154"/>
      <c r="W7" s="154"/>
      <c r="X7" s="154"/>
      <c r="Y7" s="155"/>
      <c r="Z7" s="157"/>
      <c r="AA7" s="157"/>
      <c r="AB7" s="157"/>
      <c r="AC7" s="157"/>
      <c r="AD7" s="158"/>
      <c r="AE7" s="931"/>
      <c r="AF7" s="932"/>
      <c r="AG7" s="932"/>
      <c r="AH7" s="932"/>
      <c r="AI7" s="933"/>
      <c r="AJ7" s="938"/>
      <c r="AK7" s="938"/>
      <c r="AL7" s="922"/>
    </row>
    <row r="8" spans="1:38" ht="15" thickBot="1" x14ac:dyDescent="0.4">
      <c r="B8" s="76"/>
      <c r="C8" s="159"/>
      <c r="D8" s="159"/>
      <c r="E8" s="159"/>
      <c r="F8" s="159"/>
      <c r="G8" s="159"/>
      <c r="H8" s="159"/>
      <c r="I8" s="159"/>
      <c r="J8" s="159"/>
      <c r="K8" s="159"/>
      <c r="L8" s="159"/>
      <c r="M8" s="159"/>
      <c r="N8" s="159"/>
      <c r="O8" s="159"/>
      <c r="P8" s="159"/>
      <c r="Q8" s="159"/>
      <c r="R8" s="159"/>
      <c r="S8" s="159"/>
      <c r="T8" s="159"/>
      <c r="U8" s="159"/>
      <c r="V8" s="159"/>
      <c r="W8" s="159"/>
      <c r="X8" s="159"/>
      <c r="Y8" s="160"/>
      <c r="Z8" s="161" t="s">
        <v>43</v>
      </c>
      <c r="AA8" s="161" t="s">
        <v>44</v>
      </c>
      <c r="AB8" s="161" t="s">
        <v>45</v>
      </c>
      <c r="AC8" s="161" t="s">
        <v>46</v>
      </c>
      <c r="AD8" s="162" t="s">
        <v>47</v>
      </c>
      <c r="AE8" s="934"/>
      <c r="AF8" s="935"/>
      <c r="AG8" s="935"/>
      <c r="AH8" s="935"/>
      <c r="AI8" s="936"/>
      <c r="AJ8" s="939"/>
      <c r="AK8" s="939"/>
      <c r="AL8" s="923"/>
    </row>
    <row r="9" spans="1:38" s="182" customFormat="1" ht="40.5" customHeight="1" x14ac:dyDescent="0.35">
      <c r="A9" s="163"/>
      <c r="B9" s="164" t="s">
        <v>48</v>
      </c>
      <c r="C9" s="165" t="s">
        <v>49</v>
      </c>
      <c r="D9" s="166" t="s">
        <v>50</v>
      </c>
      <c r="E9" s="167" t="s">
        <v>51</v>
      </c>
      <c r="F9" s="168" t="s">
        <v>52</v>
      </c>
      <c r="G9" s="169" t="s">
        <v>53</v>
      </c>
      <c r="H9" s="169" t="s">
        <v>54</v>
      </c>
      <c r="I9" s="169" t="s">
        <v>55</v>
      </c>
      <c r="J9" s="169" t="s">
        <v>56</v>
      </c>
      <c r="K9" s="169" t="s">
        <v>57</v>
      </c>
      <c r="L9" s="170" t="s">
        <v>58</v>
      </c>
      <c r="M9" s="171" t="s">
        <v>59</v>
      </c>
      <c r="N9" s="171" t="s">
        <v>60</v>
      </c>
      <c r="O9" s="172" t="s">
        <v>61</v>
      </c>
      <c r="P9" s="173" t="s">
        <v>62</v>
      </c>
      <c r="Q9" s="174" t="s">
        <v>63</v>
      </c>
      <c r="R9" s="174" t="s">
        <v>64</v>
      </c>
      <c r="S9" s="174" t="s">
        <v>65</v>
      </c>
      <c r="T9" s="174" t="s">
        <v>66</v>
      </c>
      <c r="U9" s="175" t="s">
        <v>67</v>
      </c>
      <c r="V9" s="175" t="s">
        <v>68</v>
      </c>
      <c r="W9" s="175" t="s">
        <v>69</v>
      </c>
      <c r="X9" s="175" t="s">
        <v>70</v>
      </c>
      <c r="Y9" s="175" t="s">
        <v>71</v>
      </c>
      <c r="Z9" s="176" t="s">
        <v>72</v>
      </c>
      <c r="AA9" s="176" t="s">
        <v>73</v>
      </c>
      <c r="AB9" s="176" t="s">
        <v>74</v>
      </c>
      <c r="AC9" s="176" t="s">
        <v>75</v>
      </c>
      <c r="AD9" s="176" t="s">
        <v>76</v>
      </c>
      <c r="AE9" s="177" t="s">
        <v>77</v>
      </c>
      <c r="AF9" s="178" t="s">
        <v>78</v>
      </c>
      <c r="AG9" s="178" t="s">
        <v>79</v>
      </c>
      <c r="AH9" s="178" t="s">
        <v>80</v>
      </c>
      <c r="AI9" s="179" t="s">
        <v>81</v>
      </c>
      <c r="AJ9" s="180" t="s">
        <v>82</v>
      </c>
      <c r="AK9" s="180" t="s">
        <v>83</v>
      </c>
      <c r="AL9" s="181" t="s">
        <v>84</v>
      </c>
    </row>
    <row r="10" spans="1:38" x14ac:dyDescent="0.35">
      <c r="B10" s="188" t="s">
        <v>96</v>
      </c>
      <c r="C10" s="189" t="s">
        <v>97</v>
      </c>
      <c r="D10" s="202">
        <v>91064651118</v>
      </c>
      <c r="E10" s="190" t="s">
        <v>98</v>
      </c>
      <c r="F10" s="191" t="s">
        <v>85</v>
      </c>
      <c r="G10" s="192" t="s">
        <v>86</v>
      </c>
      <c r="H10" s="192" t="s">
        <v>92</v>
      </c>
      <c r="I10" s="193" t="s">
        <v>95</v>
      </c>
      <c r="J10" s="194" t="s">
        <v>87</v>
      </c>
      <c r="K10" s="193" t="s">
        <v>93</v>
      </c>
      <c r="L10" s="195">
        <v>5</v>
      </c>
      <c r="M10" s="196">
        <v>5</v>
      </c>
      <c r="N10" s="197">
        <v>5</v>
      </c>
      <c r="O10" s="198">
        <v>2</v>
      </c>
      <c r="P10" s="199" t="s">
        <v>99</v>
      </c>
      <c r="Q10" s="200" t="s">
        <v>100</v>
      </c>
      <c r="R10" s="200" t="s">
        <v>101</v>
      </c>
      <c r="S10" s="200" t="s">
        <v>85</v>
      </c>
      <c r="T10" s="201">
        <v>3006</v>
      </c>
      <c r="U10" s="203" t="s">
        <v>102</v>
      </c>
      <c r="V10" s="200"/>
      <c r="W10" s="200" t="s">
        <v>103</v>
      </c>
      <c r="X10" s="200" t="s">
        <v>85</v>
      </c>
      <c r="Y10" s="201">
        <v>8001</v>
      </c>
      <c r="Z10" s="183" t="s">
        <v>89</v>
      </c>
      <c r="AA10" s="184" t="s">
        <v>91</v>
      </c>
      <c r="AB10" s="184" t="s">
        <v>91</v>
      </c>
      <c r="AC10" s="184" t="s">
        <v>91</v>
      </c>
      <c r="AD10" s="184" t="s">
        <v>89</v>
      </c>
      <c r="AE10" s="183" t="s">
        <v>43</v>
      </c>
      <c r="AF10" s="184" t="s">
        <v>44</v>
      </c>
      <c r="AG10" s="184" t="s">
        <v>45</v>
      </c>
      <c r="AH10" s="184" t="s">
        <v>90</v>
      </c>
      <c r="AI10" s="184"/>
      <c r="AJ10" s="185" t="s">
        <v>91</v>
      </c>
      <c r="AK10" s="186" t="s">
        <v>91</v>
      </c>
      <c r="AL10" s="187" t="str">
        <f t="shared" ref="AL10:AL15" si="0">B10</f>
        <v>AusNet (D)</v>
      </c>
    </row>
    <row r="11" spans="1:38" x14ac:dyDescent="0.35">
      <c r="B11" s="206" t="s">
        <v>107</v>
      </c>
      <c r="C11" s="207" t="s">
        <v>108</v>
      </c>
      <c r="D11" s="208">
        <v>11222333444</v>
      </c>
      <c r="E11" s="209" t="s">
        <v>104</v>
      </c>
      <c r="F11" s="216" t="s">
        <v>85</v>
      </c>
      <c r="G11" s="210" t="s">
        <v>86</v>
      </c>
      <c r="H11" s="210" t="s">
        <v>92</v>
      </c>
      <c r="I11" s="210" t="s">
        <v>95</v>
      </c>
      <c r="J11" s="217" t="s">
        <v>87</v>
      </c>
      <c r="K11" s="210" t="s">
        <v>93</v>
      </c>
      <c r="L11" s="218">
        <v>5</v>
      </c>
      <c r="M11" s="219">
        <v>5</v>
      </c>
      <c r="N11" s="220">
        <v>5</v>
      </c>
      <c r="O11" s="211">
        <v>2</v>
      </c>
      <c r="P11" s="212" t="s">
        <v>105</v>
      </c>
      <c r="Q11" s="213"/>
      <c r="R11" s="213" t="s">
        <v>88</v>
      </c>
      <c r="S11" s="213" t="s">
        <v>85</v>
      </c>
      <c r="T11" s="214">
        <v>3000</v>
      </c>
      <c r="U11" s="212" t="s">
        <v>106</v>
      </c>
      <c r="V11" s="213"/>
      <c r="W11" s="213" t="s">
        <v>88</v>
      </c>
      <c r="X11" s="213" t="s">
        <v>85</v>
      </c>
      <c r="Y11" s="214">
        <v>3000</v>
      </c>
      <c r="Z11" s="183" t="s">
        <v>89</v>
      </c>
      <c r="AA11" s="184" t="s">
        <v>89</v>
      </c>
      <c r="AB11" s="184" t="s">
        <v>89</v>
      </c>
      <c r="AC11" s="184" t="s">
        <v>89</v>
      </c>
      <c r="AD11" s="184" t="s">
        <v>89</v>
      </c>
      <c r="AE11" s="183" t="s">
        <v>43</v>
      </c>
      <c r="AF11" s="184" t="s">
        <v>44</v>
      </c>
      <c r="AG11" s="184" t="s">
        <v>45</v>
      </c>
      <c r="AH11" s="184" t="s">
        <v>90</v>
      </c>
      <c r="AI11" s="184"/>
      <c r="AJ11" s="185" t="s">
        <v>91</v>
      </c>
      <c r="AK11" s="186" t="s">
        <v>91</v>
      </c>
      <c r="AL11" s="215" t="str">
        <f t="shared" si="0"/>
        <v>Australian Distribution Co. (Vic)</v>
      </c>
    </row>
    <row r="12" spans="1:38" x14ac:dyDescent="0.35">
      <c r="B12" s="188" t="s">
        <v>109</v>
      </c>
      <c r="C12" s="189" t="s">
        <v>109</v>
      </c>
      <c r="D12" s="202">
        <v>76064651056</v>
      </c>
      <c r="E12" s="190" t="s">
        <v>110</v>
      </c>
      <c r="F12" s="191" t="s">
        <v>85</v>
      </c>
      <c r="G12" s="192" t="s">
        <v>86</v>
      </c>
      <c r="H12" s="192" t="s">
        <v>92</v>
      </c>
      <c r="I12" s="193" t="s">
        <v>95</v>
      </c>
      <c r="J12" s="194" t="s">
        <v>87</v>
      </c>
      <c r="K12" s="193" t="s">
        <v>93</v>
      </c>
      <c r="L12" s="195">
        <v>5</v>
      </c>
      <c r="M12" s="196">
        <v>5</v>
      </c>
      <c r="N12" s="197">
        <v>5</v>
      </c>
      <c r="O12" s="198">
        <v>2</v>
      </c>
      <c r="P12" s="199" t="s">
        <v>111</v>
      </c>
      <c r="Q12" s="200"/>
      <c r="R12" s="200" t="s">
        <v>88</v>
      </c>
      <c r="S12" s="200" t="s">
        <v>85</v>
      </c>
      <c r="T12" s="201">
        <v>3000</v>
      </c>
      <c r="U12" s="199" t="s">
        <v>112</v>
      </c>
      <c r="V12" s="200"/>
      <c r="W12" s="200" t="s">
        <v>88</v>
      </c>
      <c r="X12" s="200" t="s">
        <v>85</v>
      </c>
      <c r="Y12" s="221">
        <v>8001</v>
      </c>
      <c r="Z12" s="183" t="s">
        <v>91</v>
      </c>
      <c r="AA12" s="184" t="s">
        <v>91</v>
      </c>
      <c r="AB12" s="184" t="s">
        <v>89</v>
      </c>
      <c r="AC12" s="184" t="s">
        <v>89</v>
      </c>
      <c r="AD12" s="184" t="s">
        <v>89</v>
      </c>
      <c r="AE12" s="183" t="s">
        <v>43</v>
      </c>
      <c r="AF12" s="184" t="s">
        <v>44</v>
      </c>
      <c r="AG12" s="184" t="s">
        <v>45</v>
      </c>
      <c r="AH12" s="184" t="s">
        <v>90</v>
      </c>
      <c r="AI12" s="184"/>
      <c r="AJ12" s="185" t="s">
        <v>91</v>
      </c>
      <c r="AK12" s="186" t="s">
        <v>91</v>
      </c>
      <c r="AL12" s="187" t="str">
        <f t="shared" si="0"/>
        <v>CitiPower</v>
      </c>
    </row>
    <row r="13" spans="1:38" x14ac:dyDescent="0.35">
      <c r="B13" s="188" t="s">
        <v>113</v>
      </c>
      <c r="C13" s="189" t="s">
        <v>113</v>
      </c>
      <c r="D13" s="202">
        <v>82064651083</v>
      </c>
      <c r="E13" s="190" t="s">
        <v>114</v>
      </c>
      <c r="F13" s="191" t="s">
        <v>85</v>
      </c>
      <c r="G13" s="192" t="s">
        <v>86</v>
      </c>
      <c r="H13" s="192" t="s">
        <v>92</v>
      </c>
      <c r="I13" s="193" t="s">
        <v>95</v>
      </c>
      <c r="J13" s="194" t="s">
        <v>87</v>
      </c>
      <c r="K13" s="193" t="s">
        <v>93</v>
      </c>
      <c r="L13" s="195">
        <v>5</v>
      </c>
      <c r="M13" s="196">
        <v>5</v>
      </c>
      <c r="N13" s="197">
        <v>5</v>
      </c>
      <c r="O13" s="198">
        <v>2</v>
      </c>
      <c r="P13" s="199" t="s">
        <v>115</v>
      </c>
      <c r="Q13" s="200" t="s">
        <v>116</v>
      </c>
      <c r="R13" s="200" t="s">
        <v>88</v>
      </c>
      <c r="S13" s="200" t="s">
        <v>85</v>
      </c>
      <c r="T13" s="201">
        <v>3000</v>
      </c>
      <c r="U13" s="199" t="s">
        <v>117</v>
      </c>
      <c r="V13" s="200"/>
      <c r="W13" s="200" t="s">
        <v>88</v>
      </c>
      <c r="X13" s="200" t="s">
        <v>85</v>
      </c>
      <c r="Y13" s="221">
        <v>8001</v>
      </c>
      <c r="Z13" s="183" t="s">
        <v>89</v>
      </c>
      <c r="AA13" s="184" t="s">
        <v>91</v>
      </c>
      <c r="AB13" s="184" t="s">
        <v>91</v>
      </c>
      <c r="AC13" s="184" t="s">
        <v>89</v>
      </c>
      <c r="AD13" s="184" t="s">
        <v>89</v>
      </c>
      <c r="AE13" s="183" t="s">
        <v>43</v>
      </c>
      <c r="AF13" s="184" t="s">
        <v>44</v>
      </c>
      <c r="AG13" s="184" t="s">
        <v>45</v>
      </c>
      <c r="AH13" s="184" t="s">
        <v>90</v>
      </c>
      <c r="AI13" s="184"/>
      <c r="AJ13" s="185" t="s">
        <v>91</v>
      </c>
      <c r="AK13" s="186" t="s">
        <v>91</v>
      </c>
      <c r="AL13" s="187" t="str">
        <f t="shared" si="0"/>
        <v>Jemena Electricity</v>
      </c>
    </row>
    <row r="14" spans="1:38" x14ac:dyDescent="0.35">
      <c r="B14" s="188" t="s">
        <v>119</v>
      </c>
      <c r="C14" s="189" t="s">
        <v>119</v>
      </c>
      <c r="D14" s="202">
        <v>89064651109</v>
      </c>
      <c r="E14" s="190" t="s">
        <v>120</v>
      </c>
      <c r="F14" s="191" t="s">
        <v>85</v>
      </c>
      <c r="G14" s="192" t="s">
        <v>86</v>
      </c>
      <c r="H14" s="192" t="s">
        <v>92</v>
      </c>
      <c r="I14" s="193" t="s">
        <v>95</v>
      </c>
      <c r="J14" s="194" t="s">
        <v>87</v>
      </c>
      <c r="K14" s="193" t="s">
        <v>93</v>
      </c>
      <c r="L14" s="195">
        <v>5</v>
      </c>
      <c r="M14" s="196">
        <v>5</v>
      </c>
      <c r="N14" s="197">
        <v>5</v>
      </c>
      <c r="O14" s="198">
        <v>2</v>
      </c>
      <c r="P14" s="199" t="s">
        <v>111</v>
      </c>
      <c r="Q14" s="200"/>
      <c r="R14" s="200" t="s">
        <v>88</v>
      </c>
      <c r="S14" s="200" t="s">
        <v>85</v>
      </c>
      <c r="T14" s="201">
        <v>3000</v>
      </c>
      <c r="U14" s="199" t="s">
        <v>121</v>
      </c>
      <c r="V14" s="200"/>
      <c r="W14" s="200" t="s">
        <v>88</v>
      </c>
      <c r="X14" s="200" t="s">
        <v>85</v>
      </c>
      <c r="Y14" s="201">
        <v>8001</v>
      </c>
      <c r="Z14" s="183" t="s">
        <v>89</v>
      </c>
      <c r="AA14" s="184" t="s">
        <v>91</v>
      </c>
      <c r="AB14" s="184" t="s">
        <v>91</v>
      </c>
      <c r="AC14" s="184" t="s">
        <v>91</v>
      </c>
      <c r="AD14" s="184" t="s">
        <v>89</v>
      </c>
      <c r="AE14" s="183" t="s">
        <v>43</v>
      </c>
      <c r="AF14" s="184" t="s">
        <v>44</v>
      </c>
      <c r="AG14" s="184" t="s">
        <v>45</v>
      </c>
      <c r="AH14" s="184" t="s">
        <v>90</v>
      </c>
      <c r="AI14" s="184"/>
      <c r="AJ14" s="185" t="s">
        <v>91</v>
      </c>
      <c r="AK14" s="186" t="s">
        <v>91</v>
      </c>
      <c r="AL14" s="187" t="str">
        <f t="shared" si="0"/>
        <v>Powercor Australia</v>
      </c>
    </row>
    <row r="15" spans="1:38" x14ac:dyDescent="0.35">
      <c r="B15" s="188" t="s">
        <v>122</v>
      </c>
      <c r="C15" s="189" t="s">
        <v>122</v>
      </c>
      <c r="D15" s="202">
        <v>70064651029</v>
      </c>
      <c r="E15" s="190" t="s">
        <v>123</v>
      </c>
      <c r="F15" s="191" t="s">
        <v>85</v>
      </c>
      <c r="G15" s="192" t="s">
        <v>86</v>
      </c>
      <c r="H15" s="192" t="s">
        <v>92</v>
      </c>
      <c r="I15" s="193" t="s">
        <v>95</v>
      </c>
      <c r="J15" s="194" t="s">
        <v>87</v>
      </c>
      <c r="K15" s="193" t="s">
        <v>93</v>
      </c>
      <c r="L15" s="195">
        <v>5</v>
      </c>
      <c r="M15" s="204">
        <v>5</v>
      </c>
      <c r="N15" s="205">
        <v>5</v>
      </c>
      <c r="O15" s="198">
        <v>2</v>
      </c>
      <c r="P15" s="199" t="s">
        <v>118</v>
      </c>
      <c r="Q15" s="200"/>
      <c r="R15" s="200" t="s">
        <v>124</v>
      </c>
      <c r="S15" s="200" t="s">
        <v>85</v>
      </c>
      <c r="T15" s="201">
        <v>3149</v>
      </c>
      <c r="U15" s="199" t="s">
        <v>125</v>
      </c>
      <c r="V15" s="200"/>
      <c r="W15" s="200" t="s">
        <v>124</v>
      </c>
      <c r="X15" s="200" t="s">
        <v>85</v>
      </c>
      <c r="Y15" s="201">
        <v>3170</v>
      </c>
      <c r="Z15" s="183" t="s">
        <v>89</v>
      </c>
      <c r="AA15" s="184" t="s">
        <v>91</v>
      </c>
      <c r="AB15" s="184" t="s">
        <v>91</v>
      </c>
      <c r="AC15" s="184" t="s">
        <v>89</v>
      </c>
      <c r="AD15" s="184" t="s">
        <v>89</v>
      </c>
      <c r="AE15" s="183" t="s">
        <v>43</v>
      </c>
      <c r="AF15" s="184" t="s">
        <v>44</v>
      </c>
      <c r="AG15" s="184" t="s">
        <v>45</v>
      </c>
      <c r="AH15" s="184" t="s">
        <v>90</v>
      </c>
      <c r="AI15" s="184"/>
      <c r="AJ15" s="185" t="s">
        <v>91</v>
      </c>
      <c r="AK15" s="186" t="s">
        <v>91</v>
      </c>
      <c r="AL15" s="222" t="str">
        <f t="shared" si="0"/>
        <v>United Energy</v>
      </c>
    </row>
    <row r="16" spans="1:38" x14ac:dyDescent="0.35">
      <c r="C16" s="223"/>
      <c r="W16" s="75"/>
    </row>
    <row r="17" spans="2:24" ht="15" thickBot="1" x14ac:dyDescent="0.4">
      <c r="C17" s="223"/>
      <c r="H17"/>
      <c r="I17"/>
      <c r="J17"/>
      <c r="K17"/>
      <c r="W17" s="75"/>
    </row>
    <row r="18" spans="2:24" ht="47.25" customHeight="1" thickBot="1" x14ac:dyDescent="0.4">
      <c r="B18" s="924" t="s">
        <v>126</v>
      </c>
      <c r="C18" s="925"/>
      <c r="D18" s="925"/>
      <c r="E18" s="925"/>
      <c r="H18"/>
      <c r="I18"/>
      <c r="J18"/>
      <c r="K18"/>
      <c r="L18" s="30"/>
      <c r="M18" s="30"/>
      <c r="N18" s="225"/>
      <c r="O18"/>
      <c r="W18" s="75"/>
      <c r="X18" s="75"/>
    </row>
    <row r="19" spans="2:24" ht="31.5" customHeight="1" thickBot="1" x14ac:dyDescent="0.4">
      <c r="B19" s="226" t="s">
        <v>127</v>
      </c>
      <c r="C19" s="226" t="s">
        <v>128</v>
      </c>
      <c r="D19" s="227" t="s">
        <v>129</v>
      </c>
      <c r="E19" s="228" t="s">
        <v>130</v>
      </c>
      <c r="H19"/>
      <c r="I19"/>
      <c r="J19"/>
      <c r="K19"/>
      <c r="L19" s="229"/>
      <c r="M19" s="229"/>
      <c r="N19" s="230"/>
      <c r="O19"/>
      <c r="W19" s="75"/>
      <c r="X19" s="75"/>
    </row>
    <row r="20" spans="2:24" x14ac:dyDescent="0.35">
      <c r="B20" s="231" t="s">
        <v>131</v>
      </c>
      <c r="C20" s="232" t="s">
        <v>132</v>
      </c>
      <c r="D20" s="233" t="e">
        <f>IF(dms_MultiYear_ResponseFlag="yes","NEW HISTORICAL ANNUAL REPORTING","ANNUAL REPORTING")</f>
        <v>#NAME?</v>
      </c>
      <c r="E20" s="234">
        <v>1</v>
      </c>
      <c r="H20"/>
      <c r="I20"/>
      <c r="J20"/>
      <c r="K20"/>
      <c r="L20" s="30"/>
      <c r="M20" s="30"/>
      <c r="N20" s="225"/>
      <c r="O20"/>
      <c r="W20" s="75"/>
      <c r="X20" s="75"/>
    </row>
    <row r="21" spans="2:24" x14ac:dyDescent="0.35">
      <c r="B21" s="235" t="s">
        <v>133</v>
      </c>
      <c r="C21" s="236" t="s">
        <v>134</v>
      </c>
      <c r="D21" s="237" t="e">
        <f>IF(dms_MultiYear_ResponseFlag="yes","NEW HISTORICAL CATEGORY ANALYSIS","CATEGORY ANALYSIS")</f>
        <v>#NAME?</v>
      </c>
      <c r="E21" s="238">
        <v>1</v>
      </c>
      <c r="H21"/>
      <c r="I21"/>
      <c r="J21"/>
      <c r="K21"/>
      <c r="L21" s="30"/>
      <c r="M21" s="30"/>
      <c r="N21" s="225"/>
      <c r="O21"/>
      <c r="W21" s="75"/>
      <c r="X21" s="75"/>
    </row>
    <row r="22" spans="2:24" x14ac:dyDescent="0.35">
      <c r="B22" s="235" t="s">
        <v>135</v>
      </c>
      <c r="C22" s="236" t="s">
        <v>136</v>
      </c>
      <c r="D22" s="237" t="s">
        <v>137</v>
      </c>
      <c r="E22" s="238">
        <v>5</v>
      </c>
      <c r="H22"/>
      <c r="I22"/>
      <c r="J22"/>
      <c r="K22"/>
      <c r="L22"/>
      <c r="M22" s="30"/>
      <c r="N22" s="225"/>
      <c r="O22"/>
      <c r="W22" s="75"/>
      <c r="X22" s="75"/>
    </row>
    <row r="23" spans="2:24" x14ac:dyDescent="0.35">
      <c r="B23" s="235" t="s">
        <v>138</v>
      </c>
      <c r="C23" s="236" t="s">
        <v>138</v>
      </c>
      <c r="D23" s="237" t="s">
        <v>138</v>
      </c>
      <c r="E23" s="238">
        <v>5</v>
      </c>
      <c r="H23"/>
      <c r="I23"/>
      <c r="J23"/>
      <c r="K23"/>
      <c r="L23"/>
      <c r="M23" s="30"/>
      <c r="N23" s="225"/>
      <c r="O23"/>
      <c r="W23" s="75"/>
      <c r="X23" s="75"/>
    </row>
    <row r="24" spans="2:24" x14ac:dyDescent="0.35">
      <c r="B24" s="235" t="s">
        <v>139</v>
      </c>
      <c r="C24" s="236" t="s">
        <v>140</v>
      </c>
      <c r="D24" s="237" t="e">
        <f>IF(dms_MultiYear_ResponseFlag="yes","NEW HISTORICAL ECONOMIC BENCHMARKING","ECONOMIC BENCHMARKING")</f>
        <v>#NAME?</v>
      </c>
      <c r="E24" s="239">
        <v>1</v>
      </c>
      <c r="H24"/>
      <c r="I24"/>
      <c r="J24"/>
      <c r="K24"/>
      <c r="L24"/>
      <c r="M24" s="30"/>
      <c r="N24" s="225"/>
      <c r="O24"/>
      <c r="W24" s="75"/>
      <c r="X24" s="75"/>
    </row>
    <row r="25" spans="2:24" x14ac:dyDescent="0.35">
      <c r="B25" s="235" t="s">
        <v>141</v>
      </c>
      <c r="C25" s="236" t="s">
        <v>142</v>
      </c>
      <c r="D25" s="237" t="s">
        <v>143</v>
      </c>
      <c r="E25" s="239">
        <v>5</v>
      </c>
      <c r="H25"/>
      <c r="I25"/>
      <c r="J25"/>
      <c r="K25"/>
      <c r="L25"/>
      <c r="M25" s="30"/>
      <c r="N25" s="225"/>
      <c r="O25"/>
      <c r="W25" s="75"/>
      <c r="X25" s="75"/>
    </row>
    <row r="26" spans="2:24" x14ac:dyDescent="0.35">
      <c r="B26" s="235" t="s">
        <v>144</v>
      </c>
      <c r="C26" s="236" t="s">
        <v>145</v>
      </c>
      <c r="D26" s="237" t="s">
        <v>146</v>
      </c>
      <c r="E26" s="239">
        <v>5</v>
      </c>
      <c r="H26"/>
      <c r="I26"/>
      <c r="J26"/>
      <c r="K26"/>
      <c r="L26"/>
      <c r="M26" s="30"/>
      <c r="N26" s="225"/>
      <c r="O26"/>
      <c r="W26" s="75"/>
      <c r="X26" s="75"/>
    </row>
    <row r="27" spans="2:24" x14ac:dyDescent="0.35">
      <c r="B27" s="235" t="s">
        <v>147</v>
      </c>
      <c r="C27" s="236" t="s">
        <v>147</v>
      </c>
      <c r="D27" s="237" t="s">
        <v>148</v>
      </c>
      <c r="E27" s="239">
        <v>5</v>
      </c>
      <c r="H27"/>
      <c r="I27"/>
      <c r="J27"/>
      <c r="K27"/>
      <c r="L27"/>
      <c r="M27" s="30"/>
      <c r="N27" s="225"/>
      <c r="O27"/>
      <c r="W27" s="75"/>
      <c r="X27" s="75"/>
    </row>
    <row r="28" spans="2:24" x14ac:dyDescent="0.35">
      <c r="B28" s="235" t="s">
        <v>149</v>
      </c>
      <c r="C28" s="236" t="s">
        <v>150</v>
      </c>
      <c r="D28" s="237" t="s">
        <v>151</v>
      </c>
      <c r="E28" s="239">
        <v>5</v>
      </c>
      <c r="H28"/>
      <c r="I28"/>
      <c r="J28"/>
      <c r="K28"/>
      <c r="L28"/>
      <c r="M28" s="30"/>
      <c r="N28" s="225"/>
      <c r="O28"/>
      <c r="W28" s="75"/>
      <c r="X28" s="75"/>
    </row>
    <row r="29" spans="2:24" x14ac:dyDescent="0.35">
      <c r="B29" s="235" t="s">
        <v>152</v>
      </c>
      <c r="C29" s="236" t="s">
        <v>153</v>
      </c>
      <c r="D29" s="237" t="s">
        <v>154</v>
      </c>
      <c r="E29" s="239">
        <v>5</v>
      </c>
      <c r="H29"/>
      <c r="I29"/>
      <c r="J29"/>
      <c r="K29"/>
      <c r="L29"/>
      <c r="M29" s="30"/>
      <c r="N29" s="225"/>
      <c r="O29"/>
      <c r="W29" s="75"/>
      <c r="X29" s="75"/>
    </row>
    <row r="30" spans="2:24" x14ac:dyDescent="0.35">
      <c r="B30" s="235" t="s">
        <v>155</v>
      </c>
      <c r="C30" s="236" t="s">
        <v>156</v>
      </c>
      <c r="D30" s="237" t="s">
        <v>157</v>
      </c>
      <c r="E30" s="239">
        <v>5</v>
      </c>
      <c r="H30"/>
      <c r="I30"/>
      <c r="J30"/>
      <c r="K30"/>
      <c r="L30"/>
      <c r="M30" s="30"/>
      <c r="N30" s="225"/>
      <c r="O30"/>
      <c r="W30" s="75"/>
      <c r="X30" s="75"/>
    </row>
    <row r="31" spans="2:24" x14ac:dyDescent="0.35">
      <c r="B31" s="235" t="s">
        <v>158</v>
      </c>
      <c r="C31" s="236" t="s">
        <v>159</v>
      </c>
      <c r="D31" s="237" t="s">
        <v>160</v>
      </c>
      <c r="E31" s="239">
        <v>5</v>
      </c>
      <c r="H31"/>
      <c r="I31"/>
      <c r="J31"/>
      <c r="K31"/>
      <c r="L31"/>
      <c r="M31" s="30"/>
      <c r="N31" s="225"/>
      <c r="O31"/>
      <c r="W31" s="75"/>
      <c r="X31" s="75"/>
    </row>
    <row r="32" spans="2:24" x14ac:dyDescent="0.35">
      <c r="B32" s="235" t="s">
        <v>33</v>
      </c>
      <c r="C32" s="236" t="s">
        <v>161</v>
      </c>
      <c r="D32" s="237" t="s">
        <v>162</v>
      </c>
      <c r="E32" s="239">
        <v>1</v>
      </c>
      <c r="H32"/>
      <c r="I32"/>
      <c r="J32"/>
      <c r="K32"/>
      <c r="L32"/>
      <c r="M32" s="30"/>
      <c r="N32" s="225"/>
      <c r="O32"/>
      <c r="W32" s="75"/>
      <c r="X32" s="75"/>
    </row>
    <row r="33" spans="2:21" s="75" customFormat="1" x14ac:dyDescent="0.35">
      <c r="E33" s="240"/>
    </row>
    <row r="34" spans="2:21" x14ac:dyDescent="0.35">
      <c r="B34"/>
      <c r="C34" s="75"/>
      <c r="D34" s="75"/>
      <c r="E34" s="240"/>
      <c r="F34" s="75"/>
      <c r="G34" s="75"/>
      <c r="H34" s="75"/>
      <c r="I34" s="75"/>
      <c r="J34" s="75"/>
      <c r="K34" s="75"/>
      <c r="L34" s="75"/>
      <c r="O34"/>
      <c r="P34"/>
      <c r="Q34"/>
      <c r="R34"/>
      <c r="S34"/>
      <c r="T34"/>
      <c r="U34"/>
    </row>
    <row r="35" spans="2:21" x14ac:dyDescent="0.35">
      <c r="C35" s="241"/>
      <c r="E35" s="242"/>
    </row>
    <row r="36" spans="2:21" ht="15" thickBot="1" x14ac:dyDescent="0.4">
      <c r="B36" s="243" t="s">
        <v>87</v>
      </c>
      <c r="C36" s="244" t="s">
        <v>94</v>
      </c>
      <c r="E36" s="245" t="s">
        <v>163</v>
      </c>
      <c r="G36" s="245" t="s">
        <v>164</v>
      </c>
      <c r="H36"/>
      <c r="I36" s="246" t="s">
        <v>165</v>
      </c>
    </row>
    <row r="37" spans="2:21" ht="15" thickBot="1" x14ac:dyDescent="0.4">
      <c r="B37" s="247" t="s">
        <v>166</v>
      </c>
      <c r="C37" s="248" t="s">
        <v>167</v>
      </c>
      <c r="D37" s="249" t="s">
        <v>168</v>
      </c>
      <c r="E37" s="250" t="e">
        <f ca="1">INDEX(INDIRECT(dms_RPT),dms_PRCP_start_row)</f>
        <v>#NAME?</v>
      </c>
      <c r="F37" s="249" t="s">
        <v>169</v>
      </c>
      <c r="G37" s="250" t="e">
        <f ca="1">INDEX(INDIRECT(dms_RPT),dms_CRCP_start_row)</f>
        <v>#NAME?</v>
      </c>
      <c r="H37" s="251" t="str">
        <f>FRCP_y1</f>
        <v>2026-27</v>
      </c>
      <c r="I37" s="250" t="e">
        <f ca="1">INDEX(INDIRECT(dms_RPT),dms_FRCP_start_row)</f>
        <v>#NAME?</v>
      </c>
    </row>
    <row r="38" spans="2:21" x14ac:dyDescent="0.35">
      <c r="B38" s="252" t="s">
        <v>170</v>
      </c>
      <c r="C38" s="253" t="s">
        <v>171</v>
      </c>
      <c r="D38" s="254" t="s">
        <v>172</v>
      </c>
      <c r="E38" s="255" t="e">
        <f ca="1">INDEX(INDIRECT(dms_RPT),dms_PRCP_start_row+1)</f>
        <v>#NAME?</v>
      </c>
      <c r="F38" s="254" t="s">
        <v>173</v>
      </c>
      <c r="G38" s="256" t="e">
        <f ca="1">INDEX(INDIRECT(dms_RPT),dms_CRCP_start_row+1)</f>
        <v>#NAME?</v>
      </c>
      <c r="H38" s="257" t="s">
        <v>174</v>
      </c>
      <c r="I38" s="256" t="e">
        <f ca="1">INDEX(INDIRECT(dms_RPT),dms_FRCP_start_row+1)</f>
        <v>#NAME?</v>
      </c>
    </row>
    <row r="39" spans="2:21" x14ac:dyDescent="0.35">
      <c r="B39" s="252" t="s">
        <v>175</v>
      </c>
      <c r="C39" s="253" t="s">
        <v>176</v>
      </c>
      <c r="D39" s="254" t="s">
        <v>177</v>
      </c>
      <c r="E39" s="256" t="e">
        <f ca="1">INDEX(INDIRECT(dms_RPT),dms_PRCP_start_row+2)</f>
        <v>#NAME?</v>
      </c>
      <c r="F39" s="254" t="s">
        <v>178</v>
      </c>
      <c r="G39" s="256" t="e">
        <f ca="1">INDEX(INDIRECT(dms_RPT),dms_CRCP_start_row+2)</f>
        <v>#NAME?</v>
      </c>
      <c r="H39" s="254" t="s">
        <v>179</v>
      </c>
      <c r="I39" s="256" t="e">
        <f ca="1">INDEX(INDIRECT(dms_RPT),dms_FRCP_start_row+2)</f>
        <v>#NAME?</v>
      </c>
    </row>
    <row r="40" spans="2:21" x14ac:dyDescent="0.35">
      <c r="B40" s="252" t="s">
        <v>180</v>
      </c>
      <c r="C40" s="253" t="s">
        <v>181</v>
      </c>
      <c r="D40" s="254" t="s">
        <v>182</v>
      </c>
      <c r="E40" s="256" t="e">
        <f ca="1">INDEX(INDIRECT(dms_RPT),dms_PRCP_start_row+3)</f>
        <v>#NAME?</v>
      </c>
      <c r="F40" s="254" t="s">
        <v>183</v>
      </c>
      <c r="G40" s="256" t="e">
        <f ca="1">INDEX(INDIRECT(dms_RPT),dms_CRCP_start_row+3)</f>
        <v>#NAME?</v>
      </c>
      <c r="H40" s="254" t="s">
        <v>184</v>
      </c>
      <c r="I40" s="256" t="e">
        <f ca="1">INDEX(INDIRECT(dms_RPT),dms_FRCP_start_row+3)</f>
        <v>#NAME?</v>
      </c>
    </row>
    <row r="41" spans="2:21" x14ac:dyDescent="0.35">
      <c r="B41" s="252" t="s">
        <v>185</v>
      </c>
      <c r="C41" s="253" t="s">
        <v>186</v>
      </c>
      <c r="D41" s="254" t="s">
        <v>187</v>
      </c>
      <c r="E41" s="256" t="e">
        <f ca="1">INDEX(INDIRECT(dms_RPT),dms_PRCP_start_row+4)</f>
        <v>#NAME?</v>
      </c>
      <c r="F41" s="254" t="s">
        <v>188</v>
      </c>
      <c r="G41" s="256" t="e">
        <f ca="1">INDEX(INDIRECT(dms_RPT),dms_CRCP_start_row+4)</f>
        <v>#NAME?</v>
      </c>
      <c r="H41" s="254" t="s">
        <v>189</v>
      </c>
      <c r="I41" s="256" t="e">
        <f ca="1">INDEX(INDIRECT(dms_RPT),dms_FRCP_start_row+4)</f>
        <v>#NAME?</v>
      </c>
    </row>
    <row r="42" spans="2:21" x14ac:dyDescent="0.35">
      <c r="B42" s="252" t="s">
        <v>190</v>
      </c>
      <c r="C42" s="253" t="s">
        <v>191</v>
      </c>
      <c r="D42" s="254" t="s">
        <v>192</v>
      </c>
      <c r="E42" s="256" t="e">
        <f ca="1">INDEX(INDIRECT(dms_RPT),dms_PRCP_start_row+5)</f>
        <v>#NAME?</v>
      </c>
      <c r="F42" s="254" t="s">
        <v>193</v>
      </c>
      <c r="G42" s="256" t="e">
        <f ca="1">INDEX(INDIRECT(dms_RPT),dms_CRCP_start_row+5)</f>
        <v>#NAME?</v>
      </c>
      <c r="H42" s="254" t="s">
        <v>194</v>
      </c>
      <c r="I42" s="256" t="e">
        <f ca="1">INDEX(INDIRECT(dms_RPT),dms_FRCP_start_row+5)</f>
        <v>#NAME?</v>
      </c>
    </row>
    <row r="43" spans="2:21" x14ac:dyDescent="0.35">
      <c r="B43" s="252" t="s">
        <v>195</v>
      </c>
      <c r="C43" s="253" t="s">
        <v>196</v>
      </c>
      <c r="D43" s="254" t="s">
        <v>197</v>
      </c>
      <c r="E43" s="256" t="e">
        <f ca="1">INDEX(INDIRECT(dms_RPT),dms_PRCP_start_row+6)</f>
        <v>#NAME?</v>
      </c>
      <c r="F43" s="254" t="s">
        <v>198</v>
      </c>
      <c r="G43" s="256" t="e">
        <f ca="1">INDEX(INDIRECT(dms_RPT),dms_CRCP_start_row+6)</f>
        <v>#NAME?</v>
      </c>
      <c r="H43" s="254" t="s">
        <v>199</v>
      </c>
      <c r="I43" s="256" t="e">
        <f ca="1">INDEX(INDIRECT(dms_RPT),dms_FRCP_start_row+6)</f>
        <v>#NAME?</v>
      </c>
    </row>
    <row r="44" spans="2:21" x14ac:dyDescent="0.35">
      <c r="B44" s="252" t="s">
        <v>200</v>
      </c>
      <c r="C44" s="253" t="s">
        <v>201</v>
      </c>
      <c r="D44" s="254" t="s">
        <v>202</v>
      </c>
      <c r="E44" s="256" t="e">
        <f ca="1">INDEX(INDIRECT(dms_RPT),dms_PRCP_start_row+7)</f>
        <v>#NAME?</v>
      </c>
      <c r="F44" s="254" t="s">
        <v>203</v>
      </c>
      <c r="G44" s="256" t="e">
        <f ca="1">INDEX(INDIRECT(dms_RPT),dms_CRCP_start_row+7)</f>
        <v>#NAME?</v>
      </c>
      <c r="H44" s="254" t="s">
        <v>204</v>
      </c>
      <c r="I44" s="256" t="e">
        <f ca="1">INDEX(INDIRECT(dms_RPT),dms_FRCP_start_row+7)</f>
        <v>#NAME?</v>
      </c>
      <c r="J44"/>
      <c r="K44"/>
      <c r="L44"/>
    </row>
    <row r="45" spans="2:21" x14ac:dyDescent="0.35">
      <c r="B45" s="252" t="s">
        <v>205</v>
      </c>
      <c r="C45" s="253" t="s">
        <v>206</v>
      </c>
      <c r="D45" s="254" t="s">
        <v>207</v>
      </c>
      <c r="E45" s="256" t="e">
        <f ca="1">INDEX(INDIRECT(dms_RPT),dms_PRCP_start_row+8)</f>
        <v>#NAME?</v>
      </c>
      <c r="F45" s="254" t="s">
        <v>208</v>
      </c>
      <c r="G45" s="256" t="e">
        <f ca="1">INDEX(INDIRECT(dms_RPT),dms_CRCP_start_row+8)</f>
        <v>#NAME?</v>
      </c>
      <c r="H45" s="254" t="s">
        <v>209</v>
      </c>
      <c r="I45" s="256" t="e">
        <f ca="1">INDEX(INDIRECT(dms_RPT),dms_FRCP_start_row+8)</f>
        <v>#NAME?</v>
      </c>
      <c r="J45"/>
      <c r="K45"/>
      <c r="L45"/>
    </row>
    <row r="46" spans="2:21" x14ac:dyDescent="0.35">
      <c r="B46" s="252" t="s">
        <v>210</v>
      </c>
      <c r="C46" s="253" t="s">
        <v>211</v>
      </c>
      <c r="D46" s="254" t="s">
        <v>212</v>
      </c>
      <c r="E46" s="256" t="e">
        <f ca="1">INDEX(INDIRECT(dms_RPT),dms_PRCP_start_row+9)</f>
        <v>#NAME?</v>
      </c>
      <c r="F46" s="254" t="s">
        <v>213</v>
      </c>
      <c r="G46" s="256" t="e">
        <f ca="1">INDEX(INDIRECT(dms_RPT),dms_CRCP_start_row+9)</f>
        <v>#NAME?</v>
      </c>
      <c r="H46" s="254" t="s">
        <v>214</v>
      </c>
      <c r="I46" s="256" t="e">
        <f ca="1">INDEX(INDIRECT(dms_RPT),dms_FRCP_start_row+9)</f>
        <v>#NAME?</v>
      </c>
      <c r="J46"/>
      <c r="K46"/>
      <c r="L46"/>
    </row>
    <row r="47" spans="2:21" x14ac:dyDescent="0.35">
      <c r="B47" s="252" t="s">
        <v>215</v>
      </c>
      <c r="C47" s="253" t="s">
        <v>216</v>
      </c>
      <c r="D47" s="254" t="s">
        <v>217</v>
      </c>
      <c r="E47" s="256" t="e">
        <f ca="1">INDEX(INDIRECT(dms_RPT),dms_PRCP_start_row+10)</f>
        <v>#NAME?</v>
      </c>
      <c r="F47" s="254" t="s">
        <v>218</v>
      </c>
      <c r="G47" s="256" t="e">
        <f ca="1">INDEX(INDIRECT(dms_RPT),dms_CRCP_start_row+10)</f>
        <v>#NAME?</v>
      </c>
      <c r="H47" s="254" t="s">
        <v>219</v>
      </c>
      <c r="I47" s="256" t="e">
        <f ca="1">INDEX(INDIRECT(dms_RPT),dms_FRCP_start_row+10)</f>
        <v>#NAME?</v>
      </c>
      <c r="J47"/>
      <c r="K47"/>
      <c r="L47"/>
    </row>
    <row r="48" spans="2:21" x14ac:dyDescent="0.35">
      <c r="B48" s="252" t="s">
        <v>220</v>
      </c>
      <c r="C48" s="253" t="s">
        <v>221</v>
      </c>
      <c r="D48" s="254" t="s">
        <v>222</v>
      </c>
      <c r="E48" s="256" t="e">
        <f ca="1">INDEX(INDIRECT(dms_RPT),dms_PRCP_start_row+11)</f>
        <v>#NAME?</v>
      </c>
      <c r="F48" s="254" t="s">
        <v>223</v>
      </c>
      <c r="G48" s="256" t="e">
        <f ca="1">INDEX(INDIRECT(dms_RPT),dms_CRCP_start_row+11)</f>
        <v>#NAME?</v>
      </c>
      <c r="H48" s="254" t="s">
        <v>224</v>
      </c>
      <c r="I48" s="256" t="e">
        <f ca="1">INDEX(INDIRECT(dms_RPT),dms_FRCP_start_row+11)</f>
        <v>#NAME?</v>
      </c>
      <c r="J48"/>
      <c r="K48"/>
      <c r="L48"/>
    </row>
    <row r="49" spans="2:12" x14ac:dyDescent="0.35">
      <c r="B49" s="252" t="s">
        <v>225</v>
      </c>
      <c r="C49" s="253" t="s">
        <v>226</v>
      </c>
      <c r="D49" s="254" t="s">
        <v>227</v>
      </c>
      <c r="E49" s="256" t="e">
        <f ca="1">INDEX(INDIRECT(dms_RPT),dms_PRCP_start_row+12)</f>
        <v>#NAME?</v>
      </c>
      <c r="F49" s="254" t="s">
        <v>228</v>
      </c>
      <c r="G49" s="256" t="e">
        <f ca="1">INDEX(INDIRECT(dms_RPT),dms_CRCP_start_row+12)</f>
        <v>#NAME?</v>
      </c>
      <c r="H49" s="254" t="s">
        <v>229</v>
      </c>
      <c r="I49" s="256" t="e">
        <f ca="1">INDEX(INDIRECT(dms_RPT),dms_FRCP_start_row+12)</f>
        <v>#NAME?</v>
      </c>
      <c r="J49"/>
      <c r="K49"/>
      <c r="L49"/>
    </row>
    <row r="50" spans="2:12" x14ac:dyDescent="0.35">
      <c r="B50" s="252" t="s">
        <v>230</v>
      </c>
      <c r="C50" s="253" t="s">
        <v>231</v>
      </c>
      <c r="D50" s="258" t="s">
        <v>232</v>
      </c>
      <c r="E50" s="256" t="e">
        <f ca="1">INDEX(INDIRECT(dms_RPT),dms_PRCP_start_row+13)</f>
        <v>#NAME?</v>
      </c>
      <c r="F50" s="254" t="s">
        <v>233</v>
      </c>
      <c r="G50" s="256" t="e">
        <f ca="1">INDEX(INDIRECT(dms_RPT),dms_CRCP_start_row+13)</f>
        <v>#NAME?</v>
      </c>
      <c r="H50" s="254" t="s">
        <v>234</v>
      </c>
      <c r="I50" s="256" t="e">
        <f ca="1">INDEX(INDIRECT(dms_RPT),dms_FRCP_start_row+13)</f>
        <v>#NAME?</v>
      </c>
      <c r="J50"/>
      <c r="K50"/>
      <c r="L50"/>
    </row>
    <row r="51" spans="2:12" x14ac:dyDescent="0.35">
      <c r="B51" s="252" t="s">
        <v>235</v>
      </c>
      <c r="C51" s="253" t="s">
        <v>236</v>
      </c>
      <c r="D51" s="258" t="s">
        <v>237</v>
      </c>
      <c r="E51" s="256" t="e">
        <f ca="1">INDEX(INDIRECT(dms_RPT),dms_PRCP_start_row+14)</f>
        <v>#NAME?</v>
      </c>
      <c r="F51" s="254" t="s">
        <v>238</v>
      </c>
      <c r="G51" s="256" t="e">
        <f ca="1">INDEX(INDIRECT(dms_RPT),dms_CRCP_start_row+14)</f>
        <v>#NAME?</v>
      </c>
      <c r="H51" s="254" t="s">
        <v>239</v>
      </c>
      <c r="I51" s="256" t="e">
        <f ca="1">INDEX(INDIRECT(dms_RPT),dms_FRCP_start_row+14)</f>
        <v>#NAME?</v>
      </c>
      <c r="J51"/>
      <c r="K51"/>
      <c r="L51"/>
    </row>
    <row r="52" spans="2:12" x14ac:dyDescent="0.35">
      <c r="B52" s="252" t="s">
        <v>240</v>
      </c>
      <c r="C52" s="253" t="s">
        <v>241</v>
      </c>
      <c r="D52" s="258" t="s">
        <v>242</v>
      </c>
      <c r="E52" s="256" t="e">
        <f ca="1">INDEX(INDIRECT(dms_RPT),dms_PRCP_start_row+15)</f>
        <v>#NAME?</v>
      </c>
      <c r="F52" s="254" t="s">
        <v>243</v>
      </c>
      <c r="G52" s="256" t="e">
        <f ca="1">INDEX(INDIRECT(dms_RPT),dms_CRCP_start_row+15)</f>
        <v>#NAME?</v>
      </c>
      <c r="H52" s="254" t="s">
        <v>244</v>
      </c>
      <c r="I52" s="256" t="e">
        <f ca="1">INDEX(INDIRECT(dms_RPT),dms_FRCP_start_row+15)</f>
        <v>#NAME?</v>
      </c>
      <c r="J52"/>
      <c r="K52"/>
      <c r="L52"/>
    </row>
    <row r="53" spans="2:12" x14ac:dyDescent="0.35">
      <c r="B53" s="252" t="s">
        <v>245</v>
      </c>
      <c r="C53" s="253" t="s">
        <v>246</v>
      </c>
      <c r="D53" s="258" t="s">
        <v>247</v>
      </c>
      <c r="E53" s="256" t="e">
        <f ca="1">INDEX(INDIRECT(dms_RPT),dms_PRCP_start_row+16)</f>
        <v>#NAME?</v>
      </c>
      <c r="F53" s="254" t="s">
        <v>248</v>
      </c>
      <c r="G53" s="256" t="e">
        <f ca="1">INDEX(INDIRECT(dms_RPT),dms_CRCP_start_row+16)</f>
        <v>#NAME?</v>
      </c>
      <c r="H53" s="254" t="s">
        <v>249</v>
      </c>
      <c r="I53" s="256" t="e">
        <f ca="1">INDEX(INDIRECT(dms_RPT),dms_FRCP_start_row+16)</f>
        <v>#NAME?</v>
      </c>
      <c r="J53"/>
      <c r="K53"/>
      <c r="L53"/>
    </row>
    <row r="54" spans="2:12" x14ac:dyDescent="0.35">
      <c r="B54" s="252" t="s">
        <v>250</v>
      </c>
      <c r="C54" s="253" t="s">
        <v>251</v>
      </c>
      <c r="D54" s="258" t="s">
        <v>252</v>
      </c>
      <c r="E54" s="256" t="e">
        <f ca="1">INDEX(INDIRECT(dms_RPT),dms_PRCP_start_row+17)</f>
        <v>#NAME?</v>
      </c>
      <c r="F54" s="254" t="s">
        <v>253</v>
      </c>
      <c r="G54" s="256" t="e">
        <f ca="1">INDEX(INDIRECT(dms_RPT),dms_CRCP_start_row+17)</f>
        <v>#NAME?</v>
      </c>
      <c r="H54" s="254" t="s">
        <v>254</v>
      </c>
      <c r="I54" s="256" t="e">
        <f ca="1">INDEX(INDIRECT(dms_RPT),dms_FRCP_start_row+17)</f>
        <v>#NAME?</v>
      </c>
      <c r="J54"/>
      <c r="K54"/>
      <c r="L54"/>
    </row>
    <row r="55" spans="2:12" x14ac:dyDescent="0.35">
      <c r="B55" s="252" t="s">
        <v>255</v>
      </c>
      <c r="C55" s="253" t="s">
        <v>256</v>
      </c>
      <c r="D55" s="258" t="s">
        <v>257</v>
      </c>
      <c r="E55" s="256" t="e">
        <f ca="1">INDEX(INDIRECT(dms_RPT),dms_PRCP_start_row+18)</f>
        <v>#NAME?</v>
      </c>
      <c r="F55" s="254" t="s">
        <v>258</v>
      </c>
      <c r="G55" s="256" t="e">
        <f ca="1">INDEX(INDIRECT(dms_RPT),dms_CRCP_start_row+18)</f>
        <v>#NAME?</v>
      </c>
      <c r="H55" s="254" t="s">
        <v>259</v>
      </c>
      <c r="I55" s="256" t="e">
        <f ca="1">INDEX(INDIRECT(dms_RPT),dms_FRCP_start_row+18)</f>
        <v>#NAME?</v>
      </c>
      <c r="J55"/>
      <c r="K55"/>
      <c r="L55"/>
    </row>
    <row r="56" spans="2:12" x14ac:dyDescent="0.35">
      <c r="B56" s="252" t="s">
        <v>260</v>
      </c>
      <c r="C56" s="253" t="s">
        <v>261</v>
      </c>
      <c r="D56" s="258" t="s">
        <v>262</v>
      </c>
      <c r="E56" s="256" t="e">
        <f ca="1">INDEX(INDIRECT(dms_RPT),dms_PRCP_start_row+19)</f>
        <v>#NAME?</v>
      </c>
      <c r="F56" s="254" t="s">
        <v>263</v>
      </c>
      <c r="G56" s="256" t="e">
        <f ca="1">INDEX(INDIRECT(dms_RPT),dms_CRCP_start_row+19)</f>
        <v>#NAME?</v>
      </c>
      <c r="H56" s="254" t="s">
        <v>264</v>
      </c>
      <c r="I56" s="256" t="e">
        <f ca="1">INDEX(INDIRECT(dms_RPT),dms_FRCP_start_row+19)</f>
        <v>#NAME?</v>
      </c>
      <c r="J56"/>
      <c r="K56"/>
      <c r="L56"/>
    </row>
    <row r="57" spans="2:12" x14ac:dyDescent="0.35">
      <c r="B57" s="252" t="s">
        <v>265</v>
      </c>
      <c r="C57" s="253" t="s">
        <v>266</v>
      </c>
      <c r="D57" s="258" t="s">
        <v>267</v>
      </c>
      <c r="E57" s="256" t="e">
        <f ca="1">INDEX(INDIRECT(dms_RPT),dms_PRCP_start_row+20)</f>
        <v>#NAME?</v>
      </c>
      <c r="F57" s="254" t="s">
        <v>268</v>
      </c>
      <c r="G57" s="256" t="e">
        <f ca="1">INDEX(INDIRECT(dms_RPT),dms_CRCP_start_row+20)</f>
        <v>#NAME?</v>
      </c>
      <c r="H57" s="254" t="s">
        <v>269</v>
      </c>
      <c r="I57" s="256" t="e">
        <f ca="1">INDEX(INDIRECT(dms_RPT),dms_FRCP_start_row+20)</f>
        <v>#NAME?</v>
      </c>
      <c r="J57"/>
      <c r="K57"/>
      <c r="L57"/>
    </row>
    <row r="58" spans="2:12" x14ac:dyDescent="0.35">
      <c r="B58" s="252" t="s">
        <v>270</v>
      </c>
      <c r="C58" s="253" t="s">
        <v>271</v>
      </c>
      <c r="D58" s="258" t="s">
        <v>272</v>
      </c>
      <c r="E58" s="256" t="e">
        <f ca="1">INDEX(INDIRECT(dms_RPT),dms_PRCP_start_row+21)</f>
        <v>#NAME?</v>
      </c>
      <c r="F58" s="254" t="s">
        <v>273</v>
      </c>
      <c r="G58" s="256" t="e">
        <f ca="1">INDEX(INDIRECT(dms_RPT),dms_CRCP_start_row+21)</f>
        <v>#NAME?</v>
      </c>
      <c r="H58" s="254" t="s">
        <v>274</v>
      </c>
      <c r="I58" s="256" t="e">
        <f ca="1">INDEX(INDIRECT(dms_RPT),dms_FRCP_start_row+21)</f>
        <v>#NAME?</v>
      </c>
      <c r="J58"/>
      <c r="K58"/>
      <c r="L58"/>
    </row>
    <row r="59" spans="2:12" x14ac:dyDescent="0.35">
      <c r="B59" s="252" t="s">
        <v>275</v>
      </c>
      <c r="C59" s="253">
        <v>2010</v>
      </c>
      <c r="D59" s="258" t="s">
        <v>276</v>
      </c>
      <c r="E59" s="256" t="e">
        <f ca="1">INDEX(INDIRECT(dms_RPT),dms_PRCP_start_row+22)</f>
        <v>#NAME?</v>
      </c>
      <c r="F59" s="254" t="s">
        <v>277</v>
      </c>
      <c r="G59" s="256" t="e">
        <f ca="1">INDEX(INDIRECT(dms_RPT),dms_CRCP_start_row+22)</f>
        <v>#NAME?</v>
      </c>
      <c r="H59" s="254" t="s">
        <v>278</v>
      </c>
      <c r="I59" s="256" t="e">
        <f ca="1">INDEX(INDIRECT(dms_RPT),dms_FRCP_start_row+22)</f>
        <v>#NAME?</v>
      </c>
      <c r="J59"/>
      <c r="K59"/>
      <c r="L59"/>
    </row>
    <row r="60" spans="2:12" x14ac:dyDescent="0.35">
      <c r="B60" s="252" t="s">
        <v>279</v>
      </c>
      <c r="C60" s="253">
        <v>2011</v>
      </c>
      <c r="D60" s="258" t="s">
        <v>280</v>
      </c>
      <c r="E60" s="256" t="e">
        <f ca="1">INDEX(INDIRECT(dms_RPT),dms_PRCP_start_row+23)</f>
        <v>#NAME?</v>
      </c>
      <c r="F60" s="254" t="s">
        <v>281</v>
      </c>
      <c r="G60" s="256" t="e">
        <f ca="1">INDEX(INDIRECT(dms_RPT),dms_CRCP_start_row+23)</f>
        <v>#NAME?</v>
      </c>
      <c r="H60" s="254" t="s">
        <v>282</v>
      </c>
      <c r="I60" s="256" t="e">
        <f ca="1">INDEX(INDIRECT(dms_RPT),dms_FRCP_start_row+23)</f>
        <v>#NAME?</v>
      </c>
      <c r="J60"/>
      <c r="K60"/>
      <c r="L60"/>
    </row>
    <row r="61" spans="2:12" ht="15" thickBot="1" x14ac:dyDescent="0.4">
      <c r="B61" s="252" t="s">
        <v>283</v>
      </c>
      <c r="C61" s="253">
        <v>2012</v>
      </c>
      <c r="D61" s="259" t="s">
        <v>284</v>
      </c>
      <c r="E61" s="260" t="e">
        <f ca="1">INDEX(INDIRECT(dms_RPT),dms_PRCP_start_row+24)</f>
        <v>#NAME?</v>
      </c>
      <c r="F61" s="261" t="s">
        <v>285</v>
      </c>
      <c r="G61" s="260" t="e">
        <f ca="1">INDEX(INDIRECT(dms_RPT),dms_CRCP_start_row+24)</f>
        <v>#NAME?</v>
      </c>
      <c r="H61" s="261" t="s">
        <v>286</v>
      </c>
      <c r="I61" s="260" t="e">
        <f ca="1">INDEX(INDIRECT(dms_RPT),dms_FRCP_start_row+24)</f>
        <v>#NAME?</v>
      </c>
      <c r="J61"/>
      <c r="K61"/>
      <c r="L61"/>
    </row>
    <row r="62" spans="2:12" x14ac:dyDescent="0.35">
      <c r="B62" s="252" t="s">
        <v>287</v>
      </c>
      <c r="C62" s="253">
        <v>2013</v>
      </c>
      <c r="E62"/>
      <c r="H62"/>
      <c r="I62"/>
      <c r="J62"/>
      <c r="K62"/>
      <c r="L62"/>
    </row>
    <row r="63" spans="2:12" x14ac:dyDescent="0.35">
      <c r="B63" s="252" t="s">
        <v>288</v>
      </c>
      <c r="C63" s="253">
        <v>2014</v>
      </c>
      <c r="E63"/>
      <c r="H63"/>
      <c r="I63"/>
      <c r="J63"/>
      <c r="K63"/>
      <c r="L63"/>
    </row>
    <row r="64" spans="2:12" x14ac:dyDescent="0.35">
      <c r="B64" s="252" t="s">
        <v>289</v>
      </c>
      <c r="C64" s="253">
        <v>2015</v>
      </c>
      <c r="E64"/>
      <c r="I64" s="262"/>
    </row>
    <row r="65" spans="2:9" x14ac:dyDescent="0.35">
      <c r="B65" s="252" t="s">
        <v>290</v>
      </c>
      <c r="C65" s="253">
        <v>2016</v>
      </c>
      <c r="E65"/>
      <c r="I65" s="262"/>
    </row>
    <row r="66" spans="2:9" x14ac:dyDescent="0.35">
      <c r="B66" s="252" t="s">
        <v>291</v>
      </c>
      <c r="C66" s="253">
        <v>2017</v>
      </c>
      <c r="E66"/>
    </row>
    <row r="67" spans="2:9" x14ac:dyDescent="0.35">
      <c r="B67" s="252" t="s">
        <v>292</v>
      </c>
      <c r="C67" s="253">
        <v>2018</v>
      </c>
      <c r="E67"/>
    </row>
    <row r="68" spans="2:9" x14ac:dyDescent="0.35">
      <c r="B68" s="252" t="s">
        <v>293</v>
      </c>
      <c r="C68" s="253">
        <v>2019</v>
      </c>
      <c r="E68"/>
    </row>
    <row r="69" spans="2:9" x14ac:dyDescent="0.35">
      <c r="B69" s="252" t="s">
        <v>294</v>
      </c>
      <c r="C69" s="253">
        <v>2020</v>
      </c>
      <c r="E69"/>
      <c r="H69"/>
      <c r="I69"/>
    </row>
    <row r="70" spans="2:9" ht="15" thickBot="1" x14ac:dyDescent="0.4">
      <c r="B70" s="252" t="s">
        <v>295</v>
      </c>
      <c r="C70" s="253">
        <v>2021</v>
      </c>
      <c r="E70"/>
      <c r="H70"/>
      <c r="I70"/>
    </row>
    <row r="71" spans="2:9" x14ac:dyDescent="0.35">
      <c r="B71" s="252" t="s">
        <v>296</v>
      </c>
      <c r="C71" s="253">
        <v>2022</v>
      </c>
      <c r="D71" s="263"/>
      <c r="E71" s="264" t="s">
        <v>297</v>
      </c>
      <c r="H71"/>
      <c r="I71"/>
    </row>
    <row r="72" spans="2:9" x14ac:dyDescent="0.35">
      <c r="B72" s="252" t="s">
        <v>298</v>
      </c>
      <c r="C72" s="253">
        <v>2023</v>
      </c>
      <c r="D72" s="265" t="s">
        <v>299</v>
      </c>
      <c r="E72" s="266">
        <f ca="1">IFERROR(INDEX(INDIRECT(dms_RPT),dms_CRY_start_row),0)</f>
        <v>0</v>
      </c>
      <c r="H72"/>
      <c r="I72"/>
    </row>
    <row r="73" spans="2:9" x14ac:dyDescent="0.35">
      <c r="B73" s="252" t="s">
        <v>36</v>
      </c>
      <c r="C73" s="253">
        <v>2024</v>
      </c>
      <c r="D73" s="265" t="s">
        <v>300</v>
      </c>
      <c r="E73" s="266">
        <f ca="1">IFERROR(INDEX(INDIRECT(dms_RPT),dms_CRY_start_row+1),0)</f>
        <v>0</v>
      </c>
      <c r="H73"/>
      <c r="I73"/>
    </row>
    <row r="74" spans="2:9" x14ac:dyDescent="0.35">
      <c r="B74" s="252" t="s">
        <v>301</v>
      </c>
      <c r="C74" s="253">
        <v>2025</v>
      </c>
      <c r="D74" s="265" t="s">
        <v>302</v>
      </c>
      <c r="E74" s="266">
        <f ca="1">IFERROR(INDEX(INDIRECT(dms_RPT),dms_CRY_start_row+2),0)</f>
        <v>0</v>
      </c>
      <c r="H74"/>
      <c r="I74"/>
    </row>
    <row r="75" spans="2:9" x14ac:dyDescent="0.35">
      <c r="B75" s="252" t="s">
        <v>303</v>
      </c>
      <c r="C75" s="253">
        <v>2026</v>
      </c>
      <c r="D75" s="265" t="s">
        <v>304</v>
      </c>
      <c r="E75" s="266">
        <f ca="1">IFERROR(INDEX(INDIRECT(dms_RPT),dms_CRY_start_row+3),0)</f>
        <v>0</v>
      </c>
      <c r="H75"/>
      <c r="I75"/>
    </row>
    <row r="76" spans="2:9" x14ac:dyDescent="0.35">
      <c r="B76" s="252" t="s">
        <v>305</v>
      </c>
      <c r="C76" s="253">
        <v>2027</v>
      </c>
      <c r="D76" s="265" t="s">
        <v>306</v>
      </c>
      <c r="E76" s="266">
        <f ca="1">IFERROR(INDEX(INDIRECT(dms_RPT),dms_CRY_start_row+4),0)</f>
        <v>0</v>
      </c>
      <c r="H76"/>
      <c r="I76"/>
    </row>
    <row r="77" spans="2:9" x14ac:dyDescent="0.35">
      <c r="B77" s="252" t="s">
        <v>307</v>
      </c>
      <c r="C77" s="253">
        <v>2028</v>
      </c>
      <c r="D77" s="265" t="s">
        <v>308</v>
      </c>
      <c r="E77" s="266">
        <f ca="1">IFERROR(INDEX(INDIRECT(dms_RPT),dms_CRY_start_row+5),0)</f>
        <v>0</v>
      </c>
      <c r="H77"/>
      <c r="I77"/>
    </row>
    <row r="78" spans="2:9" x14ac:dyDescent="0.35">
      <c r="B78" s="252" t="s">
        <v>309</v>
      </c>
      <c r="C78" s="253">
        <v>2029</v>
      </c>
      <c r="D78" s="265" t="s">
        <v>310</v>
      </c>
      <c r="E78" s="266">
        <f ca="1">IFERROR(INDEX(INDIRECT(dms_RPT),dms_CRY_start_row+6),0)</f>
        <v>0</v>
      </c>
      <c r="H78"/>
      <c r="I78"/>
    </row>
    <row r="79" spans="2:9" x14ac:dyDescent="0.35">
      <c r="B79" s="252" t="s">
        <v>311</v>
      </c>
      <c r="C79" s="253">
        <v>2030</v>
      </c>
      <c r="D79" s="265" t="s">
        <v>312</v>
      </c>
      <c r="E79" s="266">
        <f ca="1">IFERROR(INDEX(INDIRECT(dms_RPT),dms_CRY_start_row+7),0)</f>
        <v>0</v>
      </c>
      <c r="H79"/>
      <c r="I79"/>
    </row>
    <row r="80" spans="2:9" x14ac:dyDescent="0.35">
      <c r="B80" s="252" t="s">
        <v>313</v>
      </c>
      <c r="C80" s="253">
        <v>2031</v>
      </c>
      <c r="D80" s="265" t="s">
        <v>314</v>
      </c>
      <c r="E80" s="266">
        <f ca="1">IFERROR(INDEX(INDIRECT(dms_RPT),dms_CRY_start_row+8),0)</f>
        <v>0</v>
      </c>
      <c r="H80"/>
      <c r="I80"/>
    </row>
    <row r="81" spans="2:9" x14ac:dyDescent="0.35">
      <c r="B81" s="252" t="s">
        <v>315</v>
      </c>
      <c r="C81" s="253">
        <v>2032</v>
      </c>
      <c r="D81" s="265" t="s">
        <v>316</v>
      </c>
      <c r="E81" s="266">
        <f ca="1">IFERROR(INDEX(INDIRECT(dms_RPT),dms_CRY_start_row+9),0)</f>
        <v>0</v>
      </c>
      <c r="H81"/>
      <c r="I81"/>
    </row>
    <row r="82" spans="2:9" x14ac:dyDescent="0.35">
      <c r="B82" s="252" t="s">
        <v>317</v>
      </c>
      <c r="C82" s="253">
        <v>2033</v>
      </c>
      <c r="D82" s="265" t="s">
        <v>318</v>
      </c>
      <c r="E82" s="266">
        <f ca="1">IFERROR(INDEX(INDIRECT(dms_RPT),dms_CRY_start_row+10),0)</f>
        <v>0</v>
      </c>
      <c r="H82"/>
      <c r="I82"/>
    </row>
    <row r="83" spans="2:9" x14ac:dyDescent="0.35">
      <c r="B83" s="252" t="s">
        <v>319</v>
      </c>
      <c r="C83" s="253">
        <v>2034</v>
      </c>
      <c r="D83" s="265" t="s">
        <v>320</v>
      </c>
      <c r="E83" s="266">
        <f ca="1">IFERROR(INDEX(INDIRECT(dms_RPT),dms_CRY_start_row+11),0)</f>
        <v>0</v>
      </c>
      <c r="H83"/>
      <c r="I83"/>
    </row>
    <row r="84" spans="2:9" x14ac:dyDescent="0.35">
      <c r="B84" s="252" t="s">
        <v>321</v>
      </c>
      <c r="C84" s="253">
        <v>2035</v>
      </c>
      <c r="D84" s="265" t="s">
        <v>322</v>
      </c>
      <c r="E84" s="266">
        <f ca="1">IFERROR(INDEX(INDIRECT(dms_RPT),dms_CRY_start_row+12),0)</f>
        <v>0</v>
      </c>
      <c r="H84"/>
      <c r="I84"/>
    </row>
    <row r="85" spans="2:9" x14ac:dyDescent="0.35">
      <c r="B85" s="252" t="s">
        <v>323</v>
      </c>
      <c r="C85" s="253">
        <v>2036</v>
      </c>
      <c r="D85" s="265" t="s">
        <v>324</v>
      </c>
      <c r="E85" s="266">
        <f ca="1">IFERROR(INDEX(INDIRECT(dms_RPT),dms_CRY_start_row+13),0)</f>
        <v>0</v>
      </c>
      <c r="H85"/>
      <c r="I85"/>
    </row>
    <row r="86" spans="2:9" x14ac:dyDescent="0.35">
      <c r="B86" s="252" t="s">
        <v>325</v>
      </c>
      <c r="C86" s="253">
        <v>2037</v>
      </c>
      <c r="D86" s="265" t="s">
        <v>326</v>
      </c>
      <c r="E86" s="266">
        <f ca="1">IFERROR(INDEX(INDIRECT(dms_RPT),dms_CRY_start_row+14),0)</f>
        <v>0</v>
      </c>
      <c r="H86"/>
      <c r="I86"/>
    </row>
    <row r="87" spans="2:9" x14ac:dyDescent="0.35">
      <c r="B87" s="252" t="s">
        <v>327</v>
      </c>
      <c r="C87" s="253">
        <v>2038</v>
      </c>
      <c r="D87" s="265" t="s">
        <v>328</v>
      </c>
      <c r="E87" s="266">
        <f ca="1">IFERROR(INDEX(INDIRECT(dms_RPT),dms_CRY_start_row+15),0)</f>
        <v>0</v>
      </c>
      <c r="H87"/>
      <c r="I87"/>
    </row>
    <row r="88" spans="2:9" x14ac:dyDescent="0.35">
      <c r="B88" s="252" t="s">
        <v>329</v>
      </c>
      <c r="C88" s="253">
        <v>2039</v>
      </c>
      <c r="D88" s="265" t="s">
        <v>330</v>
      </c>
      <c r="E88" s="266">
        <f ca="1">IFERROR(INDEX(INDIRECT(dms_RPT),dms_CRY_start_row+16),0)</f>
        <v>0</v>
      </c>
      <c r="H88"/>
      <c r="I88"/>
    </row>
    <row r="89" spans="2:9" x14ac:dyDescent="0.35">
      <c r="B89" s="252" t="s">
        <v>331</v>
      </c>
      <c r="C89" s="253">
        <v>2040</v>
      </c>
      <c r="D89" s="265" t="s">
        <v>332</v>
      </c>
      <c r="E89" s="266">
        <f ca="1">IFERROR(INDEX(INDIRECT(dms_RPT),dms_CRY_start_row+17),0)</f>
        <v>0</v>
      </c>
      <c r="H89"/>
      <c r="I89"/>
    </row>
    <row r="90" spans="2:9" x14ac:dyDescent="0.35">
      <c r="B90" s="252" t="s">
        <v>333</v>
      </c>
      <c r="C90" s="253">
        <v>2041</v>
      </c>
      <c r="D90" s="265" t="s">
        <v>334</v>
      </c>
      <c r="E90" s="266">
        <f ca="1">IFERROR(INDEX(INDIRECT(dms_RPT),dms_CRY_start_row+18),0)</f>
        <v>0</v>
      </c>
      <c r="H90"/>
      <c r="I90"/>
    </row>
    <row r="91" spans="2:9" x14ac:dyDescent="0.35">
      <c r="B91" s="252" t="s">
        <v>335</v>
      </c>
      <c r="C91" s="253">
        <v>2042</v>
      </c>
      <c r="D91" s="265" t="s">
        <v>336</v>
      </c>
      <c r="E91" s="266">
        <f ca="1">IFERROR(INDEX(INDIRECT(dms_RPT),dms_CRY_start_row+19),0)</f>
        <v>0</v>
      </c>
      <c r="H91"/>
      <c r="I91"/>
    </row>
    <row r="92" spans="2:9" x14ac:dyDescent="0.35">
      <c r="B92" s="252" t="s">
        <v>337</v>
      </c>
      <c r="C92" s="253">
        <v>2043</v>
      </c>
      <c r="D92" s="265" t="s">
        <v>338</v>
      </c>
      <c r="E92" s="266">
        <f ca="1">IFERROR(INDEX(INDIRECT(dms_RPT),dms_CRY_start_row+20),0)</f>
        <v>0</v>
      </c>
      <c r="H92"/>
      <c r="I92"/>
    </row>
    <row r="93" spans="2:9" x14ac:dyDescent="0.35">
      <c r="B93" s="252" t="s">
        <v>339</v>
      </c>
      <c r="C93" s="253">
        <v>2044</v>
      </c>
      <c r="D93" s="265" t="s">
        <v>340</v>
      </c>
      <c r="E93" s="266">
        <f ca="1">IFERROR(INDEX(INDIRECT(dms_RPT),dms_CRY_start_row+21),0)</f>
        <v>0</v>
      </c>
      <c r="H93"/>
      <c r="I93"/>
    </row>
    <row r="94" spans="2:9" x14ac:dyDescent="0.35">
      <c r="B94" s="252" t="s">
        <v>341</v>
      </c>
      <c r="C94" s="253">
        <v>2045</v>
      </c>
      <c r="D94" s="265" t="s">
        <v>342</v>
      </c>
      <c r="E94" s="266">
        <f ca="1">IFERROR(INDEX(INDIRECT(dms_RPT),dms_CRY_start_row+22),0)</f>
        <v>0</v>
      </c>
      <c r="H94"/>
      <c r="I94"/>
    </row>
    <row r="95" spans="2:9" x14ac:dyDescent="0.35">
      <c r="B95" s="252" t="s">
        <v>343</v>
      </c>
      <c r="C95" s="253">
        <v>2046</v>
      </c>
      <c r="D95" s="265" t="s">
        <v>344</v>
      </c>
      <c r="E95" s="266">
        <f ca="1">IFERROR(INDEX(INDIRECT(dms_RPT),dms_CRY_start_row+23),0)</f>
        <v>0</v>
      </c>
      <c r="H95"/>
      <c r="I95"/>
    </row>
    <row r="96" spans="2:9" x14ac:dyDescent="0.35">
      <c r="B96" s="267" t="s">
        <v>345</v>
      </c>
      <c r="C96" s="268">
        <v>2047</v>
      </c>
      <c r="D96" s="265" t="s">
        <v>346</v>
      </c>
      <c r="E96" s="266">
        <f ca="1">IFERROR(INDEX(INDIRECT(dms_RPT),dms_CRY_start_row+24),0)</f>
        <v>0</v>
      </c>
      <c r="H96"/>
      <c r="I96"/>
    </row>
    <row r="97" spans="2:21" ht="15" thickBot="1" x14ac:dyDescent="0.4">
      <c r="B97" s="267" t="s">
        <v>347</v>
      </c>
      <c r="C97" s="268">
        <v>2048</v>
      </c>
      <c r="D97" s="269" t="s">
        <v>348</v>
      </c>
      <c r="E97" s="270">
        <f ca="1">IFERROR(INDEX(INDIRECT(dms_RPT),dms_CRY_start_row+25),0)</f>
        <v>0</v>
      </c>
    </row>
    <row r="98" spans="2:21" x14ac:dyDescent="0.35">
      <c r="B98" s="267" t="s">
        <v>349</v>
      </c>
      <c r="C98" s="268" t="s">
        <v>350</v>
      </c>
      <c r="E98" s="242"/>
      <c r="O98"/>
      <c r="P98"/>
      <c r="Q98"/>
      <c r="R98"/>
      <c r="S98"/>
      <c r="T98"/>
      <c r="U98"/>
    </row>
    <row r="99" spans="2:21" x14ac:dyDescent="0.35">
      <c r="B99" s="267" t="s">
        <v>351</v>
      </c>
      <c r="C99" s="268" t="s">
        <v>352</v>
      </c>
      <c r="H99"/>
      <c r="I99"/>
      <c r="J99"/>
      <c r="K99"/>
      <c r="L99"/>
      <c r="O99"/>
      <c r="P99"/>
      <c r="Q99"/>
      <c r="R99"/>
      <c r="S99"/>
      <c r="T99"/>
      <c r="U99"/>
    </row>
    <row r="100" spans="2:21" x14ac:dyDescent="0.35">
      <c r="B100" s="267"/>
      <c r="C100" s="268"/>
      <c r="H100"/>
      <c r="I100"/>
      <c r="J100"/>
      <c r="K100"/>
      <c r="L100"/>
      <c r="O100"/>
      <c r="P100"/>
      <c r="Q100"/>
      <c r="R100"/>
      <c r="S100"/>
      <c r="T100"/>
      <c r="U100"/>
    </row>
    <row r="101" spans="2:21" x14ac:dyDescent="0.35">
      <c r="B101" s="267"/>
      <c r="C101" s="268"/>
      <c r="H101"/>
      <c r="I101"/>
      <c r="J101"/>
      <c r="K101"/>
      <c r="L101"/>
    </row>
    <row r="102" spans="2:21" x14ac:dyDescent="0.35">
      <c r="B102" s="267"/>
      <c r="C102" s="268"/>
    </row>
    <row r="103" spans="2:21" x14ac:dyDescent="0.35">
      <c r="B103" s="267"/>
      <c r="C103" s="268"/>
    </row>
    <row r="104" spans="2:21" x14ac:dyDescent="0.35">
      <c r="B104" s="267"/>
      <c r="C104" s="268"/>
    </row>
    <row r="105" spans="2:21" x14ac:dyDescent="0.35">
      <c r="B105" s="267"/>
      <c r="C105" s="268"/>
    </row>
    <row r="106" spans="2:21" ht="15" thickBot="1" x14ac:dyDescent="0.4">
      <c r="B106" s="271"/>
      <c r="C106" s="272"/>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796875" defaultRowHeight="14.5" x14ac:dyDescent="0.35"/>
  <cols>
    <col min="1" max="1" width="36.26953125" customWidth="1"/>
    <col min="2" max="2" width="44.54296875" style="30" customWidth="1"/>
    <col min="3" max="3" width="24.1796875" style="30" customWidth="1"/>
    <col min="4" max="4" width="33.453125" style="30" customWidth="1"/>
    <col min="5" max="7" width="17.26953125" style="30" customWidth="1"/>
    <col min="8" max="9" width="13.26953125" style="30" customWidth="1"/>
    <col min="10" max="12" width="13.7265625" customWidth="1"/>
    <col min="13" max="16384" width="9.1796875" style="30"/>
  </cols>
  <sheetData>
    <row r="1" spans="1:51" customFormat="1" ht="51" customHeight="1" x14ac:dyDescent="0.35">
      <c r="B1" s="143" t="s">
        <v>395</v>
      </c>
      <c r="C1" s="144"/>
      <c r="D1" s="144"/>
      <c r="E1" s="144"/>
      <c r="F1" s="144"/>
      <c r="G1" s="144"/>
      <c r="H1" s="144"/>
      <c r="I1" s="144"/>
      <c r="J1" s="144"/>
      <c r="K1" s="144"/>
    </row>
    <row r="2" spans="1:51" customFormat="1" ht="24.75" customHeight="1" x14ac:dyDescent="0.35"/>
    <row r="3" spans="1:51" ht="20" x14ac:dyDescent="0.4">
      <c r="B3" s="341" t="s">
        <v>396</v>
      </c>
      <c r="C3" s="342" t="s">
        <v>397</v>
      </c>
      <c r="D3" s="343" t="s">
        <v>398</v>
      </c>
      <c r="E3" s="344"/>
      <c r="F3" s="344"/>
      <c r="G3" s="344"/>
      <c r="H3" s="344"/>
      <c r="I3" s="344"/>
      <c r="J3" s="344"/>
      <c r="K3" s="344"/>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345"/>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346" t="s">
        <v>399</v>
      </c>
      <c r="C5" s="324"/>
      <c r="D5" s="347"/>
      <c r="E5" s="324"/>
      <c r="F5" s="324"/>
      <c r="G5" s="324"/>
      <c r="H5" s="324"/>
      <c r="I5" s="152"/>
    </row>
    <row r="6" spans="1:51" customFormat="1" x14ac:dyDescent="0.35">
      <c r="B6" s="348" t="s">
        <v>400</v>
      </c>
      <c r="D6" s="30"/>
      <c r="E6" s="30"/>
      <c r="F6" s="30"/>
      <c r="G6" s="30"/>
      <c r="H6" s="30"/>
      <c r="I6" s="349"/>
    </row>
    <row r="7" spans="1:51" customFormat="1" ht="15" thickBot="1" x14ac:dyDescent="0.4">
      <c r="B7" s="350" t="s">
        <v>401</v>
      </c>
      <c r="C7" s="148"/>
      <c r="D7" s="351"/>
      <c r="E7" s="351"/>
      <c r="F7" s="351"/>
      <c r="G7" s="351"/>
      <c r="H7" s="351"/>
      <c r="I7" s="352"/>
    </row>
    <row r="8" spans="1:51" customFormat="1" ht="15" thickBot="1" x14ac:dyDescent="0.4">
      <c r="B8" s="147"/>
      <c r="C8" s="147"/>
      <c r="D8" s="147"/>
      <c r="E8" s="147"/>
      <c r="F8" s="147"/>
      <c r="G8" s="147"/>
      <c r="H8" s="147"/>
      <c r="I8" s="147"/>
    </row>
    <row r="9" spans="1:51" customFormat="1" x14ac:dyDescent="0.35">
      <c r="A9" s="353"/>
      <c r="B9" s="354" t="s">
        <v>402</v>
      </c>
      <c r="C9" s="355" t="str">
        <f>INDEX(dms_TradingNameFull_List,MATCH(dms_TradingName,dms_TradingName_List))</f>
        <v>Capitlal Expenditure</v>
      </c>
      <c r="D9" s="356"/>
      <c r="E9" s="357" t="s">
        <v>403</v>
      </c>
      <c r="F9" s="358"/>
      <c r="G9" s="358"/>
      <c r="H9" s="358"/>
      <c r="I9" s="359"/>
    </row>
    <row r="10" spans="1:51" customFormat="1" x14ac:dyDescent="0.35">
      <c r="B10" s="354" t="s">
        <v>404</v>
      </c>
      <c r="C10" s="355" t="str">
        <f>dms_TradingName</f>
        <v>CitiPower</v>
      </c>
      <c r="D10" s="356"/>
      <c r="E10" s="357"/>
      <c r="F10" s="358"/>
      <c r="G10" s="358"/>
      <c r="H10" s="358"/>
      <c r="I10" s="359"/>
    </row>
    <row r="11" spans="1:51" customFormat="1" x14ac:dyDescent="0.35">
      <c r="B11" s="354" t="s">
        <v>405</v>
      </c>
      <c r="C11" s="355">
        <f>INDEX(dms_UID_List,MATCH(dms_TradingName,dms_TradingName_List))</f>
        <v>5</v>
      </c>
      <c r="D11" s="356"/>
      <c r="E11" s="357"/>
      <c r="F11" s="358"/>
      <c r="G11" s="358"/>
      <c r="H11" s="358"/>
      <c r="I11" s="359"/>
    </row>
    <row r="12" spans="1:51" customFormat="1" x14ac:dyDescent="0.35">
      <c r="A12" s="360" t="s">
        <v>406</v>
      </c>
      <c r="B12" s="361" t="s">
        <v>407</v>
      </c>
      <c r="C12" s="362" t="s">
        <v>152</v>
      </c>
      <c r="D12" s="363" t="s">
        <v>408</v>
      </c>
      <c r="E12" s="364"/>
      <c r="F12" s="365"/>
      <c r="G12" s="365"/>
      <c r="H12" s="365"/>
      <c r="I12" s="366"/>
    </row>
    <row r="13" spans="1:51" customFormat="1" x14ac:dyDescent="0.35">
      <c r="A13" s="940" t="s">
        <v>409</v>
      </c>
      <c r="B13" s="354" t="s">
        <v>383</v>
      </c>
      <c r="C13" s="367" t="s">
        <v>410</v>
      </c>
      <c r="D13" s="357" t="s">
        <v>411</v>
      </c>
      <c r="E13" s="368" t="str">
        <f>IF(dms_MODEL="Reset", "Make sure you have set Reg Proposal as source","")</f>
        <v>Make sure you have set Reg Proposal as source</v>
      </c>
      <c r="F13" s="358"/>
      <c r="G13" s="358"/>
      <c r="H13" s="358"/>
      <c r="I13" s="359"/>
    </row>
    <row r="14" spans="1:51" customFormat="1" x14ac:dyDescent="0.35">
      <c r="A14" s="941"/>
      <c r="B14" s="354" t="s">
        <v>412</v>
      </c>
      <c r="C14" s="355" t="s">
        <v>387</v>
      </c>
      <c r="D14" s="357" t="s">
        <v>413</v>
      </c>
      <c r="E14" s="943"/>
      <c r="F14" s="943"/>
      <c r="G14" s="943"/>
      <c r="H14" s="943"/>
      <c r="I14" s="944"/>
    </row>
    <row r="15" spans="1:51" customFormat="1" x14ac:dyDescent="0.35">
      <c r="A15" s="941"/>
      <c r="B15" s="354" t="s">
        <v>414</v>
      </c>
      <c r="C15" s="355" t="s">
        <v>389</v>
      </c>
      <c r="D15" s="357" t="s">
        <v>415</v>
      </c>
      <c r="E15" s="369"/>
      <c r="F15" s="369"/>
      <c r="G15" s="369"/>
      <c r="H15" s="369"/>
      <c r="I15" s="370"/>
    </row>
    <row r="16" spans="1:51" customFormat="1" ht="39" customHeight="1" x14ac:dyDescent="0.35">
      <c r="A16" s="941"/>
      <c r="B16" s="371" t="s">
        <v>416</v>
      </c>
      <c r="C16" s="945" t="str">
        <f>dms_Amendment_Text</f>
        <v>.</v>
      </c>
      <c r="D16" s="945"/>
      <c r="E16" s="945"/>
      <c r="F16" s="372" t="s">
        <v>417</v>
      </c>
      <c r="G16" s="369"/>
      <c r="H16" s="369"/>
      <c r="I16" s="370"/>
    </row>
    <row r="17" spans="1:11" customFormat="1" ht="15" customHeight="1" thickBot="1" x14ac:dyDescent="0.4">
      <c r="A17" s="942"/>
      <c r="B17" s="373" t="s">
        <v>418</v>
      </c>
      <c r="C17" s="374" t="str">
        <f>dms_Typed_Submission_Date</f>
        <v>dd/mm/yy</v>
      </c>
      <c r="D17" s="375" t="s">
        <v>419</v>
      </c>
      <c r="E17" s="376"/>
      <c r="F17" s="377"/>
      <c r="G17" s="377"/>
      <c r="H17" s="377"/>
      <c r="I17" s="378"/>
    </row>
    <row r="18" spans="1:11" customFormat="1" ht="15" customHeight="1" thickBot="1" x14ac:dyDescent="0.4">
      <c r="B18" s="30"/>
      <c r="C18" s="30"/>
      <c r="D18" s="30"/>
      <c r="E18" s="30"/>
      <c r="F18" s="30"/>
      <c r="G18" s="30"/>
      <c r="H18" s="30"/>
      <c r="I18" s="30"/>
    </row>
    <row r="19" spans="1:11" customFormat="1" ht="15" thickBot="1" x14ac:dyDescent="0.4">
      <c r="A19" s="360" t="s">
        <v>420</v>
      </c>
      <c r="B19" s="379" t="s">
        <v>421</v>
      </c>
      <c r="C19" s="380" t="s">
        <v>422</v>
      </c>
      <c r="D19" s="381"/>
      <c r="E19" s="381"/>
      <c r="F19" s="381"/>
      <c r="G19" s="381"/>
      <c r="H19" s="381"/>
      <c r="I19" s="382"/>
      <c r="J19" s="148"/>
      <c r="K19" s="148"/>
    </row>
    <row r="20" spans="1:11" customFormat="1" x14ac:dyDescent="0.35">
      <c r="A20" s="946" t="s">
        <v>423</v>
      </c>
      <c r="B20" s="383" t="s">
        <v>424</v>
      </c>
      <c r="C20" s="384" t="s">
        <v>387</v>
      </c>
      <c r="D20" s="385" t="s">
        <v>425</v>
      </c>
      <c r="E20" s="386" t="s">
        <v>426</v>
      </c>
      <c r="F20" s="387"/>
      <c r="G20" s="387"/>
      <c r="H20" s="387"/>
      <c r="I20" s="387"/>
      <c r="J20" s="388"/>
      <c r="K20" s="389"/>
    </row>
    <row r="21" spans="1:11" s="229" customFormat="1" x14ac:dyDescent="0.35">
      <c r="A21" s="947"/>
      <c r="B21" s="390" t="s">
        <v>427</v>
      </c>
      <c r="C21" s="391">
        <f>INDEX(dms_Sector_List,MATCH(dms_TradingName,dms_TradingName_List))</f>
        <v>0</v>
      </c>
      <c r="D21" s="392" t="s">
        <v>428</v>
      </c>
      <c r="E21" s="393" t="s">
        <v>429</v>
      </c>
      <c r="F21" s="394"/>
      <c r="G21" s="394"/>
      <c r="H21" s="394"/>
      <c r="I21" s="394"/>
      <c r="J21" s="395"/>
      <c r="K21" s="396"/>
    </row>
    <row r="22" spans="1:11" customFormat="1" x14ac:dyDescent="0.35">
      <c r="A22" s="947"/>
      <c r="B22" s="390" t="s">
        <v>430</v>
      </c>
      <c r="C22" s="397">
        <f>INDEX(dms_Segment_List,MATCH(dms_TradingName,dms_TradingName_List))</f>
        <v>0</v>
      </c>
      <c r="D22" s="392" t="s">
        <v>431</v>
      </c>
      <c r="E22" s="393" t="s">
        <v>432</v>
      </c>
      <c r="F22" s="394"/>
      <c r="G22" s="394"/>
      <c r="H22" s="394"/>
      <c r="I22" s="394"/>
      <c r="J22" s="395"/>
      <c r="K22" s="396"/>
    </row>
    <row r="23" spans="1:11" customFormat="1" x14ac:dyDescent="0.35">
      <c r="A23" s="947"/>
      <c r="B23" s="390" t="s">
        <v>433</v>
      </c>
      <c r="C23" s="391" t="e">
        <f>IF(dms_MultiYear_Flag=1,LEFT(dms_Specified_FinalYear,2)&amp;RIGHT(dms_Specified_FinalYear,2),dms_RYE_result)</f>
        <v>#NAME?</v>
      </c>
      <c r="D23" s="392" t="s">
        <v>434</v>
      </c>
      <c r="E23" s="393" t="s">
        <v>435</v>
      </c>
      <c r="F23" s="394"/>
      <c r="G23" s="394"/>
      <c r="H23" s="394"/>
      <c r="I23" s="394"/>
      <c r="J23" s="395"/>
      <c r="K23" s="396"/>
    </row>
    <row r="24" spans="1:11" customFormat="1" x14ac:dyDescent="0.35">
      <c r="A24" s="947"/>
      <c r="B24" s="390" t="s">
        <v>436</v>
      </c>
      <c r="C24" s="397">
        <f>INDEX(dms_RPT_List,MATCH(dms_TradingName,dms_TradingName_List))</f>
        <v>0</v>
      </c>
      <c r="D24" s="392" t="s">
        <v>437</v>
      </c>
      <c r="E24" s="393" t="s">
        <v>438</v>
      </c>
      <c r="F24" s="394"/>
      <c r="G24" s="394"/>
      <c r="H24" s="394"/>
      <c r="I24" s="394"/>
      <c r="J24" s="395"/>
      <c r="K24" s="396"/>
    </row>
    <row r="25" spans="1:11" ht="18" x14ac:dyDescent="0.35">
      <c r="A25" s="947"/>
      <c r="B25" s="390" t="s">
        <v>439</v>
      </c>
      <c r="C25" s="398" t="s">
        <v>440</v>
      </c>
      <c r="D25" s="392" t="s">
        <v>441</v>
      </c>
      <c r="E25" s="399" t="e">
        <f>IF(dms_SingleYearModel="yes","This is set to an historical template (EB, CA or ARR), apply UOM Named Range to cell !","This is not an historical template, make sure UOM Named Range is not applied")</f>
        <v>#NAME?</v>
      </c>
      <c r="F25" s="400"/>
      <c r="G25" s="400"/>
      <c r="H25" s="400"/>
      <c r="I25" s="400"/>
      <c r="J25" s="401" t="str" cm="1">
        <f t="array" ref="J25">IFERROR(dms_dollar_nom_UOM, "NR not applied")</f>
        <v>NR not applied</v>
      </c>
      <c r="K25" s="402"/>
    </row>
    <row r="26" spans="1:11" customFormat="1" x14ac:dyDescent="0.35">
      <c r="A26" s="947"/>
      <c r="B26" s="390" t="s">
        <v>442</v>
      </c>
      <c r="C26" s="397" t="s">
        <v>389</v>
      </c>
      <c r="D26" s="403" t="s">
        <v>443</v>
      </c>
      <c r="E26" s="404" t="s">
        <v>444</v>
      </c>
      <c r="F26" s="394"/>
      <c r="G26" s="394"/>
      <c r="H26" s="394"/>
      <c r="I26" s="394"/>
      <c r="J26" s="395"/>
      <c r="K26" s="396"/>
    </row>
    <row r="27" spans="1:11" customFormat="1" ht="15.75" customHeight="1" thickBot="1" x14ac:dyDescent="0.4">
      <c r="A27" s="948"/>
      <c r="B27" s="405" t="s">
        <v>445</v>
      </c>
      <c r="C27" s="406">
        <f>INDEX(dms_JurisdictionList,MATCH(dms_TradingName,dms_TradingName_List))</f>
        <v>0</v>
      </c>
      <c r="D27" s="407" t="s">
        <v>446</v>
      </c>
      <c r="E27" s="408" t="s">
        <v>447</v>
      </c>
      <c r="F27" s="409"/>
      <c r="G27" s="409"/>
      <c r="H27" s="409"/>
      <c r="I27" s="409"/>
      <c r="J27" s="410"/>
      <c r="K27" s="411"/>
    </row>
    <row r="28" spans="1:11" customFormat="1" ht="22.5" customHeight="1" thickBot="1" x14ac:dyDescent="0.4">
      <c r="A28" s="949" t="s">
        <v>448</v>
      </c>
      <c r="B28" s="412" t="s">
        <v>449</v>
      </c>
      <c r="C28" s="413"/>
      <c r="D28" s="413"/>
      <c r="E28" s="414"/>
      <c r="F28" s="415"/>
      <c r="G28" s="415"/>
      <c r="H28" s="415"/>
      <c r="I28" s="415"/>
      <c r="J28" s="415"/>
      <c r="K28" s="416"/>
    </row>
    <row r="29" spans="1:11" s="75" customFormat="1" ht="22.5" customHeight="1" x14ac:dyDescent="0.35">
      <c r="A29" s="950"/>
      <c r="B29" s="417" t="s">
        <v>450</v>
      </c>
      <c r="C29" s="418" t="str">
        <f>IFERROR(CRY,"NO")</f>
        <v>2023-24</v>
      </c>
      <c r="D29" s="419"/>
      <c r="E29" s="420"/>
      <c r="F29" s="420"/>
      <c r="G29" s="420"/>
      <c r="H29" s="420"/>
      <c r="I29" s="420"/>
      <c r="J29" s="420"/>
      <c r="K29" s="421"/>
    </row>
    <row r="30" spans="1:11" customFormat="1" x14ac:dyDescent="0.35">
      <c r="A30" s="950"/>
      <c r="B30" s="422" t="s">
        <v>451</v>
      </c>
      <c r="C30" s="398" t="str">
        <f>IFERROR(IF(dms_RPT="calendar",CRY-1,LEFT(CRY,4)),"CRY not present")</f>
        <v>CRY not present</v>
      </c>
      <c r="D30" s="423" t="s">
        <v>452</v>
      </c>
      <c r="E30" s="424" t="s">
        <v>453</v>
      </c>
      <c r="F30" s="423"/>
      <c r="G30" s="423"/>
      <c r="H30" s="423"/>
      <c r="I30" s="423"/>
      <c r="J30" s="425"/>
      <c r="K30" s="426"/>
    </row>
    <row r="31" spans="1:11" customFormat="1" x14ac:dyDescent="0.35">
      <c r="A31" s="950"/>
      <c r="B31" s="427" t="s">
        <v>454</v>
      </c>
      <c r="C31" s="397">
        <f>INDEX(dms_RPTMonth_List,MATCH(dms_TradingName,dms_TradingName_List))</f>
        <v>0</v>
      </c>
      <c r="D31" s="403" t="s">
        <v>455</v>
      </c>
      <c r="E31" s="392" t="s">
        <v>456</v>
      </c>
      <c r="F31" s="403"/>
      <c r="G31" s="403"/>
      <c r="H31" s="403"/>
      <c r="I31" s="403"/>
      <c r="J31" s="428"/>
      <c r="K31" s="429"/>
    </row>
    <row r="32" spans="1:11" customFormat="1" ht="14.25" customHeight="1" x14ac:dyDescent="0.35">
      <c r="A32" s="950"/>
      <c r="B32" s="427" t="s">
        <v>457</v>
      </c>
      <c r="C32" s="430" t="e">
        <f>IF(dms_MODEL="RFM",dms_DollarReal_Prev, IF(dms_SingleYearModel="yes",CONCATENATE(dms_RPTMonth)&amp;" "&amp;VALUE((LEFT(dms_CRY_start_year,2)&amp;RIGHT(dms_CRY_start_year,2))),CONCATENATE(dms_RPTMonth)&amp;" "&amp;dms_DollarReal_year))</f>
        <v>#NAME?</v>
      </c>
      <c r="D32" s="392" t="s">
        <v>458</v>
      </c>
      <c r="E32" s="392" t="s">
        <v>459</v>
      </c>
      <c r="F32" s="403"/>
      <c r="G32" s="403"/>
      <c r="H32" s="403"/>
      <c r="I32" s="403"/>
      <c r="J32" s="428"/>
      <c r="K32" s="429"/>
    </row>
    <row r="33" spans="1:90" customFormat="1" ht="24" customHeight="1" thickBot="1" x14ac:dyDescent="0.4">
      <c r="A33" s="951"/>
      <c r="B33" s="431" t="s">
        <v>460</v>
      </c>
      <c r="C33" s="432" t="e">
        <f>CONCATENATE(dms_RPTMonth)&amp;" "&amp;dms_Previous_DollarReal_year</f>
        <v>#NAME?</v>
      </c>
      <c r="D33" s="407" t="s">
        <v>461</v>
      </c>
      <c r="E33" s="407" t="s">
        <v>462</v>
      </c>
      <c r="F33" s="433"/>
      <c r="G33" s="433"/>
      <c r="H33" s="433"/>
      <c r="I33" s="433"/>
      <c r="J33" s="434"/>
      <c r="K33" s="435"/>
    </row>
    <row r="34" spans="1:90" customFormat="1" ht="24" customHeight="1" thickBot="1" x14ac:dyDescent="0.4">
      <c r="B34" s="436" t="s">
        <v>463</v>
      </c>
      <c r="C34" s="437"/>
      <c r="D34" s="437"/>
      <c r="E34" s="437"/>
      <c r="F34" s="438"/>
      <c r="G34" s="438"/>
      <c r="H34" s="438"/>
      <c r="I34" s="438"/>
      <c r="J34" s="438"/>
      <c r="K34" s="439"/>
      <c r="AL34" s="954"/>
      <c r="AM34" s="954"/>
      <c r="AN34" s="954"/>
      <c r="AO34" s="954"/>
      <c r="AP34" s="954"/>
      <c r="AQ34" s="954"/>
      <c r="AR34" s="954"/>
      <c r="AS34" s="954"/>
      <c r="AT34" s="954"/>
      <c r="AU34" s="954"/>
      <c r="AV34" s="954"/>
      <c r="AW34" s="954"/>
      <c r="AX34" s="954"/>
      <c r="AY34" s="954"/>
      <c r="AZ34" s="954"/>
      <c r="BA34" s="954"/>
      <c r="BB34" s="954"/>
      <c r="BC34" s="954"/>
      <c r="BD34" s="954"/>
      <c r="BE34" s="954"/>
      <c r="BF34" s="954"/>
      <c r="BG34" s="954"/>
      <c r="BQ34" s="954"/>
      <c r="BR34" s="954"/>
      <c r="BS34" s="954"/>
      <c r="BT34" s="954"/>
      <c r="BU34" s="954"/>
      <c r="BV34" s="954"/>
      <c r="BW34" s="954"/>
      <c r="BX34" s="954"/>
      <c r="BY34" s="954"/>
      <c r="BZ34" s="954"/>
      <c r="CA34" s="954"/>
      <c r="CB34" s="954"/>
      <c r="CC34" s="954"/>
      <c r="CD34" s="954"/>
      <c r="CE34" s="954"/>
      <c r="CF34" s="954"/>
      <c r="CG34" s="954"/>
      <c r="CH34" s="954"/>
      <c r="CI34" s="954"/>
      <c r="CJ34" s="954"/>
      <c r="CK34" s="954"/>
      <c r="CL34" s="954"/>
    </row>
    <row r="35" spans="1:90" s="75" customFormat="1" ht="30.75" customHeight="1" thickBot="1" x14ac:dyDescent="0.4">
      <c r="B35" s="440" t="s">
        <v>464</v>
      </c>
      <c r="C35" s="441">
        <f>INDEX(dms_FormControl_List,MATCH(dms_TradingName,dms_TradingName_List))</f>
        <v>0</v>
      </c>
      <c r="D35" s="424" t="s">
        <v>465</v>
      </c>
      <c r="E35" s="442" t="s">
        <v>466</v>
      </c>
      <c r="F35" s="443"/>
      <c r="G35" s="443"/>
      <c r="H35" s="443"/>
      <c r="I35" s="443"/>
      <c r="J35" s="444"/>
      <c r="K35" s="445"/>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954"/>
      <c r="BQ35" s="954"/>
      <c r="BR35" s="954"/>
      <c r="BS35" s="954"/>
      <c r="BT35" s="954"/>
      <c r="BU35" s="954"/>
      <c r="BV35" s="954"/>
      <c r="BW35" s="954"/>
      <c r="BX35" s="954"/>
      <c r="BY35" s="954"/>
      <c r="BZ35" s="954"/>
      <c r="CA35" s="954"/>
      <c r="CB35" s="954"/>
      <c r="CC35" s="954"/>
      <c r="CD35" s="954"/>
      <c r="CE35" s="954"/>
      <c r="CF35" s="954"/>
      <c r="CG35" s="954"/>
      <c r="CH35" s="954"/>
      <c r="CI35" s="954"/>
      <c r="CJ35" s="954"/>
      <c r="CK35" s="954"/>
      <c r="CL35" s="954"/>
    </row>
    <row r="36" spans="1:90" customFormat="1" ht="24" customHeight="1" thickBot="1" x14ac:dyDescent="0.4">
      <c r="A36" s="955" t="s">
        <v>467</v>
      </c>
      <c r="B36" s="446" t="s">
        <v>468</v>
      </c>
      <c r="C36" s="447"/>
      <c r="D36" s="414"/>
      <c r="E36" s="414"/>
      <c r="F36" s="415"/>
      <c r="G36" s="415"/>
      <c r="H36" s="415"/>
      <c r="I36" s="415"/>
      <c r="J36" s="415"/>
      <c r="K36" s="416"/>
      <c r="AL36" s="954"/>
      <c r="AM36" s="954"/>
      <c r="AN36" s="954"/>
      <c r="AO36" s="954"/>
      <c r="AP36" s="954"/>
      <c r="AQ36" s="954"/>
      <c r="AR36" s="954"/>
      <c r="AS36" s="954"/>
      <c r="AT36" s="954"/>
      <c r="AU36" s="954"/>
      <c r="AV36" s="954"/>
      <c r="AW36" s="954"/>
      <c r="AX36" s="954"/>
      <c r="AY36" s="954"/>
      <c r="AZ36" s="954"/>
      <c r="BA36" s="954"/>
      <c r="BB36" s="954"/>
      <c r="BC36" s="954"/>
      <c r="BD36" s="954"/>
      <c r="BE36" s="954"/>
      <c r="BF36" s="954"/>
      <c r="BG36" s="954"/>
      <c r="BQ36" s="954"/>
      <c r="BR36" s="954"/>
      <c r="BS36" s="954"/>
      <c r="BT36" s="954"/>
      <c r="BU36" s="954"/>
      <c r="BV36" s="954"/>
      <c r="BW36" s="954"/>
      <c r="BX36" s="954"/>
      <c r="BY36" s="954"/>
      <c r="BZ36" s="954"/>
      <c r="CA36" s="954"/>
      <c r="CB36" s="954"/>
      <c r="CC36" s="954"/>
      <c r="CD36" s="954"/>
      <c r="CE36" s="954"/>
      <c r="CF36" s="954"/>
      <c r="CG36" s="954"/>
      <c r="CH36" s="954"/>
      <c r="CI36" s="954"/>
      <c r="CJ36" s="954"/>
      <c r="CK36" s="954"/>
      <c r="CL36" s="954"/>
    </row>
    <row r="37" spans="1:90" customFormat="1" x14ac:dyDescent="0.35">
      <c r="A37" s="956"/>
      <c r="B37" s="448" t="s">
        <v>469</v>
      </c>
      <c r="C37" s="449" t="str">
        <f>FRCP_y1</f>
        <v>2026-27</v>
      </c>
      <c r="D37" s="450" t="s">
        <v>470</v>
      </c>
      <c r="E37" s="451" t="s">
        <v>471</v>
      </c>
      <c r="F37" s="452"/>
      <c r="G37" s="452"/>
      <c r="H37" s="452"/>
      <c r="I37" s="452"/>
      <c r="J37" s="452"/>
      <c r="K37" s="453"/>
    </row>
    <row r="38" spans="1:90" customFormat="1" x14ac:dyDescent="0.35">
      <c r="A38" s="956"/>
      <c r="B38" s="454" t="s">
        <v>472</v>
      </c>
      <c r="C38" s="455" t="str">
        <f>IFERROR(CRY,CRCP_y4)</f>
        <v>2023-24</v>
      </c>
      <c r="D38" s="456" t="s">
        <v>473</v>
      </c>
      <c r="E38" s="457"/>
      <c r="F38" s="458"/>
      <c r="G38" s="458"/>
      <c r="H38" s="458"/>
      <c r="I38" s="458"/>
      <c r="J38" s="458"/>
      <c r="K38" s="459"/>
    </row>
    <row r="39" spans="1:90" customFormat="1" x14ac:dyDescent="0.35">
      <c r="A39" s="956"/>
      <c r="B39" s="454" t="s">
        <v>474</v>
      </c>
      <c r="C39" s="455">
        <f ca="1">IFERROR(MATCH(dms_CRY_start_year,INDIRECT(dms_RPT),0),0)</f>
        <v>0</v>
      </c>
      <c r="D39" s="456" t="s">
        <v>475</v>
      </c>
      <c r="E39" s="457"/>
      <c r="F39" s="458"/>
      <c r="G39" s="458"/>
      <c r="H39" s="458"/>
      <c r="I39" s="458"/>
      <c r="J39" s="458"/>
      <c r="K39" s="459"/>
    </row>
    <row r="40" spans="1:90" customFormat="1" x14ac:dyDescent="0.35">
      <c r="A40" s="956"/>
      <c r="B40" s="460" t="s">
        <v>476</v>
      </c>
      <c r="C40" s="461" t="e">
        <f ca="1">MATCH(dms_start_year,INDIRECT(dms_RPT),0)</f>
        <v>#NAME?</v>
      </c>
      <c r="D40" s="462" t="s">
        <v>477</v>
      </c>
      <c r="E40" s="463" t="s">
        <v>478</v>
      </c>
      <c r="F40" s="464"/>
      <c r="G40" s="464"/>
      <c r="H40" s="464"/>
      <c r="I40" s="464"/>
      <c r="J40" s="464"/>
      <c r="K40" s="465"/>
    </row>
    <row r="41" spans="1:90" customFormat="1" x14ac:dyDescent="0.35">
      <c r="A41" s="956"/>
      <c r="B41" s="466" t="s">
        <v>479</v>
      </c>
      <c r="C41" s="467" t="e">
        <f>dms_FRCP_start_row-dms_CRCPlength_Num</f>
        <v>#NAME?</v>
      </c>
      <c r="D41" s="468" t="s">
        <v>480</v>
      </c>
      <c r="E41" s="469" t="s">
        <v>481</v>
      </c>
      <c r="F41" s="470"/>
      <c r="G41" s="470"/>
      <c r="H41" s="470"/>
      <c r="I41" s="470"/>
      <c r="J41" s="470"/>
      <c r="K41" s="471"/>
    </row>
    <row r="42" spans="1:90" customFormat="1" x14ac:dyDescent="0.35">
      <c r="A42" s="956"/>
      <c r="B42" s="466" t="s">
        <v>482</v>
      </c>
      <c r="C42" s="467" t="e">
        <f>dms_FRCP_start_row-dms_CRCPlength_Num-dms_PRCPlength_Num</f>
        <v>#NAME?</v>
      </c>
      <c r="D42" s="468" t="s">
        <v>483</v>
      </c>
      <c r="E42" s="469" t="s">
        <v>484</v>
      </c>
      <c r="F42" s="470"/>
      <c r="G42" s="470"/>
      <c r="H42" s="470"/>
      <c r="I42" s="470"/>
      <c r="J42" s="470"/>
      <c r="K42" s="471"/>
    </row>
    <row r="43" spans="1:90" customFormat="1" x14ac:dyDescent="0.35">
      <c r="A43" s="956"/>
      <c r="B43" s="472" t="s">
        <v>485</v>
      </c>
      <c r="C43" s="473" t="e">
        <f>dms_FRCP_start_row+(dms_FRCPlength_Num-1)</f>
        <v>#NAME?</v>
      </c>
      <c r="D43" s="474" t="s">
        <v>486</v>
      </c>
      <c r="E43" s="475" t="s">
        <v>487</v>
      </c>
      <c r="F43" s="476"/>
      <c r="G43" s="476"/>
      <c r="H43" s="476"/>
      <c r="I43" s="476"/>
      <c r="J43" s="476"/>
      <c r="K43" s="477"/>
    </row>
    <row r="44" spans="1:90" customFormat="1" x14ac:dyDescent="0.35">
      <c r="A44" s="956"/>
      <c r="B44" s="460" t="s">
        <v>488</v>
      </c>
      <c r="C44" s="478" t="e">
        <f ca="1">INDEX(INDIRECT(dms_RPT),dms_FRCP_start_row)</f>
        <v>#NAME?</v>
      </c>
      <c r="D44" s="462" t="s">
        <v>489</v>
      </c>
      <c r="E44" s="463" t="s">
        <v>490</v>
      </c>
      <c r="F44" s="464"/>
      <c r="G44" s="464"/>
      <c r="H44" s="464"/>
      <c r="I44" s="464"/>
      <c r="J44" s="464"/>
      <c r="K44" s="465"/>
    </row>
    <row r="45" spans="1:90" customFormat="1" x14ac:dyDescent="0.35">
      <c r="A45" s="956"/>
      <c r="B45" s="466" t="s">
        <v>491</v>
      </c>
      <c r="C45" s="467" t="e">
        <f ca="1">INDEX(INDIRECT(dms_RPT),dms_CRCP_start_row)</f>
        <v>#NAME?</v>
      </c>
      <c r="D45" s="468" t="s">
        <v>492</v>
      </c>
      <c r="E45" s="469" t="s">
        <v>493</v>
      </c>
      <c r="F45" s="470"/>
      <c r="G45" s="470"/>
      <c r="H45" s="470"/>
      <c r="I45" s="470"/>
      <c r="J45" s="470"/>
      <c r="K45" s="471"/>
    </row>
    <row r="46" spans="1:90" customFormat="1" x14ac:dyDescent="0.35">
      <c r="A46" s="956"/>
      <c r="B46" s="479" t="s">
        <v>494</v>
      </c>
      <c r="C46" s="480" t="e">
        <f ca="1">INDEX(INDIRECT(dms_RPT),dms_PRCP_start_row)</f>
        <v>#NAME?</v>
      </c>
      <c r="D46" s="481" t="s">
        <v>495</v>
      </c>
      <c r="E46" s="475" t="s">
        <v>496</v>
      </c>
      <c r="F46" s="476"/>
      <c r="G46" s="476"/>
      <c r="H46" s="476"/>
      <c r="I46" s="476"/>
      <c r="J46" s="476"/>
      <c r="K46" s="477"/>
    </row>
    <row r="47" spans="1:90" customFormat="1" x14ac:dyDescent="0.35">
      <c r="A47" s="956"/>
      <c r="B47" s="460" t="s">
        <v>497</v>
      </c>
      <c r="C47" s="478" t="e">
        <f ca="1">INDEX(INDIRECT(dms_RPT),dms_FRCP_start_row+dms_FRCPlength_Num-1)</f>
        <v>#NAME?</v>
      </c>
      <c r="D47" s="462" t="s">
        <v>498</v>
      </c>
      <c r="E47" s="469" t="s">
        <v>499</v>
      </c>
      <c r="F47" s="470"/>
      <c r="G47" s="470"/>
      <c r="H47" s="470"/>
      <c r="I47" s="470"/>
      <c r="J47" s="470"/>
      <c r="K47" s="471"/>
    </row>
    <row r="48" spans="1:90" customFormat="1" x14ac:dyDescent="0.35">
      <c r="A48" s="956"/>
      <c r="B48" s="466" t="s">
        <v>500</v>
      </c>
      <c r="C48" s="467" t="e">
        <f ca="1">INDEX(INDIRECT(dms_RPT),dms_CRCP_start_row+dms_CRCPlength_Num-1)</f>
        <v>#NAME?</v>
      </c>
      <c r="D48" s="468" t="s">
        <v>501</v>
      </c>
      <c r="E48" s="469" t="s">
        <v>502</v>
      </c>
      <c r="F48" s="470"/>
      <c r="G48" s="470"/>
      <c r="H48" s="470"/>
      <c r="I48" s="470"/>
      <c r="J48" s="470"/>
      <c r="K48" s="471"/>
    </row>
    <row r="49" spans="1:11" customFormat="1" x14ac:dyDescent="0.35">
      <c r="A49" s="956"/>
      <c r="B49" s="479" t="s">
        <v>503</v>
      </c>
      <c r="C49" s="480" t="e">
        <f ca="1">INDEX(INDIRECT(dms_RPT),dms_PRCP_start_row+dms_FRCPlength_Num-1)</f>
        <v>#NAME?</v>
      </c>
      <c r="D49" s="481" t="s">
        <v>504</v>
      </c>
      <c r="E49" s="475" t="s">
        <v>505</v>
      </c>
      <c r="F49" s="476"/>
      <c r="G49" s="476"/>
      <c r="H49" s="476"/>
      <c r="I49" s="476"/>
      <c r="J49" s="476"/>
      <c r="K49" s="477"/>
    </row>
    <row r="50" spans="1:11" customFormat="1" x14ac:dyDescent="0.35">
      <c r="A50" s="956"/>
      <c r="B50" s="460" t="s">
        <v>506</v>
      </c>
      <c r="C50" s="478" t="e">
        <f ca="1">INDEX(INDIRECT(dms_RPT),dms_RYE_start_row)</f>
        <v>#NAME?</v>
      </c>
      <c r="D50" s="462" t="s">
        <v>507</v>
      </c>
      <c r="E50" s="469" t="s">
        <v>508</v>
      </c>
      <c r="F50" s="470"/>
      <c r="G50" s="470"/>
      <c r="H50" s="470"/>
      <c r="I50" s="470"/>
      <c r="J50" s="470"/>
      <c r="K50" s="471"/>
    </row>
    <row r="51" spans="1:11" customFormat="1" x14ac:dyDescent="0.35">
      <c r="A51" s="956"/>
      <c r="B51" s="479" t="s">
        <v>509</v>
      </c>
      <c r="C51" s="482" t="str">
        <f>FRY</f>
        <v>2029-30</v>
      </c>
      <c r="D51" s="481" t="s">
        <v>510</v>
      </c>
      <c r="E51" s="475" t="s">
        <v>511</v>
      </c>
      <c r="F51" s="476"/>
      <c r="G51" s="476"/>
      <c r="H51" s="476"/>
      <c r="I51" s="476"/>
      <c r="J51" s="476"/>
      <c r="K51" s="477"/>
    </row>
    <row r="52" spans="1:11" customFormat="1" x14ac:dyDescent="0.35">
      <c r="A52" s="956"/>
      <c r="B52" s="454" t="s">
        <v>512</v>
      </c>
      <c r="C52" s="483" t="e">
        <f>LEFT(CRCP_final_year,2)&amp;RIGHT(CRCP_final_year,2)</f>
        <v>#NAME?</v>
      </c>
      <c r="D52" s="456" t="s">
        <v>513</v>
      </c>
      <c r="E52" s="484" t="s">
        <v>514</v>
      </c>
      <c r="F52" s="485"/>
      <c r="G52" s="485"/>
      <c r="H52" s="485"/>
      <c r="I52" s="485"/>
      <c r="J52" s="485"/>
      <c r="K52" s="486"/>
    </row>
    <row r="53" spans="1:11" customFormat="1" x14ac:dyDescent="0.35">
      <c r="A53" s="956"/>
      <c r="B53" s="487" t="s">
        <v>515</v>
      </c>
      <c r="C53" s="488" t="e">
        <f>LEFT(PRCP_final_year,2)&amp;RIGHT(PRCP_final_year,2)</f>
        <v>#NAME?</v>
      </c>
      <c r="D53" s="489" t="s">
        <v>516</v>
      </c>
      <c r="E53" s="475" t="s">
        <v>517</v>
      </c>
      <c r="F53" s="476"/>
      <c r="G53" s="476"/>
      <c r="H53" s="476"/>
      <c r="I53" s="476"/>
      <c r="J53" s="476"/>
      <c r="K53" s="477"/>
    </row>
    <row r="54" spans="1:11" customFormat="1" x14ac:dyDescent="0.35">
      <c r="A54" s="956"/>
      <c r="B54" s="490" t="s">
        <v>518</v>
      </c>
      <c r="C54" s="491" t="str">
        <f>IFERROR(LEFT(CRY,2)&amp;RIGHT(CRY,2),0)</f>
        <v>2024</v>
      </c>
      <c r="D54" s="492" t="s">
        <v>519</v>
      </c>
      <c r="E54" s="463" t="s">
        <v>520</v>
      </c>
      <c r="F54" s="470"/>
      <c r="G54" s="470"/>
      <c r="H54" s="470"/>
      <c r="I54" s="470"/>
      <c r="J54" s="470"/>
      <c r="K54" s="471"/>
    </row>
    <row r="55" spans="1:11" customFormat="1" x14ac:dyDescent="0.35">
      <c r="A55" s="956"/>
      <c r="B55" s="466" t="s">
        <v>521</v>
      </c>
      <c r="C55" s="467" t="e">
        <f>IF(dms_Model_Span&gt;1,IF(dms_MODEL="RFM",(LEFT(dms_DollarReal_year,2)&amp;RIGHT(dms_DollarReal_year,2)),(LEFT(dms_Reset_final_year,2)&amp;RIGHT(dms_Reset_final_year,2))),0)</f>
        <v>#NAME?</v>
      </c>
      <c r="D55" s="468" t="s">
        <v>522</v>
      </c>
      <c r="E55" s="469" t="s">
        <v>523</v>
      </c>
      <c r="F55" s="470"/>
      <c r="G55" s="470"/>
      <c r="H55" s="470"/>
      <c r="I55" s="470"/>
      <c r="J55" s="470"/>
      <c r="K55" s="471"/>
    </row>
    <row r="56" spans="1:11" customFormat="1" x14ac:dyDescent="0.35">
      <c r="A56" s="956"/>
      <c r="B56" s="466" t="s">
        <v>524</v>
      </c>
      <c r="C56" s="467" t="e">
        <f>IF(dms_MultiYear_ResponseFlag="Yes",(LEFT(dms_Specified_FinalYear,2)&amp;RIGHT(dms_Specified_FinalYear,2)),0)</f>
        <v>#NAME?</v>
      </c>
      <c r="D56" s="468" t="s">
        <v>525</v>
      </c>
      <c r="E56" s="469" t="s">
        <v>526</v>
      </c>
      <c r="F56" s="470"/>
      <c r="G56" s="470"/>
      <c r="H56" s="470"/>
      <c r="I56" s="470"/>
      <c r="J56" s="470"/>
      <c r="K56" s="471"/>
    </row>
    <row r="57" spans="1:11" customFormat="1" x14ac:dyDescent="0.35">
      <c r="A57" s="956"/>
      <c r="B57" s="466" t="s">
        <v>527</v>
      </c>
      <c r="C57" s="467">
        <f>INDEX(dms_Model_Span_List,MATCH(dms_MODEL,dms_Model_List))</f>
        <v>0</v>
      </c>
      <c r="D57" s="468" t="s">
        <v>528</v>
      </c>
      <c r="E57" s="469" t="s">
        <v>529</v>
      </c>
      <c r="F57" s="470"/>
      <c r="G57" s="470"/>
      <c r="H57" s="470"/>
      <c r="I57" s="470"/>
      <c r="J57" s="470"/>
      <c r="K57" s="471"/>
    </row>
    <row r="58" spans="1:11" customFormat="1" x14ac:dyDescent="0.35">
      <c r="A58" s="956"/>
      <c r="B58" s="479" t="s">
        <v>530</v>
      </c>
      <c r="C58" s="480" t="e">
        <f>IF(dms_MultiYear_ResponseFlag="yes",dms_Specified_RYE,(IF(dms_Model_Span&gt;1,dms_Reset_RYE,dms_CRY_RYE)))</f>
        <v>#NAME?</v>
      </c>
      <c r="D58" s="481" t="s">
        <v>531</v>
      </c>
      <c r="E58" s="475" t="s">
        <v>532</v>
      </c>
      <c r="F58" s="476"/>
      <c r="G58" s="476"/>
      <c r="H58" s="476"/>
      <c r="I58" s="476"/>
      <c r="J58" s="476"/>
      <c r="K58" s="477"/>
    </row>
    <row r="59" spans="1:11" customFormat="1" x14ac:dyDescent="0.35">
      <c r="A59" s="956"/>
      <c r="B59" s="490" t="s">
        <v>533</v>
      </c>
      <c r="C59" s="491" t="e">
        <f>IF(dms_Reset_RYE&gt;0,CONCATENATE(FRCP_y1," to ",FRCP_final_year),0)</f>
        <v>#NAME?</v>
      </c>
      <c r="D59" s="492" t="s">
        <v>534</v>
      </c>
      <c r="E59" s="469" t="s">
        <v>535</v>
      </c>
      <c r="F59" s="493"/>
      <c r="G59" s="470"/>
      <c r="H59" s="470"/>
      <c r="I59" s="470"/>
      <c r="J59" s="470"/>
      <c r="K59" s="471"/>
    </row>
    <row r="60" spans="1:11" customFormat="1" x14ac:dyDescent="0.35">
      <c r="A60" s="956"/>
      <c r="B60" s="466" t="s">
        <v>536</v>
      </c>
      <c r="C60" s="467" t="e">
        <f>IF(dms_Specified_RYE&gt;0,CONCATENATE(CRY," to ",dms_Specified_FinalYear),0)</f>
        <v>#NAME?</v>
      </c>
      <c r="D60" s="468" t="s">
        <v>537</v>
      </c>
      <c r="E60" s="469" t="s">
        <v>538</v>
      </c>
      <c r="F60" s="470"/>
      <c r="G60" s="470"/>
      <c r="H60" s="470"/>
      <c r="I60" s="470"/>
      <c r="J60" s="470"/>
      <c r="K60" s="471"/>
    </row>
    <row r="61" spans="1:11" customFormat="1" ht="15" thickBot="1" x14ac:dyDescent="0.4">
      <c r="A61" s="956"/>
      <c r="B61" s="494" t="s">
        <v>539</v>
      </c>
      <c r="C61" s="495" t="e">
        <f>IF(dms_MultiYear_Flag=1,dms_SpecifiedYear_Span,IF(dms_Model_Span&gt;1,dms_y1&amp;" to "&amp;FRCP_final_year,CRY))</f>
        <v>#NAME?</v>
      </c>
      <c r="D61" s="496" t="s">
        <v>540</v>
      </c>
      <c r="E61" s="497" t="s">
        <v>541</v>
      </c>
      <c r="F61" s="498"/>
      <c r="G61" s="498"/>
      <c r="H61" s="498"/>
      <c r="I61" s="498"/>
      <c r="J61" s="498"/>
      <c r="K61" s="499"/>
    </row>
    <row r="62" spans="1:11" customFormat="1" ht="25.5" customHeight="1" thickBot="1" x14ac:dyDescent="0.4">
      <c r="B62" s="446" t="s">
        <v>542</v>
      </c>
      <c r="C62" s="447"/>
      <c r="D62" s="437"/>
      <c r="E62" s="437"/>
      <c r="F62" s="438"/>
      <c r="G62" s="438"/>
      <c r="H62" s="438"/>
      <c r="I62" s="438"/>
      <c r="J62" s="438"/>
      <c r="K62" s="439"/>
    </row>
    <row r="63" spans="1:11" customFormat="1" ht="17.5" x14ac:dyDescent="0.35">
      <c r="B63" s="500" t="s">
        <v>543</v>
      </c>
      <c r="C63" s="501" t="s">
        <v>422</v>
      </c>
      <c r="D63" s="502"/>
      <c r="E63" s="503"/>
      <c r="F63" s="504"/>
      <c r="G63" s="504"/>
      <c r="H63" s="504"/>
      <c r="I63" s="504"/>
      <c r="J63" s="505"/>
      <c r="K63" s="506"/>
    </row>
    <row r="64" spans="1:11" customFormat="1" x14ac:dyDescent="0.35">
      <c r="B64" s="507"/>
      <c r="C64" s="508" t="e">
        <f>IF(dms_MultiYear_ResponseFlag="No",0,1)</f>
        <v>#NAME?</v>
      </c>
      <c r="D64" s="509" t="s">
        <v>544</v>
      </c>
      <c r="E64" s="510" t="s">
        <v>545</v>
      </c>
      <c r="F64" s="511"/>
      <c r="G64" s="511"/>
      <c r="H64" s="511"/>
      <c r="I64" s="511"/>
      <c r="J64" s="512"/>
      <c r="K64" s="513"/>
    </row>
    <row r="65" spans="2:11" customFormat="1" x14ac:dyDescent="0.35">
      <c r="B65" s="507"/>
      <c r="C65" s="514" t="e">
        <f>IF(dms_MultiYear_Flag=1,FRY,"not a Multiple year submission")</f>
        <v>#NAME?</v>
      </c>
      <c r="D65" s="509" t="s">
        <v>546</v>
      </c>
      <c r="E65" s="515" t="s">
        <v>547</v>
      </c>
      <c r="F65" s="511"/>
      <c r="G65" s="511"/>
      <c r="H65" s="511"/>
      <c r="I65" s="516"/>
      <c r="J65" s="517"/>
      <c r="K65" s="518"/>
    </row>
    <row r="66" spans="2:11" customFormat="1" ht="15" thickBot="1" x14ac:dyDescent="0.4">
      <c r="B66" s="519" t="s">
        <v>548</v>
      </c>
      <c r="C66" s="520" t="str">
        <f>IFERROR(IF(dms_MultiYear_Flag=1,FRY,CRY),"not an ABC")</f>
        <v>not an ABC</v>
      </c>
      <c r="D66" s="521" t="s">
        <v>549</v>
      </c>
      <c r="E66" s="521" t="s">
        <v>550</v>
      </c>
      <c r="F66" s="522"/>
      <c r="G66" s="522" t="s">
        <v>551</v>
      </c>
      <c r="H66" s="522"/>
      <c r="I66" s="522"/>
      <c r="J66" s="523"/>
      <c r="K66" s="524"/>
    </row>
    <row r="67" spans="2:11" customFormat="1" ht="22.5" customHeight="1" thickBot="1" x14ac:dyDescent="0.4">
      <c r="B67" s="446" t="s">
        <v>552</v>
      </c>
      <c r="C67" s="447"/>
      <c r="D67" s="447"/>
      <c r="E67" s="447"/>
      <c r="F67" s="525"/>
      <c r="G67" s="525"/>
      <c r="H67" s="525"/>
      <c r="I67" s="525"/>
      <c r="J67" s="525"/>
      <c r="K67" s="526"/>
    </row>
    <row r="68" spans="2:11" customFormat="1" x14ac:dyDescent="0.35">
      <c r="B68" s="527" t="s">
        <v>553</v>
      </c>
      <c r="C68" s="528"/>
      <c r="D68" s="529"/>
      <c r="E68" s="530"/>
      <c r="F68" s="531"/>
      <c r="G68" s="531"/>
      <c r="H68" s="531"/>
      <c r="I68" s="531"/>
      <c r="J68" s="532"/>
      <c r="K68" s="533"/>
    </row>
    <row r="69" spans="2:11" customFormat="1" x14ac:dyDescent="0.35">
      <c r="B69" s="507" t="s">
        <v>554</v>
      </c>
      <c r="C69" s="534">
        <f>INDEX(dms_PRCPlength_List,MATCH(dms_TradingName,dms_TradingName_List))</f>
        <v>0</v>
      </c>
      <c r="D69" s="502" t="s">
        <v>555</v>
      </c>
      <c r="E69" s="535" t="s">
        <v>556</v>
      </c>
      <c r="F69" s="536"/>
      <c r="G69" s="536"/>
      <c r="H69" s="536"/>
      <c r="I69" s="536"/>
      <c r="J69" s="536"/>
      <c r="K69" s="537"/>
    </row>
    <row r="70" spans="2:11" customFormat="1" x14ac:dyDescent="0.35">
      <c r="B70" s="507" t="s">
        <v>557</v>
      </c>
      <c r="C70" s="508">
        <f>INDEX(dms_CRCPlength_List,MATCH(dms_TradingName,dms_TradingName_List))</f>
        <v>0</v>
      </c>
      <c r="D70" s="538" t="s">
        <v>558</v>
      </c>
      <c r="E70" s="539" t="s">
        <v>559</v>
      </c>
      <c r="F70" s="531"/>
      <c r="G70" s="531"/>
      <c r="H70" s="531"/>
      <c r="I70" s="531"/>
      <c r="J70" s="531"/>
      <c r="K70" s="540"/>
    </row>
    <row r="71" spans="2:11" customFormat="1" x14ac:dyDescent="0.35">
      <c r="B71" s="541" t="s">
        <v>560</v>
      </c>
      <c r="C71" s="542">
        <f>INDEX(dms_FRCPlength_List,MATCH(dms_TradingName,dms_TradingName_List))</f>
        <v>0</v>
      </c>
      <c r="D71" s="543" t="s">
        <v>561</v>
      </c>
      <c r="E71" s="544" t="s">
        <v>562</v>
      </c>
      <c r="F71" s="545"/>
      <c r="G71" s="545"/>
      <c r="H71" s="545"/>
      <c r="I71" s="545"/>
      <c r="J71" s="545"/>
      <c r="K71" s="546"/>
    </row>
    <row r="72" spans="2:11" customFormat="1" x14ac:dyDescent="0.35">
      <c r="B72" s="547" t="s">
        <v>563</v>
      </c>
      <c r="C72" s="529"/>
      <c r="D72" s="529"/>
      <c r="E72" s="530"/>
      <c r="F72" s="531"/>
      <c r="G72" s="531"/>
      <c r="H72" s="531"/>
      <c r="I72" s="531"/>
      <c r="J72" s="532"/>
      <c r="K72" s="533"/>
    </row>
    <row r="73" spans="2:11" customFormat="1" x14ac:dyDescent="0.35">
      <c r="B73" s="952" t="s">
        <v>564</v>
      </c>
      <c r="C73" s="548">
        <f>IF(dms_MODEL="EB",1,0)</f>
        <v>0</v>
      </c>
      <c r="D73" s="529" t="s">
        <v>565</v>
      </c>
      <c r="E73" s="530"/>
      <c r="F73" s="531"/>
      <c r="G73" s="531"/>
      <c r="H73" s="531"/>
      <c r="I73" s="531"/>
      <c r="J73" s="532"/>
      <c r="K73" s="533"/>
    </row>
    <row r="74" spans="2:11" customFormat="1" x14ac:dyDescent="0.35">
      <c r="B74" s="952"/>
      <c r="C74" s="549">
        <f>IF(dms_MODEL="CA",1,0)</f>
        <v>0</v>
      </c>
      <c r="D74" s="550" t="s">
        <v>566</v>
      </c>
      <c r="E74" s="551" t="s">
        <v>567</v>
      </c>
      <c r="F74" s="552"/>
      <c r="G74" s="552"/>
      <c r="H74" s="552"/>
      <c r="I74" s="552"/>
      <c r="J74" s="553"/>
      <c r="K74" s="554"/>
    </row>
    <row r="75" spans="2:11" customFormat="1" x14ac:dyDescent="0.35">
      <c r="B75" s="953"/>
      <c r="C75" s="549">
        <f>IF(dms_MODEL="ARR",1,0)</f>
        <v>0</v>
      </c>
      <c r="D75" s="550" t="s">
        <v>568</v>
      </c>
      <c r="E75" s="551"/>
      <c r="F75" s="552"/>
      <c r="G75" s="552"/>
      <c r="H75" s="552"/>
      <c r="I75" s="552"/>
      <c r="J75" s="553"/>
      <c r="K75" s="554"/>
    </row>
    <row r="76" spans="2:11" customFormat="1" x14ac:dyDescent="0.35">
      <c r="B76" s="555" t="s">
        <v>569</v>
      </c>
      <c r="C76" s="556" t="e">
        <f>IF(SUM(dms_SingleYear_Model)=1,"yes","no")</f>
        <v>#NAME?</v>
      </c>
      <c r="D76" s="551" t="s">
        <v>570</v>
      </c>
      <c r="E76" s="551" t="s">
        <v>571</v>
      </c>
      <c r="F76" s="522"/>
      <c r="G76" s="522"/>
      <c r="H76" s="522"/>
      <c r="I76" s="552"/>
      <c r="J76" s="553"/>
      <c r="K76" s="554"/>
    </row>
    <row r="77" spans="2:11" customFormat="1" x14ac:dyDescent="0.35">
      <c r="B77" s="557" t="s">
        <v>572</v>
      </c>
      <c r="C77" s="558" t="e">
        <f>IF(AND(dms_SingleYearModel="yes",dms_MultiYear_Flag=0),CRY,0)</f>
        <v>#NAME?</v>
      </c>
      <c r="D77" s="543" t="s">
        <v>573</v>
      </c>
      <c r="E77" s="544" t="s">
        <v>574</v>
      </c>
      <c r="F77" s="559"/>
      <c r="G77" s="559"/>
      <c r="H77" s="559"/>
      <c r="I77" s="559"/>
      <c r="J77" s="559"/>
      <c r="K77" s="560"/>
    </row>
    <row r="78" spans="2:11" customFormat="1" x14ac:dyDescent="0.35">
      <c r="B78" s="527" t="s">
        <v>575</v>
      </c>
      <c r="C78" s="520"/>
      <c r="D78" s="538"/>
      <c r="E78" s="539"/>
      <c r="F78" s="531"/>
      <c r="G78" s="531"/>
      <c r="H78" s="531"/>
      <c r="I78" s="531"/>
      <c r="J78" s="531"/>
      <c r="K78" s="540"/>
    </row>
    <row r="79" spans="2:11" customFormat="1" x14ac:dyDescent="0.35">
      <c r="B79" s="507"/>
      <c r="C79" s="520"/>
      <c r="D79" s="538"/>
      <c r="E79" s="539"/>
      <c r="F79" s="531"/>
      <c r="G79" s="531"/>
      <c r="H79" s="531"/>
      <c r="I79" s="531"/>
      <c r="J79" s="531"/>
      <c r="K79" s="540"/>
    </row>
    <row r="80" spans="2:11" customFormat="1" x14ac:dyDescent="0.35">
      <c r="B80" s="507" t="s">
        <v>576</v>
      </c>
      <c r="C80" s="520" t="e">
        <f>IF(dms_Model_Span&gt;1,"yes","no")</f>
        <v>#NAME?</v>
      </c>
      <c r="D80" s="538"/>
      <c r="E80" s="539"/>
      <c r="F80" s="531"/>
      <c r="G80" s="531"/>
      <c r="H80" s="531"/>
      <c r="I80" s="531"/>
      <c r="J80" s="531"/>
      <c r="K80" s="540"/>
    </row>
    <row r="81" spans="2:12" customFormat="1" x14ac:dyDescent="0.35">
      <c r="B81" s="507" t="s">
        <v>577</v>
      </c>
      <c r="C81" s="561" t="e">
        <f>IF(dms_Model_Span&gt;1,dms_Reset_final_year,0)</f>
        <v>#NAME?</v>
      </c>
      <c r="D81" s="538" t="s">
        <v>578</v>
      </c>
      <c r="E81" s="539" t="s">
        <v>579</v>
      </c>
      <c r="F81" s="531"/>
      <c r="G81" s="531"/>
      <c r="H81" s="531"/>
      <c r="I81" s="531"/>
      <c r="J81" s="531"/>
      <c r="K81" s="540"/>
    </row>
    <row r="82" spans="2:12" customFormat="1" x14ac:dyDescent="0.35">
      <c r="B82" s="507"/>
      <c r="C82" s="520"/>
      <c r="D82" s="538"/>
      <c r="E82" s="539"/>
      <c r="F82" s="531"/>
      <c r="G82" s="531"/>
      <c r="H82" s="531"/>
      <c r="I82" s="531"/>
      <c r="J82" s="531"/>
      <c r="K82" s="540"/>
    </row>
    <row r="83" spans="2:12" customFormat="1" x14ac:dyDescent="0.35">
      <c r="B83" s="507" t="s">
        <v>580</v>
      </c>
      <c r="C83" s="520" t="e">
        <f>IF(dms_MultiYear_Flag=1,"yes","no")</f>
        <v>#NAME?</v>
      </c>
      <c r="D83" s="538" t="s">
        <v>581</v>
      </c>
      <c r="E83" s="539"/>
      <c r="F83" s="531"/>
      <c r="G83" s="531"/>
      <c r="H83" s="531"/>
      <c r="I83" s="531"/>
      <c r="J83" s="531"/>
      <c r="K83" s="540"/>
    </row>
    <row r="84" spans="2:12" customFormat="1" x14ac:dyDescent="0.35">
      <c r="B84" s="541" t="s">
        <v>582</v>
      </c>
      <c r="C84" s="562" t="e">
        <f>IF(dms_MultiYear_Flag=1,C51,0)</f>
        <v>#NAME?</v>
      </c>
      <c r="D84" s="563"/>
      <c r="E84" s="564"/>
      <c r="F84" s="545"/>
      <c r="G84" s="545"/>
      <c r="H84" s="545"/>
      <c r="I84" s="545"/>
      <c r="J84" s="545"/>
      <c r="K84" s="546"/>
    </row>
    <row r="85" spans="2:12" customFormat="1" ht="15" thickBot="1" x14ac:dyDescent="0.4">
      <c r="B85" s="507"/>
      <c r="C85" s="520"/>
      <c r="D85" s="538"/>
      <c r="E85" s="539"/>
      <c r="F85" s="531"/>
      <c r="G85" s="531"/>
      <c r="H85" s="531"/>
      <c r="I85" s="531"/>
      <c r="J85" s="531"/>
      <c r="K85" s="540"/>
    </row>
    <row r="86" spans="2:12" customFormat="1" ht="28.5" customHeight="1" thickBot="1" x14ac:dyDescent="0.4">
      <c r="B86" s="446" t="s">
        <v>583</v>
      </c>
      <c r="C86" s="447"/>
      <c r="D86" s="447"/>
      <c r="E86" s="447"/>
      <c r="F86" s="525"/>
      <c r="G86" s="525"/>
      <c r="H86" s="525"/>
      <c r="I86" s="525"/>
      <c r="J86" s="525"/>
      <c r="K86" s="526"/>
    </row>
    <row r="87" spans="2:12" s="75" customFormat="1" ht="24.75" customHeight="1" thickBot="1" x14ac:dyDescent="0.4">
      <c r="B87" s="565" t="s">
        <v>584</v>
      </c>
      <c r="C87" s="398" t="str">
        <f>IFERROR(IF(dms_Segment="Transmission",dms_Cal_Year_B4_CRY,CRY),"CRY not present")</f>
        <v>CRY not present</v>
      </c>
      <c r="D87" s="424" t="s">
        <v>585</v>
      </c>
      <c r="E87" s="442" t="s">
        <v>586</v>
      </c>
      <c r="F87" s="443"/>
      <c r="G87" s="443"/>
      <c r="H87" s="443"/>
      <c r="I87" s="443"/>
      <c r="J87" s="444"/>
      <c r="K87" s="445"/>
    </row>
    <row r="88" spans="2:12" customFormat="1" ht="27" customHeight="1" thickBot="1" x14ac:dyDescent="0.4">
      <c r="B88" s="446" t="s">
        <v>587</v>
      </c>
      <c r="C88" s="447"/>
      <c r="D88" s="447"/>
      <c r="E88" s="447"/>
      <c r="F88" s="525"/>
      <c r="G88" s="525"/>
      <c r="H88" s="525"/>
      <c r="I88" s="525"/>
      <c r="J88" s="525"/>
      <c r="K88" s="526"/>
    </row>
    <row r="89" spans="2:12" customFormat="1" x14ac:dyDescent="0.35">
      <c r="B89" s="566" t="s">
        <v>588</v>
      </c>
      <c r="C89" s="567"/>
      <c r="D89" s="568"/>
      <c r="E89" s="404" t="s">
        <v>589</v>
      </c>
      <c r="F89" s="569"/>
      <c r="G89" s="569"/>
      <c r="H89" s="569"/>
      <c r="I89" s="569"/>
      <c r="J89" s="569"/>
      <c r="K89" s="570"/>
    </row>
    <row r="90" spans="2:12" customFormat="1" x14ac:dyDescent="0.35">
      <c r="B90" s="566"/>
      <c r="C90" s="567" t="str">
        <f>IF(dms_MODEL&lt;&gt;"CA","not a CA","Is a CA")</f>
        <v>not a CA</v>
      </c>
      <c r="D90" s="568"/>
      <c r="E90" s="571" t="s">
        <v>590</v>
      </c>
      <c r="F90" s="569"/>
      <c r="G90" s="569"/>
      <c r="H90" s="569"/>
      <c r="I90" s="569"/>
      <c r="J90" s="569"/>
      <c r="K90" s="570"/>
    </row>
    <row r="91" spans="2:12" customFormat="1" x14ac:dyDescent="0.35">
      <c r="B91" s="572" t="s">
        <v>591</v>
      </c>
      <c r="C91" s="567" t="str">
        <f>IFERROR(IF(INDEX(dms_060301_Avg_Duration_Sustained_Int_Values,1,1)&lt;&gt;"","yes","no"),"no")</f>
        <v>no</v>
      </c>
      <c r="D91" s="568" t="s">
        <v>592</v>
      </c>
      <c r="E91" s="573" t="s">
        <v>593</v>
      </c>
      <c r="F91" s="569"/>
      <c r="G91" s="569"/>
      <c r="H91" s="569"/>
      <c r="I91" s="569"/>
      <c r="J91" s="569"/>
      <c r="K91" s="570"/>
    </row>
    <row r="92" spans="2:12" customFormat="1" x14ac:dyDescent="0.35">
      <c r="B92" s="572"/>
      <c r="C92" s="574" t="e">
        <f>IF(AND(dms_MODEL="CA",(dms_060301_checkvalue="no")),"error - NR not present","no errors")</f>
        <v>#NAME?</v>
      </c>
      <c r="D92" s="568"/>
      <c r="E92" s="573" t="s">
        <v>594</v>
      </c>
      <c r="F92" s="569"/>
      <c r="G92" s="569"/>
      <c r="H92" s="569"/>
      <c r="I92" s="569"/>
      <c r="J92" s="569"/>
      <c r="K92" s="570"/>
    </row>
    <row r="93" spans="2:12" customFormat="1" x14ac:dyDescent="0.35">
      <c r="B93" s="575" t="s">
        <v>595</v>
      </c>
      <c r="C93" s="567" t="str">
        <f>IFERROR(IF(dms_MODEL="CA",LOOKUP(2,1/(dms_060301_Avg_Duration_Sustained_Int_Values&lt;&gt;""),(ROW(dms_060301_Avg_Duration_Sustained_Int_Values))),"not a CA"),"6.3 not present")</f>
        <v>not a CA</v>
      </c>
      <c r="D93" s="568" t="s">
        <v>596</v>
      </c>
      <c r="E93" s="573" t="s">
        <v>597</v>
      </c>
      <c r="F93" s="569"/>
      <c r="G93" s="569"/>
      <c r="H93" s="569"/>
      <c r="I93" s="569"/>
      <c r="J93" s="569"/>
      <c r="K93" s="570"/>
    </row>
    <row r="94" spans="2:12" customFormat="1" x14ac:dyDescent="0.35">
      <c r="B94" s="576" t="s">
        <v>598</v>
      </c>
      <c r="C94" s="577" t="str">
        <f>IFERROR(IF(dms_MODEL="CA",(dms_060301_LastRow-15),"not a CA"),"error")</f>
        <v>not a CA</v>
      </c>
      <c r="D94" s="578" t="s">
        <v>599</v>
      </c>
      <c r="E94" s="579" t="s">
        <v>600</v>
      </c>
      <c r="F94" s="580"/>
      <c r="G94" s="580"/>
      <c r="H94" s="580"/>
      <c r="I94" s="580"/>
      <c r="J94" s="580"/>
      <c r="K94" s="581"/>
      <c r="L94" s="301"/>
    </row>
    <row r="95" spans="2:12" ht="15" thickBot="1" x14ac:dyDescent="0.4">
      <c r="B95" s="582" t="s">
        <v>601</v>
      </c>
      <c r="C95" s="583">
        <f>INDEX(dms_663_List,MATCH(dms_TradingName,dms_TradingName_List))</f>
        <v>0</v>
      </c>
      <c r="D95" s="584" t="s">
        <v>602</v>
      </c>
      <c r="E95" s="573" t="s">
        <v>603</v>
      </c>
      <c r="F95" s="585"/>
      <c r="G95" s="585"/>
      <c r="H95" s="585"/>
      <c r="I95" s="585"/>
      <c r="J95" s="585"/>
      <c r="K95" s="586"/>
    </row>
    <row r="96" spans="2:12" customFormat="1" ht="21" customHeight="1" thickBot="1" x14ac:dyDescent="0.4">
      <c r="B96" s="446" t="s">
        <v>604</v>
      </c>
      <c r="C96" s="447"/>
      <c r="D96" s="447"/>
      <c r="E96" s="447"/>
      <c r="F96" s="525"/>
      <c r="G96" s="525"/>
      <c r="H96" s="525"/>
      <c r="I96" s="525"/>
      <c r="J96" s="525"/>
      <c r="K96" s="526"/>
    </row>
    <row r="97" spans="2:12" ht="26" x14ac:dyDescent="0.35">
      <c r="B97" s="566" t="s">
        <v>605</v>
      </c>
      <c r="C97" s="587" t="s">
        <v>606</v>
      </c>
      <c r="D97" s="588"/>
      <c r="E97" s="589" t="s">
        <v>607</v>
      </c>
      <c r="F97" s="590"/>
      <c r="G97" s="590"/>
      <c r="H97" s="585"/>
      <c r="I97" s="585"/>
      <c r="J97" s="585"/>
      <c r="K97" s="586"/>
    </row>
    <row r="98" spans="2:12" x14ac:dyDescent="0.35">
      <c r="B98" s="575" t="s">
        <v>608</v>
      </c>
      <c r="C98" s="587" t="str">
        <f>IFERROR(IF(dms_LeapYear,"yes"),"no")</f>
        <v>no</v>
      </c>
      <c r="D98" s="588"/>
      <c r="E98" s="591"/>
      <c r="F98" s="590"/>
      <c r="G98" s="590"/>
      <c r="H98" s="585"/>
      <c r="I98" s="585"/>
      <c r="J98" s="585"/>
      <c r="K98" s="586"/>
    </row>
    <row r="99" spans="2:12" x14ac:dyDescent="0.35">
      <c r="B99" s="592" t="s">
        <v>609</v>
      </c>
      <c r="C99" s="593" t="str">
        <f xml:space="preserve">
IFERROR(IF(MONTH(DATE(YEAR(dms_LeapYear),2,29))=2,"is a leap year","not a leap year"),
"dms_LeapYear not present")</f>
        <v>dms_LeapYear not present</v>
      </c>
      <c r="D99" s="584" t="s">
        <v>610</v>
      </c>
      <c r="E99" s="584" t="s">
        <v>611</v>
      </c>
      <c r="F99" s="585"/>
      <c r="G99" s="585"/>
      <c r="H99" s="585"/>
      <c r="I99" s="585"/>
      <c r="J99" s="585"/>
      <c r="K99" s="586"/>
    </row>
    <row r="100" spans="2:12" x14ac:dyDescent="0.35">
      <c r="B100" s="592" t="s">
        <v>612</v>
      </c>
      <c r="C100" s="594" t="e">
        <f>IF(dms_LeapYear_Result="is a leap year",1827,1826)</f>
        <v>#NAME?</v>
      </c>
      <c r="D100" s="584" t="s">
        <v>613</v>
      </c>
      <c r="E100" s="595" t="s">
        <v>614</v>
      </c>
      <c r="F100" s="585"/>
      <c r="G100" s="585"/>
      <c r="H100" s="394" t="s">
        <v>615</v>
      </c>
      <c r="I100" s="585"/>
      <c r="J100" s="585"/>
      <c r="K100" s="586"/>
    </row>
    <row r="101" spans="2:12" x14ac:dyDescent="0.35">
      <c r="B101" s="592" t="s">
        <v>616</v>
      </c>
      <c r="C101" s="594" t="e">
        <f>IF(dms_LeapYear_Result="is a leap year",366,365)</f>
        <v>#NAME?</v>
      </c>
      <c r="D101" s="584" t="s">
        <v>617</v>
      </c>
      <c r="E101" s="595" t="s">
        <v>618</v>
      </c>
      <c r="F101" s="585"/>
      <c r="G101" s="585"/>
      <c r="H101" s="394" t="s">
        <v>619</v>
      </c>
      <c r="I101" s="585"/>
      <c r="J101" s="585"/>
      <c r="K101" s="586"/>
    </row>
    <row r="102" spans="2:12" ht="15" thickBot="1" x14ac:dyDescent="0.4">
      <c r="B102" s="596" t="s">
        <v>620</v>
      </c>
      <c r="C102" s="597" t="e">
        <f>IF(dms_MODEL="ARR",dms_060701_ARR_MaxRows,IF(dms_MODEL="Reset",dms_060701_Reset_MaxRows,"not a relevant RIN type"))</f>
        <v>#NAME?</v>
      </c>
      <c r="D102" s="598" t="s">
        <v>621</v>
      </c>
      <c r="E102" s="599" t="s">
        <v>622</v>
      </c>
      <c r="F102" s="600"/>
      <c r="G102" s="600"/>
      <c r="H102" s="600"/>
      <c r="I102" s="600"/>
      <c r="J102" s="600"/>
      <c r="K102" s="601"/>
    </row>
    <row r="103" spans="2:12" ht="24" customHeight="1" x14ac:dyDescent="0.35">
      <c r="B103" s="602" t="s">
        <v>623</v>
      </c>
      <c r="C103" s="603" t="e">
        <f>IF(dms_FifthFeeder_flag_NSP="NO","This NSP has only 4 feeder categories","This NSP has 5 feeder categories")</f>
        <v>#NAME?</v>
      </c>
      <c r="D103" s="604"/>
      <c r="E103" s="605"/>
      <c r="F103" s="606"/>
      <c r="G103" s="606"/>
      <c r="H103" s="606"/>
      <c r="I103" s="606"/>
      <c r="J103" s="606"/>
      <c r="K103" s="607"/>
    </row>
    <row r="104" spans="2:12" x14ac:dyDescent="0.35">
      <c r="B104" s="575" t="s">
        <v>624</v>
      </c>
      <c r="C104" s="608" t="e">
        <f>IF(dms_FifthFeeder_flag_NSP="NO",10,12)</f>
        <v>#NAME?</v>
      </c>
      <c r="D104" s="584" t="s">
        <v>625</v>
      </c>
      <c r="E104" s="573" t="s">
        <v>626</v>
      </c>
      <c r="F104" s="585"/>
      <c r="G104" s="585"/>
      <c r="H104" s="585"/>
      <c r="I104" s="585"/>
      <c r="J104" s="585"/>
      <c r="K104" s="586"/>
    </row>
    <row r="105" spans="2:12" x14ac:dyDescent="0.35">
      <c r="B105" s="576" t="s">
        <v>627</v>
      </c>
      <c r="C105" s="609">
        <f>IF(dms_MODEL="ARR",15,9)</f>
        <v>9</v>
      </c>
      <c r="D105" s="610" t="s">
        <v>628</v>
      </c>
      <c r="E105" s="611" t="s">
        <v>629</v>
      </c>
      <c r="F105" s="612"/>
      <c r="G105" s="612"/>
      <c r="H105" s="612"/>
      <c r="I105" s="612"/>
      <c r="J105" s="612"/>
      <c r="K105" s="613"/>
    </row>
    <row r="106" spans="2:12" x14ac:dyDescent="0.35">
      <c r="B106" s="566" t="s">
        <v>630</v>
      </c>
      <c r="C106" s="614"/>
      <c r="D106" s="615"/>
      <c r="E106" s="404" t="s">
        <v>631</v>
      </c>
      <c r="F106" s="585"/>
      <c r="G106" s="585"/>
      <c r="H106" s="585"/>
      <c r="I106" s="585"/>
      <c r="J106" s="585"/>
      <c r="K106" s="586"/>
    </row>
    <row r="107" spans="2:12" x14ac:dyDescent="0.35">
      <c r="B107" s="575" t="s">
        <v>632</v>
      </c>
      <c r="C107" s="614" t="e">
        <f>IF(dms_SingleYearModel="yes",(CONCATENATE(IF(LEN(CRY)=4,"1-Jan-","1-Jul-"),LEFT(CRY,4))),(CONCATENATE(IF(LEN(PRCP_y4)=4,"1-Jan-","1-Jul-"),LEFT(PRCP_y4,4))))</f>
        <v>#NAME?</v>
      </c>
      <c r="D107" s="584" t="s">
        <v>633</v>
      </c>
      <c r="E107" s="571" t="s">
        <v>634</v>
      </c>
      <c r="F107" s="585"/>
      <c r="G107" s="585"/>
      <c r="H107" s="585"/>
      <c r="I107" s="585"/>
      <c r="J107" s="585"/>
      <c r="K107" s="586"/>
    </row>
    <row r="108" spans="2:12" x14ac:dyDescent="0.35">
      <c r="B108" s="576" t="s">
        <v>635</v>
      </c>
      <c r="C108" s="609" t="e">
        <f>DATEVALUE(dms_060701_StartDateTxt)</f>
        <v>#NAME?</v>
      </c>
      <c r="D108" s="610" t="s">
        <v>636</v>
      </c>
      <c r="E108" s="616" t="s">
        <v>637</v>
      </c>
      <c r="F108" s="612"/>
      <c r="G108" s="612"/>
      <c r="H108" s="612"/>
      <c r="I108" s="612"/>
      <c r="J108" s="612"/>
      <c r="K108" s="613"/>
      <c r="L108" s="301"/>
    </row>
    <row r="109" spans="2:12" ht="15" thickBot="1" x14ac:dyDescent="0.4">
      <c r="B109" s="617" t="s">
        <v>638</v>
      </c>
      <c r="C109" s="618" t="s">
        <v>89</v>
      </c>
      <c r="D109" s="619" t="s">
        <v>639</v>
      </c>
      <c r="E109" s="620"/>
      <c r="F109" s="585"/>
      <c r="G109" s="585"/>
      <c r="H109" s="585"/>
      <c r="I109" s="585"/>
      <c r="J109" s="585"/>
      <c r="K109" s="586"/>
      <c r="L109" s="301"/>
    </row>
    <row r="110" spans="2:12" customFormat="1" ht="15" thickBot="1" x14ac:dyDescent="0.4">
      <c r="B110" s="446" t="s">
        <v>640</v>
      </c>
      <c r="C110" s="447"/>
      <c r="D110" s="447"/>
      <c r="E110" s="447"/>
      <c r="F110" s="525"/>
      <c r="G110" s="525"/>
      <c r="H110" s="525"/>
      <c r="I110" s="525"/>
      <c r="J110" s="525"/>
      <c r="K110" s="526"/>
    </row>
    <row r="111" spans="2:12" ht="39" x14ac:dyDescent="0.35">
      <c r="B111" s="621" t="s">
        <v>641</v>
      </c>
      <c r="C111" s="587" t="s">
        <v>642</v>
      </c>
      <c r="D111" s="404"/>
      <c r="E111" s="404" t="s">
        <v>643</v>
      </c>
      <c r="F111" s="622"/>
      <c r="G111" s="622"/>
      <c r="H111" s="622"/>
      <c r="I111" s="622"/>
      <c r="J111" s="622"/>
      <c r="K111" s="623"/>
      <c r="L111" s="301"/>
    </row>
    <row r="112" spans="2:12" x14ac:dyDescent="0.35">
      <c r="B112" s="566" t="s">
        <v>644</v>
      </c>
      <c r="C112" s="624" t="str">
        <f>IFERROR(IF((ROW(dms_060801_StartCell)-1)=1,"yes","yes"),"no")</f>
        <v>no</v>
      </c>
      <c r="D112" s="625" t="s">
        <v>645</v>
      </c>
      <c r="E112" s="573" t="s">
        <v>646</v>
      </c>
      <c r="F112" s="585"/>
      <c r="G112" s="585"/>
      <c r="H112" s="585"/>
      <c r="I112" s="585"/>
      <c r="J112" s="585"/>
      <c r="K112" s="586"/>
      <c r="L112" s="301"/>
    </row>
    <row r="113" spans="2:11" x14ac:dyDescent="0.35">
      <c r="B113" s="575" t="s">
        <v>647</v>
      </c>
      <c r="C113" s="614">
        <v>12</v>
      </c>
      <c r="D113" s="584" t="s">
        <v>648</v>
      </c>
      <c r="E113" s="573" t="s">
        <v>649</v>
      </c>
      <c r="F113" s="585"/>
      <c r="G113" s="585"/>
      <c r="H113" s="585"/>
      <c r="I113" s="585"/>
      <c r="J113" s="585"/>
      <c r="K113" s="586"/>
    </row>
    <row r="114" spans="2:11" x14ac:dyDescent="0.35">
      <c r="B114" s="575" t="s">
        <v>650</v>
      </c>
      <c r="C114" s="624" t="str">
        <f>IFERROR(IF(dms_060801_StartCell&lt;&gt;"",IF(dms_MODEL="ARR",(LOOKUP(2,1/(dms_060801_01_Values&lt;&gt;""),(ROW(dms_060801_01_Values)))),"not an ARR"),0),"0")</f>
        <v>0</v>
      </c>
      <c r="D114" s="584" t="s">
        <v>651</v>
      </c>
      <c r="E114" s="595" t="s">
        <v>652</v>
      </c>
      <c r="F114" s="585"/>
      <c r="G114" s="585"/>
      <c r="H114" s="585"/>
      <c r="I114" s="585"/>
      <c r="J114" s="585"/>
      <c r="K114" s="586"/>
    </row>
    <row r="115" spans="2:11" ht="15" thickBot="1" x14ac:dyDescent="0.4">
      <c r="B115" s="626" t="s">
        <v>653</v>
      </c>
      <c r="C115" s="627" t="str">
        <f>IFERROR(IF(dms_MODEL="ARR",(MAX(0,dms_0608_LastRow-dms_0608_OffsetRows)),"not an ARR"),"0")</f>
        <v>not an ARR</v>
      </c>
      <c r="D115" s="628" t="s">
        <v>654</v>
      </c>
      <c r="E115" s="629" t="s">
        <v>655</v>
      </c>
      <c r="F115" s="630"/>
      <c r="G115" s="631"/>
      <c r="H115" s="631"/>
      <c r="I115" s="631"/>
      <c r="J115" s="631"/>
      <c r="K115" s="632"/>
    </row>
    <row r="116" spans="2:11" customFormat="1" ht="15" thickBot="1" x14ac:dyDescent="0.4">
      <c r="B116" s="446" t="s">
        <v>656</v>
      </c>
      <c r="C116" s="447"/>
      <c r="D116" s="447"/>
      <c r="E116" s="447"/>
      <c r="F116" s="525"/>
      <c r="G116" s="525"/>
      <c r="H116" s="525"/>
      <c r="I116" s="525"/>
      <c r="J116" s="525"/>
      <c r="K116" s="526"/>
    </row>
    <row r="117" spans="2:11" x14ac:dyDescent="0.35">
      <c r="B117" s="566" t="s">
        <v>657</v>
      </c>
      <c r="C117" s="633"/>
      <c r="D117" s="584"/>
      <c r="E117" s="573"/>
      <c r="F117" s="634"/>
      <c r="G117" s="585"/>
      <c r="H117" s="585"/>
      <c r="I117" s="585"/>
      <c r="J117" s="585"/>
      <c r="K117" s="586"/>
    </row>
    <row r="118" spans="2:11" x14ac:dyDescent="0.35">
      <c r="B118" s="575" t="s">
        <v>658</v>
      </c>
      <c r="C118" s="614" t="str">
        <f ca="1">LEFT(PRCP_y3,4)</f>
        <v>0</v>
      </c>
      <c r="D118" s="584" t="s">
        <v>659</v>
      </c>
      <c r="E118" s="635" t="s">
        <v>660</v>
      </c>
      <c r="F118" s="585"/>
      <c r="G118" s="585"/>
      <c r="H118" s="585"/>
      <c r="I118" s="585"/>
      <c r="J118" s="585"/>
      <c r="K118" s="586"/>
    </row>
    <row r="119" spans="2:11" ht="15" thickBot="1" x14ac:dyDescent="0.4">
      <c r="B119" s="636"/>
      <c r="C119" s="637"/>
      <c r="D119" s="638"/>
      <c r="E119" s="639"/>
      <c r="F119" s="640"/>
      <c r="G119" s="640"/>
      <c r="H119" s="640"/>
      <c r="I119" s="640"/>
      <c r="J119" s="640"/>
      <c r="K119" s="641"/>
    </row>
    <row r="120" spans="2:11" customFormat="1" ht="15" thickBot="1" x14ac:dyDescent="0.4">
      <c r="B120" s="446" t="s">
        <v>661</v>
      </c>
      <c r="C120" s="447"/>
      <c r="D120" s="447"/>
      <c r="E120" s="447"/>
      <c r="F120" s="525"/>
      <c r="G120" s="525"/>
      <c r="H120" s="525"/>
      <c r="I120" s="525"/>
      <c r="J120" s="525"/>
      <c r="K120" s="526"/>
    </row>
    <row r="121" spans="2:11" customFormat="1" ht="14.25" customHeight="1" x14ac:dyDescent="0.35">
      <c r="B121" s="642" t="s">
        <v>662</v>
      </c>
      <c r="C121" s="643" t="e">
        <f>INDEX(dms_DeterminationRef_List,MATCH(dms_TradingName,dms_TradingName_List))</f>
        <v>#NAME?</v>
      </c>
      <c r="D121" s="644" t="s">
        <v>663</v>
      </c>
      <c r="E121" s="645"/>
      <c r="F121" s="646"/>
      <c r="G121" s="646"/>
      <c r="H121" s="646"/>
      <c r="I121" s="646"/>
      <c r="J121" s="646"/>
      <c r="K121" s="647"/>
    </row>
    <row r="122" spans="2:11" customFormat="1" ht="14.25" customHeight="1" x14ac:dyDescent="0.35">
      <c r="B122" s="648" t="s">
        <v>664</v>
      </c>
      <c r="C122" s="649">
        <f>INDEX(dms_Public_Lighting_List,MATCH(dms_TradingName,dms_TradingName_List))</f>
        <v>0</v>
      </c>
      <c r="D122" s="650" t="s">
        <v>665</v>
      </c>
      <c r="E122" s="651" t="s">
        <v>666</v>
      </c>
      <c r="F122" s="652"/>
      <c r="G122" s="652"/>
      <c r="H122" s="652"/>
      <c r="I122" s="652"/>
      <c r="J122" s="652"/>
      <c r="K122" s="653"/>
    </row>
    <row r="123" spans="2:11" ht="15" customHeight="1" x14ac:dyDescent="0.35">
      <c r="B123" s="654" t="s">
        <v>667</v>
      </c>
      <c r="C123" s="384">
        <f>INDEX(dms_CBD_flag,MATCH(dms_TradingName,dms_TradingName_List))</f>
        <v>0</v>
      </c>
      <c r="D123" s="385" t="s">
        <v>668</v>
      </c>
      <c r="E123" s="385"/>
      <c r="F123" s="655"/>
      <c r="G123" s="655"/>
      <c r="H123" s="655"/>
      <c r="I123" s="655"/>
      <c r="J123" s="655"/>
      <c r="K123" s="656"/>
    </row>
    <row r="124" spans="2:11" ht="15" customHeight="1" x14ac:dyDescent="0.35">
      <c r="B124" s="657" t="s">
        <v>669</v>
      </c>
      <c r="C124" s="397">
        <f>INDEX(dms_Urban_flag,MATCH(dms_TradingName,dms_TradingName_List))</f>
        <v>0</v>
      </c>
      <c r="D124" s="392" t="s">
        <v>670</v>
      </c>
      <c r="E124" s="392"/>
      <c r="F124" s="403"/>
      <c r="G124" s="403"/>
      <c r="H124" s="403"/>
      <c r="I124" s="403"/>
      <c r="J124" s="403"/>
      <c r="K124" s="658"/>
    </row>
    <row r="125" spans="2:11" ht="15" customHeight="1" x14ac:dyDescent="0.35">
      <c r="B125" s="657" t="s">
        <v>671</v>
      </c>
      <c r="C125" s="397">
        <f>INDEX(dms_ShortRural_flag,MATCH(dms_TradingName,dms_TradingName_List))</f>
        <v>0</v>
      </c>
      <c r="D125" s="392" t="s">
        <v>672</v>
      </c>
      <c r="E125" s="392"/>
      <c r="F125" s="403"/>
      <c r="G125" s="403"/>
      <c r="H125" s="403"/>
      <c r="I125" s="403"/>
      <c r="J125" s="403"/>
      <c r="K125" s="658"/>
    </row>
    <row r="126" spans="2:11" ht="15" customHeight="1" x14ac:dyDescent="0.35">
      <c r="B126" s="659" t="s">
        <v>673</v>
      </c>
      <c r="C126" s="660">
        <f>INDEX(dms_LongRural_flag,MATCH(dms_TradingName,dms_TradingName_List))</f>
        <v>0</v>
      </c>
      <c r="D126" s="661" t="s">
        <v>674</v>
      </c>
      <c r="E126" s="661"/>
      <c r="F126" s="662"/>
      <c r="G126" s="662"/>
      <c r="H126" s="662"/>
      <c r="I126" s="662"/>
      <c r="J126" s="662"/>
      <c r="K126" s="663"/>
    </row>
    <row r="127" spans="2:11" ht="15" thickBot="1" x14ac:dyDescent="0.4">
      <c r="B127" s="664" t="s">
        <v>675</v>
      </c>
      <c r="C127" s="665">
        <f>INDEX(dms_FeederType_5_flag,MATCH(dms_TradingName,dms_TradingName_List))</f>
        <v>0</v>
      </c>
      <c r="D127" s="628" t="s">
        <v>676</v>
      </c>
      <c r="E127" s="629" t="s">
        <v>677</v>
      </c>
      <c r="F127" s="666"/>
      <c r="G127" s="666"/>
      <c r="H127" s="666"/>
      <c r="I127" s="666"/>
      <c r="J127" s="666"/>
      <c r="K127" s="667"/>
    </row>
    <row r="128" spans="2:11" ht="15" thickBot="1" x14ac:dyDescent="0.4">
      <c r="B128" s="636"/>
      <c r="C128" s="637"/>
      <c r="D128" s="638"/>
      <c r="E128" s="639"/>
      <c r="F128" s="640"/>
      <c r="G128" s="640"/>
      <c r="H128" s="640"/>
      <c r="I128" s="640"/>
      <c r="J128" s="640"/>
      <c r="K128" s="641"/>
    </row>
    <row r="129" spans="2:11" customFormat="1" ht="15" thickBot="1" x14ac:dyDescent="0.4">
      <c r="B129" s="668" t="s">
        <v>678</v>
      </c>
      <c r="C129" s="669"/>
      <c r="D129" s="669"/>
      <c r="E129" s="669"/>
      <c r="F129" s="670"/>
      <c r="G129" s="670"/>
      <c r="H129" s="670"/>
      <c r="I129" s="670"/>
      <c r="J129" s="670"/>
      <c r="K129" s="671"/>
    </row>
    <row r="130" spans="2:11" ht="15" thickBot="1" x14ac:dyDescent="0.4">
      <c r="B130" s="672" t="s">
        <v>679</v>
      </c>
      <c r="C130" s="673" t="s">
        <v>89</v>
      </c>
      <c r="D130" s="674" t="s">
        <v>680</v>
      </c>
      <c r="E130" s="675" t="s">
        <v>681</v>
      </c>
      <c r="F130" s="676"/>
      <c r="G130" s="676"/>
      <c r="H130" s="676"/>
      <c r="I130" s="676"/>
      <c r="J130" s="676"/>
      <c r="K130" s="677"/>
    </row>
    <row r="131" spans="2:11" customFormat="1" ht="15" thickBot="1" x14ac:dyDescent="0.4"/>
    <row r="132" spans="2:11" customFormat="1" ht="15" thickBot="1" x14ac:dyDescent="0.4">
      <c r="B132" s="668" t="s">
        <v>682</v>
      </c>
      <c r="C132" s="669"/>
      <c r="D132" s="669"/>
      <c r="E132" s="669"/>
      <c r="F132" s="670"/>
      <c r="G132" s="670"/>
      <c r="H132" s="670"/>
      <c r="I132" s="670"/>
      <c r="J132" s="670"/>
      <c r="K132" s="671"/>
    </row>
    <row r="133" spans="2:11" x14ac:dyDescent="0.35">
      <c r="B133" s="678" t="s">
        <v>683</v>
      </c>
      <c r="C133" s="679" t="s">
        <v>89</v>
      </c>
      <c r="D133" s="392" t="s">
        <v>684</v>
      </c>
      <c r="E133" s="680"/>
      <c r="F133" s="681"/>
      <c r="G133" s="681"/>
      <c r="H133" s="681"/>
      <c r="I133" s="681"/>
      <c r="J133" s="681"/>
      <c r="K133" s="682"/>
    </row>
    <row r="134" spans="2:11" customFormat="1" x14ac:dyDescent="0.35"/>
    <row r="135" spans="2:11" ht="15" thickBot="1" x14ac:dyDescent="0.4">
      <c r="B135" s="636"/>
      <c r="C135" s="637"/>
      <c r="D135" s="638"/>
      <c r="E135" s="639"/>
      <c r="F135" s="640"/>
      <c r="G135" s="640"/>
      <c r="H135" s="640"/>
      <c r="I135" s="640"/>
      <c r="J135" s="640"/>
      <c r="K135" s="641"/>
    </row>
    <row r="136" spans="2:11" ht="15" thickBot="1" x14ac:dyDescent="0.4">
      <c r="B136" s="683" t="s">
        <v>685</v>
      </c>
      <c r="C136" s="684"/>
      <c r="D136" s="684"/>
      <c r="E136" s="684"/>
      <c r="F136" s="685"/>
      <c r="G136" s="685"/>
      <c r="H136" s="685"/>
      <c r="I136" s="685"/>
      <c r="J136" s="685"/>
      <c r="K136" s="686"/>
    </row>
    <row r="137" spans="2:11" x14ac:dyDescent="0.35">
      <c r="B137" s="687" t="s">
        <v>686</v>
      </c>
      <c r="C137" s="679" t="s">
        <v>89</v>
      </c>
      <c r="D137" s="688" t="s">
        <v>687</v>
      </c>
      <c r="E137" s="689"/>
      <c r="F137" s="690"/>
      <c r="G137" s="690"/>
      <c r="H137" s="690"/>
      <c r="I137" s="690"/>
      <c r="J137" s="690"/>
      <c r="K137" s="691"/>
    </row>
    <row r="138" spans="2:11" x14ac:dyDescent="0.35">
      <c r="B138" s="692"/>
      <c r="C138" s="693" t="s">
        <v>688</v>
      </c>
      <c r="D138" s="694" t="s">
        <v>689</v>
      </c>
      <c r="E138" s="695"/>
      <c r="F138" s="696"/>
      <c r="G138" s="696"/>
      <c r="H138" s="696"/>
      <c r="I138" s="696"/>
      <c r="J138" s="696"/>
      <c r="K138" s="697"/>
    </row>
    <row r="139" spans="2:11" x14ac:dyDescent="0.35">
      <c r="B139" s="692"/>
      <c r="C139" s="698">
        <v>2013</v>
      </c>
      <c r="D139" s="699" t="s">
        <v>690</v>
      </c>
      <c r="E139" s="700"/>
      <c r="F139" s="701"/>
      <c r="G139" s="701"/>
      <c r="H139" s="701"/>
      <c r="I139" s="701"/>
      <c r="J139" s="701"/>
      <c r="K139" s="702"/>
    </row>
    <row r="140" spans="2:11" x14ac:dyDescent="0.35">
      <c r="B140" s="692"/>
      <c r="C140" s="698">
        <v>2014</v>
      </c>
      <c r="D140" s="699" t="s">
        <v>691</v>
      </c>
      <c r="E140" s="700"/>
      <c r="F140" s="701"/>
      <c r="G140" s="701"/>
      <c r="H140" s="701"/>
      <c r="I140" s="701"/>
      <c r="J140" s="701"/>
      <c r="K140" s="702"/>
    </row>
    <row r="141" spans="2:11" x14ac:dyDescent="0.35">
      <c r="B141" s="692"/>
      <c r="C141" s="698">
        <v>2015</v>
      </c>
      <c r="D141" s="699" t="s">
        <v>692</v>
      </c>
      <c r="E141" s="700"/>
      <c r="F141" s="701"/>
      <c r="G141" s="701"/>
      <c r="H141" s="701"/>
      <c r="I141" s="701"/>
      <c r="J141" s="701"/>
      <c r="K141" s="702"/>
    </row>
    <row r="142" spans="2:11" x14ac:dyDescent="0.35">
      <c r="B142" s="692"/>
      <c r="C142" s="698">
        <v>2016</v>
      </c>
      <c r="D142" s="699" t="s">
        <v>693</v>
      </c>
      <c r="E142" s="700"/>
      <c r="F142" s="701"/>
      <c r="G142" s="701"/>
      <c r="H142" s="701"/>
      <c r="I142" s="701"/>
      <c r="J142" s="701"/>
      <c r="K142" s="702"/>
    </row>
    <row r="143" spans="2:11" x14ac:dyDescent="0.35">
      <c r="B143" s="703"/>
      <c r="C143" s="704">
        <v>2017</v>
      </c>
      <c r="D143" s="705" t="s">
        <v>694</v>
      </c>
      <c r="E143" s="706"/>
      <c r="F143" s="707"/>
      <c r="G143" s="707"/>
      <c r="H143" s="707"/>
      <c r="I143" s="707"/>
      <c r="J143" s="707"/>
      <c r="K143" s="708"/>
    </row>
    <row r="144" spans="2:11" x14ac:dyDescent="0.35">
      <c r="B144" s="703"/>
      <c r="C144" s="704">
        <v>2018</v>
      </c>
      <c r="D144" s="705" t="s">
        <v>695</v>
      </c>
      <c r="E144" s="706"/>
      <c r="F144" s="707"/>
      <c r="G144" s="707"/>
      <c r="H144" s="707"/>
      <c r="I144" s="707"/>
      <c r="J144" s="707"/>
      <c r="K144" s="708"/>
    </row>
    <row r="145" spans="2:11" x14ac:dyDescent="0.35">
      <c r="B145" s="703"/>
      <c r="C145" s="704">
        <v>2019</v>
      </c>
      <c r="D145" s="705" t="s">
        <v>696</v>
      </c>
      <c r="E145" s="706"/>
      <c r="F145" s="707"/>
      <c r="G145" s="707"/>
      <c r="H145" s="707"/>
      <c r="I145" s="707"/>
      <c r="J145" s="707"/>
      <c r="K145" s="708"/>
    </row>
    <row r="146" spans="2:11" x14ac:dyDescent="0.35">
      <c r="B146" s="703"/>
      <c r="C146" s="704">
        <v>2020</v>
      </c>
      <c r="D146" s="705" t="s">
        <v>697</v>
      </c>
      <c r="E146" s="706"/>
      <c r="F146" s="707"/>
      <c r="G146" s="707"/>
      <c r="H146" s="707"/>
      <c r="I146" s="707"/>
      <c r="J146" s="707"/>
      <c r="K146" s="708"/>
    </row>
    <row r="147" spans="2:11" ht="15" thickBot="1" x14ac:dyDescent="0.4">
      <c r="B147" s="709"/>
      <c r="C147" s="710">
        <v>2021</v>
      </c>
      <c r="D147" s="711" t="s">
        <v>698</v>
      </c>
      <c r="E147" s="712"/>
      <c r="F147" s="713"/>
      <c r="G147" s="713"/>
      <c r="H147" s="713"/>
      <c r="I147" s="713"/>
      <c r="J147" s="713"/>
      <c r="K147" s="714"/>
    </row>
    <row r="148" spans="2:11" x14ac:dyDescent="0.35">
      <c r="B148"/>
      <c r="C148"/>
    </row>
    <row r="149" spans="2:11" x14ac:dyDescent="0.35">
      <c r="B149"/>
      <c r="C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row r="154" spans="2:11" x14ac:dyDescent="0.35">
      <c r="B154"/>
      <c r="C154"/>
      <c r="D154"/>
      <c r="E154"/>
      <c r="F154"/>
      <c r="G154"/>
      <c r="H154"/>
      <c r="I154"/>
    </row>
  </sheetData>
  <sheetProtection formatColumns="0" formatRows="0" insertRows="0" autoFilter="0"/>
  <dataConsolidate/>
  <mergeCells count="13">
    <mergeCell ref="B73:B75"/>
    <mergeCell ref="BQ34:CL34"/>
    <mergeCell ref="AL35:BG35"/>
    <mergeCell ref="BQ35:CL35"/>
    <mergeCell ref="A36:A61"/>
    <mergeCell ref="AL36:BG36"/>
    <mergeCell ref="BQ36:CL36"/>
    <mergeCell ref="AL34:BG34"/>
    <mergeCell ref="A13:A17"/>
    <mergeCell ref="E14:I14"/>
    <mergeCell ref="C16:E16"/>
    <mergeCell ref="A20:A27"/>
    <mergeCell ref="A28:A33"/>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Price, Joel</cp:lastModifiedBy>
  <dcterms:created xsi:type="dcterms:W3CDTF">2024-06-18T07:15:05Z</dcterms:created>
  <dcterms:modified xsi:type="dcterms:W3CDTF">2025-01-08T01:13:21Z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