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1 CitiPower\"/>
    </mc:Choice>
  </mc:AlternateContent>
  <xr:revisionPtr revIDLastSave="0" documentId="13_ncr:1_{B4BEE211-DB28-4D87-B4F7-1B043E722043}" xr6:coauthVersionLast="47" xr6:coauthVersionMax="47" xr10:uidLastSave="{00000000-0000-0000-0000-000000000000}"/>
  <bookViews>
    <workbookView xWindow="10230" yWindow="-16005" windowWidth="25440" windowHeight="1527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4" r:id="rId7"/>
    <sheet name="Lookup | Tables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#REF!</definedName>
    <definedName name="_1__123Graph_ACHART_3" hidden="1">#REF!</definedName>
    <definedName name="_1__123Graph_ACHART_7" hidden="1">'[2]Degree Days'!#REF!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[3]VIC!$AB$9:$AB$26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[3]ACT!$BA$7:$BA$26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CHART_7" hidden="1">#REF!</definedName>
    <definedName name="_2__123Graph_BCHART_7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[4]charts!#REF!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CHART_8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[3]VIC!#REF!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CHART_3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CHART_7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[3]VIC!$A$5:$A$26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CHART_8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CHART_7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DCHART_7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XCHART_8" hidden="1">#REF!</definedName>
    <definedName name="_95__123Graph_ACHART_2" hidden="1">#REF!</definedName>
    <definedName name="_Fill" hidden="1">#REF!</definedName>
    <definedName name="_xlnm._FilterDatabase" hidden="1">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#REF!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#REF!</definedName>
    <definedName name="aaaaaaaa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>#REF!</definedName>
    <definedName name="AccountSegment1">#REF!</definedName>
    <definedName name="AccountSegment2">#REF!</definedName>
    <definedName name="AccountSegment3">#REF!</definedName>
    <definedName name="ActForFlag">#REF!</definedName>
    <definedName name="Actuals">#REF!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hidden="1">{#N/A,#N/A,FALSE,"Group P&amp;L";#N/A,#N/A,FALSE,"Group Balance Sheet"}</definedName>
    <definedName name="afaf">#REF!</definedName>
    <definedName name="afafa">#REF!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>#REF!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hidden="1">{#N/A,#N/A,FALSE,"Group P&amp;L";#N/A,#N/A,FALSE,"Group Balance Sheet"}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hidden="1">{#N/A,#N/A,FALSE,"Group P&amp;L";#N/A,#N/A,FALSE,"Group Balance Sheet"}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FFFF">#REF!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hidden="1">{#N/A,#N/A,FALSE,"Group P&amp;L";#N/A,#N/A,FALSE,"Group Balance Sheet"}</definedName>
    <definedName name="Asset_Life">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_rfm">#REF!</definedName>
    <definedName name="Asset4_rfm_t">#REF!</definedName>
    <definedName name="Asset4_t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_rfm">#REF!</definedName>
    <definedName name="Asset5_rfm_t">#REF!</definedName>
    <definedName name="Asset5_t">#REF!</definedName>
    <definedName name="Asset50">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hidden="1">{#N/A,#N/A,FALSE,"Group P&amp;L";#N/A,#N/A,FALSE,"Group Balance Sheet"}</definedName>
    <definedName name="awer">#REF!</definedName>
    <definedName name="az">#REF!</definedName>
    <definedName name="Ba">#REF!</definedName>
    <definedName name="BaseYear">#REF!</definedName>
    <definedName name="bb">#REF!</definedName>
    <definedName name="bbdfg">#REF!</definedName>
    <definedName name="BC">#REF!</definedName>
    <definedName name="bccccccccc" hidden="1">{#N/A,#N/A,FALSE,"Group P&amp;L";#N/A,#N/A,FALSE,"Group Balance Sheet"}</definedName>
    <definedName name="Bd">#REF!</definedName>
    <definedName name="Be">#REF!</definedName>
    <definedName name="bf" hidden="1">{#N/A,#N/A,FALSE,"Group P&amp;L";#N/A,#N/A,FALSE,"Group Balance Sheet"}</definedName>
    <definedName name="Bonus">#REF!</definedName>
    <definedName name="bpr" hidden="1">{#N/A,#N/A,FALSE,"Group P&amp;L";#N/A,#N/A,FALSE,"Group Balance Sheet"}</definedName>
    <definedName name="BudgetCurrencyCode1">#REF!</definedName>
    <definedName name="BudgetCurrencyCode2">#REF!</definedName>
    <definedName name="BudgetCurrencyCode3">#REF!</definedName>
    <definedName name="BudgetDecimalPlaces1">#REF!</definedName>
    <definedName name="BudgetDecimalPlaces2">#REF!</definedName>
    <definedName name="BudgetDecimalPlaces3">#REF!</definedName>
    <definedName name="BudgetEntityID1">#REF!</definedName>
    <definedName name="BudgetEntityID2">#REF!</definedName>
    <definedName name="BudgetEntityID3">#REF!</definedName>
    <definedName name="BudgetFinYear">#REF!</definedName>
    <definedName name="BudgetGraphCorresponding1">#REF!</definedName>
    <definedName name="BudgetGraphCorresponding2">#REF!</definedName>
    <definedName name="BudgetGraphCorresponding3">#REF!</definedName>
    <definedName name="BudgetGraphIncActuals1">#REF!</definedName>
    <definedName name="BudgetGraphIncActuals2">#REF!</definedName>
    <definedName name="BudgetGraphIncActuals3">#REF!</definedName>
    <definedName name="BudgetGraphIncBudgets1">#REF!</definedName>
    <definedName name="BudgetGraphIncBudgets2">#REF!</definedName>
    <definedName name="BudgetGraphIncBudgets3">#REF!</definedName>
    <definedName name="BudgetGraphIncTitles1">#REF!</definedName>
    <definedName name="BudgetGraphIncTitles2">#REF!</definedName>
    <definedName name="BudgetGraphIncTitles3">#REF!</definedName>
    <definedName name="BudgetGraphIncVariances1">#REF!</definedName>
    <definedName name="BudgetGraphIncVariances2">#REF!</definedName>
    <definedName name="BudgetGraphIncVariances3">#REF!</definedName>
    <definedName name="BudgetGraphStyle1">#REF!</definedName>
    <definedName name="BudgetGraphStyle2">#REF!</definedName>
    <definedName name="BudgetGraphStyle3">#REF!</definedName>
    <definedName name="BudgetHeadingsBackColour1">#REF!</definedName>
    <definedName name="BudgetHeadingsBackColour2">#REF!</definedName>
    <definedName name="BudgetHeadingsBackColour3">#REF!</definedName>
    <definedName name="BudgetHeadingsForeColour1">#REF!</definedName>
    <definedName name="BudgetHeadingsForeColour2">#REF!</definedName>
    <definedName name="BudgetHeadingsForeColour3">#REF!</definedName>
    <definedName name="BudgetName1">#REF!</definedName>
    <definedName name="BudgetName2">#REF!</definedName>
    <definedName name="BudgetName3">#REF!</definedName>
    <definedName name="BudgetOrg1">#REF!</definedName>
    <definedName name="BudgetOrg2">#REF!</definedName>
    <definedName name="BudgetOrg3">#REF!</definedName>
    <definedName name="BudgetOrgFrozen1">#REF!</definedName>
    <definedName name="BudgetOrgFrozen2">#REF!</definedName>
    <definedName name="BudgetOrgFrozen3">#REF!</definedName>
    <definedName name="BudgetOutputOption1">#REF!</definedName>
    <definedName name="BudgetOutputOption2">#REF!</definedName>
    <definedName name="BudgetOutputOption3">#REF!</definedName>
    <definedName name="BudgetPasswordRequiredFlag1">#REF!</definedName>
    <definedName name="BudgetPasswordRequiredFlag2">#REF!</definedName>
    <definedName name="BudgetPasswordRequiredFlag3">#REF!</definedName>
    <definedName name="BudgetShowCriteriaSheet1">#REF!</definedName>
    <definedName name="BudgetShowCriteriaSheet2">#REF!</definedName>
    <definedName name="BudgetShowCriteriaSheet3">#REF!</definedName>
    <definedName name="BudgetStatus1">#REF!</definedName>
    <definedName name="BudgetStatus2">#REF!</definedName>
    <definedName name="BudgetStatus3">#REF!</definedName>
    <definedName name="BudgetTitleBackColour1">#REF!</definedName>
    <definedName name="BudgetTitleBackColour2">#REF!</definedName>
    <definedName name="BudgetTitleBackColour3">#REF!</definedName>
    <definedName name="BudgetTitleBorderColour1">#REF!</definedName>
    <definedName name="BudgetTitleBorderColour2">#REF!</definedName>
    <definedName name="BudgetTitleBorderColour3">#REF!</definedName>
    <definedName name="BudgetTitleForeColour1">#REF!</definedName>
    <definedName name="BudgetTitleForeColour2">#REF!</definedName>
    <definedName name="BudgetTitleForeColour3">#REF!</definedName>
    <definedName name="BudgetValuesWidth1">#REF!</definedName>
    <definedName name="BudgetValuesWidth2">#REF!</definedName>
    <definedName name="BudgetValuesWidth3">#REF!</definedName>
    <definedName name="BudgetVersionID1">#REF!</definedName>
    <definedName name="BudgetVersionID2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>#REF!</definedName>
    <definedName name="CC_3111">#REF!</definedName>
    <definedName name="CC_3121">#REF!</definedName>
    <definedName name="CC_3131">#REF!</definedName>
    <definedName name="CC_3141">#REF!</definedName>
    <definedName name="CC_3142">#REF!</definedName>
    <definedName name="CC_3143">#REF!</definedName>
    <definedName name="CC_3144">#REF!</definedName>
    <definedName name="CC_3151">#REF!</definedName>
    <definedName name="CC_3152">#REF!</definedName>
    <definedName name="CC_3153">#REF!</definedName>
    <definedName name="CC_3211">#REF!</definedName>
    <definedName name="CC_3221">#REF!</definedName>
    <definedName name="CC_3231">#REF!</definedName>
    <definedName name="CC_3232">#REF!</definedName>
    <definedName name="CC_3233">#REF!</definedName>
    <definedName name="CC_3234">#REF!</definedName>
    <definedName name="CC_3241">#REF!</definedName>
    <definedName name="CC_3242">#REF!</definedName>
    <definedName name="CC_3243">#REF!</definedName>
    <definedName name="CC_3244">#REF!</definedName>
    <definedName name="CC_3251">#REF!</definedName>
    <definedName name="CC_3252">#REF!</definedName>
    <definedName name="CC_3253">#REF!</definedName>
    <definedName name="CC_3254">#REF!</definedName>
    <definedName name="CC_3255">#REF!</definedName>
    <definedName name="CC_3256">#REF!</definedName>
    <definedName name="CC_3411">#REF!</definedName>
    <definedName name="CC_3421">#REF!</definedName>
    <definedName name="cccccccccccc">#REF!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hartOfAccountsID1">#REF!</definedName>
    <definedName name="ChartOfAccountsID2">#REF!</definedName>
    <definedName name="ChartOfAccountsID3">#REF!</definedName>
    <definedName name="CHV.LRMC">#REF!</definedName>
    <definedName name="CLV.LRMC">#REF!</definedName>
    <definedName name="cn" hidden="1">{#N/A,#N/A,FALSE,"Group P&amp;L";#N/A,#N/A,FALSE,"Group Balance Sheet"}</definedName>
    <definedName name="CNV">#REF!</definedName>
    <definedName name="CompareSce">#REF!</definedName>
    <definedName name="ConnectString1">#REF!</definedName>
    <definedName name="ConnectString2">#REF!</definedName>
    <definedName name="ConnectString3">#REF!</definedName>
    <definedName name="cpi">#REF!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hidden="1">{#N/A,#N/A,FALSE,"Group P&amp;L";#N/A,#N/A,FALSE,"Group Balance Sheet"}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eateGraph1">#REF!</definedName>
    <definedName name="CreateGraph2">#REF!</definedName>
    <definedName name="CreateGraph3">#REF!</definedName>
    <definedName name="CRY">#REF!</definedName>
    <definedName name="cs_min">#REF!</definedName>
    <definedName name="CstCtrs">#REF!</definedName>
    <definedName name="Curr_Fcst">#REF!</definedName>
    <definedName name="Curr_Mth">#REF!</definedName>
    <definedName name="Curr_Year">#REF!</definedName>
    <definedName name="CURRENT">#REF!</definedName>
    <definedName name="CurrentFY">#REF!</definedName>
    <definedName name="CurrentMth">#REF!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CXVB">#REF!</definedName>
    <definedName name="CzxzxcCZX">#REF!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ata">#REF!</definedName>
    <definedName name="data1">#REF!</definedName>
    <definedName name="Date_Range">#REF!,#REF!</definedName>
    <definedName name="Dates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COSTS">#REF!</definedName>
    <definedName name="DD_CostCategory">#REF!</definedName>
    <definedName name="DDDDDDDDDDDDDDDDDDDDDDDDDD">#REF!</definedName>
    <definedName name="DeleteLogicType1">#REF!</definedName>
    <definedName name="DeleteLogicType2">#REF!</definedName>
    <definedName name="DeleteLogicType3">#REF!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hidden="1">{#N/A,#N/A,FALSE,"Group P&amp;L";#N/A,#N/A,FALSE,"Group Balance Sheet"}</definedName>
    <definedName name="DFNHZSDNJH">#REF!</definedName>
    <definedName name="DFZSNHDFNH">#REF!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ghnmdsnsdfnsd">#REF!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>#REF!</definedName>
    <definedName name="dms_Confid_status_List">#REF!</definedName>
    <definedName name="DMS_Constant">#REF!</definedName>
    <definedName name="DMS_Constant_t">#REF!</definedName>
    <definedName name="dms_ContactEmail_List">#REF!</definedName>
    <definedName name="dms_ContactName1_List">#REF!</definedName>
    <definedName name="dms_ContactPh1_List">#REF!</definedName>
    <definedName name="DMS_CostofCapitalParameters">#REF!</definedName>
    <definedName name="dms_CRCP_FinalYear_Result">#REF!</definedName>
    <definedName name="dms_CRCP_FirstYear_Result">#REF!</definedName>
    <definedName name="dms_CRCP_index">#REF!</definedName>
    <definedName name="dms_CRCP_start_row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>#REF!</definedName>
    <definedName name="DMS_DandEcosts_t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Choices">#REF!</definedName>
    <definedName name="dms_FormControl_List">#REF!</definedName>
    <definedName name="dms_FRCP_ListC">#REF!</definedName>
    <definedName name="dms_FRCP_ListF">#REF!</definedName>
    <definedName name="dms_FRCP_start_row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MAIFI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ublic_Lighting_List">#REF!</definedName>
    <definedName name="DMS_RAB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>#REF!</definedName>
    <definedName name="DMS_RevAdjust_t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>#REF!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ACCAnalysis">#REF!</definedName>
    <definedName name="DMS_WACCcalc">#REF!</definedName>
    <definedName name="DMS_WACCcalc_t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6">#REF!</definedName>
    <definedName name="dollars">'Lookup | Tables'!$E$7</definedName>
    <definedName name="Dr">#REF!</definedName>
    <definedName name="Drc">#REF!</definedName>
    <definedName name="Drc_t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>#REF!</definedName>
    <definedName name="EndPeriodName2">#REF!</definedName>
    <definedName name="EndPeriodName3">#REF!</definedName>
    <definedName name="EndPeriodNum1">#REF!</definedName>
    <definedName name="EndPeriodNum2">#REF!</definedName>
    <definedName name="EndPeriodNum3">#REF!</definedName>
    <definedName name="eqrt" hidden="1">{#N/A,#N/A,FALSE,"Group P&amp;L";#N/A,#N/A,FALSE,"Group Balance Sheet"}</definedName>
    <definedName name="ERC_Final_Calc">#REF!</definedName>
    <definedName name="ERC_Final_Calc_t">#REF!</definedName>
    <definedName name="ERC_Yr01_Inc">#REF!</definedName>
    <definedName name="ERC_Yr01_Inc_t">#REF!</definedName>
    <definedName name="erwyhreytwe" hidden="1">{#N/A,#N/A,FALSE,"Group P&amp;L";#N/A,#N/A,FALSE,"Group Balance Sheet"}</definedName>
    <definedName name="ERYAERYAEYRAE">#REF!</definedName>
    <definedName name="et" hidden="1">{#N/A,#N/A,FALSE,"Group P&amp;L";#N/A,#N/A,FALSE,"Group Balance Sheet"}</definedName>
    <definedName name="ETEET">#REF!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wrt">#REF!</definedName>
    <definedName name="ExistingAssetsRemainingLife">25</definedName>
    <definedName name="Expenditure">#REF!</definedName>
    <definedName name="EYGadeG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'Lookup | Tables'!#REF!</definedName>
    <definedName name="fafaf" hidden="1">{#N/A,#N/A,FALSE,"Group P&amp;L";#N/A,#N/A,FALSE,"Group Balance Sheet"}</definedName>
    <definedName name="fafafaf">#REF!</definedName>
    <definedName name="fafaqf">#REF!</definedName>
    <definedName name="fas" hidden="1">{#N/A,#N/A,FALSE,"Group P&amp;L";#N/A,#N/A,FALSE,"Group Balance Sheet"}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fffffffffffff">#REF!</definedName>
    <definedName name="FFSegDesc1_1">#REF!</definedName>
    <definedName name="FFSegDesc1_2">#REF!</definedName>
    <definedName name="FFSegDesc1_3">#REF!</definedName>
    <definedName name="FFSegDesc2_1">#REF!</definedName>
    <definedName name="FFSegDesc2_2">#REF!</definedName>
    <definedName name="FFSegDesc2_3">#REF!</definedName>
    <definedName name="FFSegDesc3_1">#REF!</definedName>
    <definedName name="FFSegDesc3_2">#REF!</definedName>
    <definedName name="FFSegDesc3_3">#REF!</definedName>
    <definedName name="FFSegDesc4_1">#REF!</definedName>
    <definedName name="FFSegDesc4_2">#REF!</definedName>
    <definedName name="FFSegDesc4_3">#REF!</definedName>
    <definedName name="FFSegDesc5_1">#REF!</definedName>
    <definedName name="FFSegDesc5_2">#REF!</definedName>
    <definedName name="FFSegDesc5_3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Separator1">#REF!</definedName>
    <definedName name="FFSegSeparator2">#REF!</definedName>
    <definedName name="FFSegSeparator3">#REF!</definedName>
    <definedName name="fga" hidden="1">{#N/A,#N/A,FALSE,"Group P&amp;L";#N/A,#N/A,FALSE,"Group Balance Sheet"}</definedName>
    <definedName name="FGDHHG">#REF!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gndfgndfg">#REF!</definedName>
    <definedName name="FiT">#REF!</definedName>
    <definedName name="FKHJJK">#REF!</definedName>
    <definedName name="FlagIncludeElectricityNetwork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>"2015-20"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tqw3fer">#REF!</definedName>
    <definedName name="FRY">#REF!</definedName>
    <definedName name="ftnjh" hidden="1">{#N/A,#N/A,FALSE,"Group P&amp;L";#N/A,#N/A,FALSE,"Group Balance Sheet"}</definedName>
    <definedName name="fvgeaDRBVGEFR">#REF!</definedName>
    <definedName name="FWEA">#REF!</definedName>
    <definedName name="g">#REF!</definedName>
    <definedName name="g_t">#REF!</definedName>
    <definedName name="ga">#REF!</definedName>
    <definedName name="Gap">ROUND((#REF!-#REF!)/30,0)/12</definedName>
    <definedName name="gasd">#REF!</definedName>
    <definedName name="gasdg" hidden="1">{#N/A,#N/A,FALSE,"Group P&amp;L";#N/A,#N/A,FALSE,"Group Balance Sheet"}</definedName>
    <definedName name="gdsf">#REF!</definedName>
    <definedName name="GEAQTHY43">#REF!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JKDHDDGD">#REF!</definedName>
    <definedName name="gmgmgmgmgmgm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hidden="1">{#N/A,#N/A,FALSE,"Group P&amp;L";#N/A,#N/A,FALSE,"Group Balance Sheet"}</definedName>
    <definedName name="GWYUID1">#REF!</definedName>
    <definedName name="GWYUID2">#REF!</definedName>
    <definedName name="GWYUID3">#REF!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ghghgjedgjhegd">#REF!</definedName>
    <definedName name="hgjfgjfgjfgj">#REF!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sdfhsdfhsdhsdhsd">#REF!</definedName>
    <definedName name="hxa" hidden="1">{#N/A,#N/A,FALSE,"Group P&amp;L";#N/A,#N/A,FALSE,"Group Balance Sheet"}</definedName>
    <definedName name="Icpr">#REF!</definedName>
    <definedName name="Icpr_t">#REF!</definedName>
    <definedName name="ics_max">#REF!</definedName>
    <definedName name="ics_min">#REF!</definedName>
    <definedName name="IIIIIIIIIIIIIIIIIIIIIII">#REF!</definedName>
    <definedName name="im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h">#REF!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#REF!</definedName>
    <definedName name="k">#REF!</definedName>
    <definedName name="kdb" hidden="1">{#N/A,#N/A,FALSE,"Group P&amp;L";#N/A,#N/A,FALSE,"Group Balance Sheet"}</definedName>
    <definedName name="kjgkhgsdfnsdfnbsdf">#REF!</definedName>
    <definedName name="kkkk" hidden="1">{#N/A,#N/A,FALSE,"Group P&amp;L";#N/A,#N/A,FALSE,"Group Balance Sheet"}</definedName>
    <definedName name="kkkkkkkk">#REF!</definedName>
    <definedName name="klop">#REF!</definedName>
    <definedName name="kms">#REF!</definedName>
    <definedName name="kurkrykmrkm" hidden="1">{#N/A,#N/A,FALSE,"Group P&amp;L";#N/A,#N/A,FALSE,"Group Balance Sheet"}</definedName>
    <definedName name="l">#REF!</definedName>
    <definedName name="LAN" hidden="1">{"Ownership",#N/A,FALSE,"Ownership";"Contents",#N/A,FALSE,"Contents"}</definedName>
    <definedName name="LastYear">#REF!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lllo">#REF!</definedName>
    <definedName name="lo" hidden="1">{#N/A,#N/A,FALSE,"Group P&amp;L";#N/A,#N/A,FALSE,"Group Balance Sheet"}</definedName>
    <definedName name="LST_MTH">#REF!</definedName>
    <definedName name="m" hidden="1">{#N/A,#N/A,FALSE,"Group P&amp;L";#N/A,#N/A,FALSE,"Group Balance Sheet"}</definedName>
    <definedName name="MBMCV">#REF!</definedName>
    <definedName name="MEF_CC">#REF!</definedName>
    <definedName name="MEF_CD">#REF!</definedName>
    <definedName name="MeterOM">#REF!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hmhmhm">#REF!</definedName>
    <definedName name="Mid_Period">#REF!</definedName>
    <definedName name="millions" localSheetId="6">#REF!</definedName>
    <definedName name="millions">'Lookup | Tables'!$E$9</definedName>
    <definedName name="miy">#REF!</definedName>
    <definedName name="mkt" hidden="1">{#N/A,#N/A,FALSE,"Group P&amp;L";#N/A,#N/A,FALSE,"Group Balance Sheet"}</definedName>
    <definedName name="mmmmmmmmmmm">#REF!</definedName>
    <definedName name="MN">#REF!</definedName>
    <definedName name="MNMMN">#REF!</definedName>
    <definedName name="Mrp">#REF!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FG">#REF!</definedName>
    <definedName name="ngngngnfd">#REF!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6">#REF!</definedName>
    <definedName name="Nominal">#REF!</definedName>
    <definedName name="Nominal_to_Real" localSheetId="6">#REF!</definedName>
    <definedName name="Nominal_to_Real">#REF!</definedName>
    <definedName name="NoOfFFSegments1">#REF!</definedName>
    <definedName name="NoOfFFSegments2">#REF!</definedName>
    <definedName name="NoOfFFSegments3">#REF!</definedName>
    <definedName name="NoOfPeriods1">#REF!</definedName>
    <definedName name="NoOfPeriods2">#REF!</definedName>
    <definedName name="NoOfPeriods3">#REF!</definedName>
    <definedName name="number" localSheetId="6">#REF!</definedName>
    <definedName name="number">'Lookup | Tables'!#REF!</definedName>
    <definedName name="NVCX">#REF!</definedName>
    <definedName name="nvvvvvvvvvvvv" hidden="1">{#N/A,#N/A,FALSE,"Group P&amp;L";#N/A,#N/A,FALSE,"Group Balance Sheet"}</definedName>
    <definedName name="ODBCDataSource1">#REF!</definedName>
    <definedName name="ODBCDataSource2">#REF!</definedName>
    <definedName name="ODBCDataSource3">#REF!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iuuoi">#REF!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OOOOOOOOOOOOOOOOOOOOOO">#REF!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oyguoyt">#REF!</definedName>
    <definedName name="p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hidden="1">{#N/A,#N/A,FALSE,"Group P&amp;L";#N/A,#N/A,FALSE,"Group Balance Sheet"}</definedName>
    <definedName name="percent" localSheetId="5">'[5]Lookup|Tables'!$G$14</definedName>
    <definedName name="percent" localSheetId="6">#REF!</definedName>
    <definedName name="PERIOD">#REF!</definedName>
    <definedName name="PeriodSetName1">#REF!</definedName>
    <definedName name="PeriodSetName2">#REF!</definedName>
    <definedName name="PeriodSetName3">#REF!</definedName>
    <definedName name="PeriodYear1">#REF!</definedName>
    <definedName name="PeriodYear2">#REF!</definedName>
    <definedName name="PeriodYear3">#REF!</definedName>
    <definedName name="pii">#REF!</definedName>
    <definedName name="piuytre">#REF!</definedName>
    <definedName name="pllllooiouut">#REF!</definedName>
    <definedName name="po" hidden="1">{#N/A,#N/A,FALSE,"Group P&amp;L";#N/A,#N/A,FALSE,"Group Balance Sheet"}</definedName>
    <definedName name="POIIIIIIIIIIIIIIIIIIIIIII">#REF!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iuy">#REF!</definedName>
    <definedName name="poll">#REF!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>#REF!</definedName>
    <definedName name="previous_vanilla_rfm_t">#REF!</definedName>
    <definedName name="Price">#REF!</definedName>
    <definedName name="Priceactual">#REF!</definedName>
    <definedName name="Prior_Mth">#REF!</definedName>
    <definedName name="Prior_Year">#REF!</definedName>
    <definedName name="Prior_Year_End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hidden="1">{#N/A,#N/A,FALSE,"Group P&amp;L";#N/A,#N/A,FALSE,"Group Balance Sheet"}</definedName>
    <definedName name="qqqqqqqqqqqqqqqqqqqq">#REF!</definedName>
    <definedName name="Quarter">OFFSET(#REF!,1,,COUNTA(#REF!)-1,)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ERRQRQRR">#REF!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hidden="1">{#N/A,#N/A,FALSE,"Group P&amp;L";#N/A,#N/A,FALSE,"Group Balance Sheet"}</definedName>
    <definedName name="QWREEQEQE">#REF!</definedName>
    <definedName name="qwreeqwr">#REF!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>#REF!</definedName>
    <definedName name="ReadWriteBackColour1">#REF!</definedName>
    <definedName name="ReadWriteBackColour2">#REF!</definedName>
    <definedName name="ReadWriteBackColour3">#REF!</definedName>
    <definedName name="Reg_Period_Length">#REF!</definedName>
    <definedName name="Reg_Period_Length_t">#REF!</definedName>
    <definedName name="rehtb" hidden="1">{#N/A,#N/A,FALSE,"Group P&amp;L";#N/A,#N/A,FALSE,"Group Balance Sheet"}</definedName>
    <definedName name="Reporting_Entity_Name">#REF!</definedName>
    <definedName name="Reporting_Period">#REF!</definedName>
    <definedName name="ReportSce">#REF!</definedName>
    <definedName name="RequireBudgetJournalsFlag1">#REF!</definedName>
    <definedName name="RequireBudgetJournalsFlag2">#REF!</definedName>
    <definedName name="RequireBudgetJournalsFlag3">#REF!</definedName>
    <definedName name="rertte" hidden="1">{#N/A,#N/A,FALSE,"Group P&amp;L";#N/A,#N/A,FALSE,"Group Balance Sheet"}</definedName>
    <definedName name="ResLRMC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venue">#REF!</definedName>
    <definedName name="rew" hidden="1">{#N/A,#N/A,FALSE,"Group P&amp;L";#N/A,#N/A,FALSE,"Group Balance Sheet"}</definedName>
    <definedName name="Rf">#REF!</definedName>
    <definedName name="rmkt" hidden="1">{#N/A,#N/A,FALSE,"Group P&amp;L";#N/A,#N/A,FALSE,"Group Balance Sheet"}</definedName>
    <definedName name="RowsToUpload1">#REF!</definedName>
    <definedName name="RowsToUpload2">#REF!</definedName>
    <definedName name="RowsToUpload3">#REF!</definedName>
    <definedName name="rrf">#REF!</definedName>
    <definedName name="rrrrr">#REF!</definedName>
    <definedName name="RRRRRRRRRRRRRRRRRRRRRRRRRRRR">#REF!</definedName>
    <definedName name="rsdht" hidden="1">{#N/A,#N/A,FALSE,"Group P&amp;L";#N/A,#N/A,FALSE,"Group Balance Sheet"}</definedName>
    <definedName name="RT">#REF!</definedName>
    <definedName name="rtrtrt">#REF!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rtwret">#REF!</definedName>
    <definedName name="RTYAW">#REF!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#REF!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#REF!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hidden="1">{#N/A,#N/A,FALSE,"Group P&amp;L";#N/A,#N/A,FALSE,"Group Balance Sheet"}</definedName>
    <definedName name="sdfng">#REF!</definedName>
    <definedName name="sdgasdgsadg">#REF!</definedName>
    <definedName name="sdgasgg" hidden="1">{#N/A,#N/A,FALSE,"Group P&amp;L";#N/A,#N/A,FALSE,"Group Balance Sheet"}</definedName>
    <definedName name="Seg1_Direction1">#REF!</definedName>
    <definedName name="Seg1_Direction2">#REF!</definedName>
    <definedName name="Seg1_Direction3">#REF!</definedName>
    <definedName name="SEG1_FROM1">#REF!</definedName>
    <definedName name="SEG1_FROM2">#REF!</definedName>
    <definedName name="SEG1_FROM3">#REF!</definedName>
    <definedName name="Seg1_Sort1">#REF!</definedName>
    <definedName name="Seg1_Sort2">#REF!</definedName>
    <definedName name="Seg1_Sort3">#REF!</definedName>
    <definedName name="SEG1_TO1">#REF!</definedName>
    <definedName name="SEG1_TO2">#REF!</definedName>
    <definedName name="SEG1_TO3">#REF!</definedName>
    <definedName name="Seg2_Direction1">#REF!</definedName>
    <definedName name="Seg2_Direction2">#REF!</definedName>
    <definedName name="Seg2_Direction3">#REF!</definedName>
    <definedName name="SEG2_FROM1">#REF!</definedName>
    <definedName name="SEG2_FROM2">#REF!</definedName>
    <definedName name="SEG2_FROM3">#REF!</definedName>
    <definedName name="Seg2_Sort1">#REF!</definedName>
    <definedName name="Seg2_Sort2">#REF!</definedName>
    <definedName name="Seg2_Sort3">#REF!</definedName>
    <definedName name="SEG2_TO1">#REF!</definedName>
    <definedName name="SEG2_TO2">#REF!</definedName>
    <definedName name="SEG2_TO3">#REF!</definedName>
    <definedName name="Seg3_Direction1">#REF!</definedName>
    <definedName name="Seg3_Direction2">#REF!</definedName>
    <definedName name="Seg3_Direction3">#REF!</definedName>
    <definedName name="SEG3_FROM1">#REF!</definedName>
    <definedName name="SEG3_FROM2">#REF!</definedName>
    <definedName name="SEG3_FROM3">#REF!</definedName>
    <definedName name="Seg3_Sort1">#REF!</definedName>
    <definedName name="Seg3_Sort2">#REF!</definedName>
    <definedName name="Seg3_Sort3">#REF!</definedName>
    <definedName name="SEG3_TO1">#REF!</definedName>
    <definedName name="SEG3_TO2">#REF!</definedName>
    <definedName name="SEG3_TO3">#REF!</definedName>
    <definedName name="Seg4_Direction1">#REF!</definedName>
    <definedName name="Seg4_Direction2">#REF!</definedName>
    <definedName name="Seg4_Direction3">#REF!</definedName>
    <definedName name="SEG4_FROM1">#REF!</definedName>
    <definedName name="SEG4_FROM2">#REF!</definedName>
    <definedName name="SEG4_FROM3">#REF!</definedName>
    <definedName name="Seg4_Sort1">#REF!</definedName>
    <definedName name="Seg4_Sort2">#REF!</definedName>
    <definedName name="Seg4_Sort3">#REF!</definedName>
    <definedName name="SEG4_TO1">#REF!</definedName>
    <definedName name="SEG4_TO2">#REF!</definedName>
    <definedName name="SEG4_TO3">#REF!</definedName>
    <definedName name="Seg5_Direction1">#REF!</definedName>
    <definedName name="Seg5_Direction2">#REF!</definedName>
    <definedName name="Seg5_Direction3">#REF!</definedName>
    <definedName name="SEG5_FROM1">#REF!</definedName>
    <definedName name="SEG5_FROM2">#REF!</definedName>
    <definedName name="SEG5_FROM3">#REF!</definedName>
    <definedName name="Seg5_Sort1">#REF!</definedName>
    <definedName name="Seg5_Sort2">#REF!</definedName>
    <definedName name="Seg5_Sort3">#REF!</definedName>
    <definedName name="SEG5_TO1">#REF!</definedName>
    <definedName name="SEG5_TO2">#REF!</definedName>
    <definedName name="SEG5_TO3">#REF!</definedName>
    <definedName name="sencount" hidden="1">1</definedName>
    <definedName name="Seo">#REF!</definedName>
    <definedName name="Seo_t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FDDDDDDDDDDDDD">#REF!</definedName>
    <definedName name="SFDFDSSD">#REF!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hidden="1">{#N/A,#N/A,FALSE,"Group P&amp;L";#N/A,#N/A,FALSE,"Group Balance Sheet"}</definedName>
    <definedName name="ship">#REF!</definedName>
    <definedName name="SL01VIEWHND">-1</definedName>
    <definedName name="SP95Score">#REF!</definedName>
    <definedName name="SP95Table">#REF!</definedName>
    <definedName name="SRTYHSRTUY" hidden="1">{#N/A,#N/A,FALSE,"Group P&amp;L";#N/A,#N/A,FALSE,"Group Balance Sheet"}</definedName>
    <definedName name="ss">#REF!</definedName>
    <definedName name="ssss">#REF!</definedName>
    <definedName name="sssssssssss" hidden="1">{#N/A,#N/A,FALSE,"Group P&amp;L";#N/A,#N/A,FALSE,"Group Balance Sheet"}</definedName>
    <definedName name="ssssssssssss">#REF!</definedName>
    <definedName name="SSSSSSSSSSSSSSSSSSSSS">#REF!</definedName>
    <definedName name="sta" hidden="1">{#N/A,#N/A,FALSE,"Group P&amp;L";#N/A,#N/A,FALSE,"Group Balance Sheet"}</definedName>
    <definedName name="StartBudgetPost1">#REF!</definedName>
    <definedName name="StartBudgetPost2">#REF!</definedName>
    <definedName name="StartBudgetPost3">#REF!</definedName>
    <definedName name="StartPeriodName1">#REF!</definedName>
    <definedName name="StartPeriodName2">#REF!</definedName>
    <definedName name="StartPeriodName3">#REF!</definedName>
    <definedName name="StartPeriodNum1">#REF!</definedName>
    <definedName name="StartPeriodNum2">#REF!</definedName>
    <definedName name="StartPeriodNum3">#REF!</definedName>
    <definedName name="Strategies">#REF!</definedName>
    <definedName name="Stuff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hidden="1">{"Ownership",#N/A,FALSE,"Ownership";"Contents",#N/A,FALSE,"Contents"}</definedName>
    <definedName name="TerminalValueGrowthRate">1%</definedName>
    <definedName name="TermScen">#REF!</definedName>
    <definedName name="TEST" hidden="1">{#N/A,#N/A,FALSE,"Group P&amp;L";#N/A,#N/A,FALSE,"Group Balance Sheet"}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6">#REF!</definedName>
    <definedName name="thousands">'Lookup | Tables'!$E$8</definedName>
    <definedName name="Time_Horizon">#REF!</definedName>
    <definedName name="Timing_Adj">#REF!</definedName>
    <definedName name="TITLE5">_xll.SUBNM("actewagl_tm1:bs_month","","Jun")</definedName>
    <definedName name="TJ">#REF!</definedName>
    <definedName name="tjuyt" hidden="1">{#N/A,#N/A,FALSE,"Group P&amp;L";#N/A,#N/A,FALSE,"Group Balance Sheet"}</definedName>
    <definedName name="TM1REBUILDOPTION">1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">#REF!</definedName>
    <definedName name="trfv" hidden="1">{#N/A,#N/A,FALSE,"Group P&amp;L";#N/A,#N/A,FALSE,"Group Balance Sheet"}</definedName>
    <definedName name="trrttrrtrtrt">#REF!</definedName>
    <definedName name="ttrrttr">#REF!</definedName>
    <definedName name="ttt" hidden="1">{#N/A,#N/A,FALSE,"Group P&amp;L";#N/A,#N/A,FALSE,"Group Balance Sheet"}</definedName>
    <definedName name="TTTTTTTTTTTTTTTTTTTTTTTT">#REF!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wo_Years_Prior">#REF!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hidden="1">{#N/A,#N/A,FALSE,"Group P&amp;L";#N/A,#N/A,FALSE,"Group Balance Sheet"}</definedName>
    <definedName name="uirjtgh">#REF!</definedName>
    <definedName name="uiui">#REF!</definedName>
    <definedName name="uliug" hidden="1">{#N/A,#N/A,FALSE,"Group P&amp;L";#N/A,#N/A,FALSE,"Group Balance Sheet"}</definedName>
    <definedName name="unit" localSheetId="6">#REF!</definedName>
    <definedName name="unit">'Lookup | Tables'!#REF!</definedName>
    <definedName name="UpdateLogicType1">#REF!</definedName>
    <definedName name="UpdateLogicType2">#REF!</definedName>
    <definedName name="UpdateLogicType3">#REF!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uyu">#REF!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#REF!</definedName>
    <definedName name="vanilla2_rfm">#REF!</definedName>
    <definedName name="vanilla2_rfm_t">#REF!</definedName>
    <definedName name="vanilla3">#REF!</definedName>
    <definedName name="vanilla3_rfm">#REF!</definedName>
    <definedName name="vanilla3_rfm_t">#REF!</definedName>
    <definedName name="vanilla4">#REF!</definedName>
    <definedName name="vanilla4_rfm">#REF!</definedName>
    <definedName name="vanilla4_rfm_t">#REF!</definedName>
    <definedName name="vanilla5">#REF!</definedName>
    <definedName name="vanilla5_rfm">#REF!</definedName>
    <definedName name="vanilla5_rfm_t">#REF!</definedName>
    <definedName name="vanilla6">#REF!</definedName>
    <definedName name="vanilla6_rfm">#REF!</definedName>
    <definedName name="vanilla6_rfm_t">#REF!</definedName>
    <definedName name="vanilla7">#REF!</definedName>
    <definedName name="vanilla7_rfm">#REF!</definedName>
    <definedName name="vanilla7_rfm_t">#REF!</definedName>
    <definedName name="vanilla8">#REF!</definedName>
    <definedName name="vanilla8_rfm">#REF!</definedName>
    <definedName name="vanilla8_rfm_t">#REF!</definedName>
    <definedName name="vanilla9">#REF!</definedName>
    <definedName name="vanilla9_rfm">#REF!</definedName>
    <definedName name="vanilla9_rfm_t">#REF!</definedName>
    <definedName name="VBCNNCVNCNV">#REF!</definedName>
    <definedName name="vcbg" hidden="1">{#N/A,#N/A,FALSE,"Group P&amp;L";#N/A,#N/A,FALSE,"Group Balance Sheet"}</definedName>
    <definedName name="vCube" hidden="1">#REF!</definedName>
    <definedName name="vFormulas" hidden="1">#REF!</definedName>
    <definedName name="vfsd" hidden="1">{#N/A,#N/A,FALSE,"Group P&amp;L";#N/A,#N/A,FALSE,"Group Balance Sheet"}</definedName>
    <definedName name="vfsVFSWDVSWVFVSWVSWVSVSV">#REF!</definedName>
    <definedName name="vGetRange" hidden="1">#REF!</definedName>
    <definedName name="vgswdevg">#REF!</definedName>
    <definedName name="VNVCB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#REF!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RWWW">#REF!</definedName>
    <definedName name="weryhwryhwryh">#REF!</definedName>
    <definedName name="weytjewtj" hidden="1">{#N/A,#N/A,FALSE,"Group P&amp;L";#N/A,#N/A,FALSE,"Group Balance Sheet"}</definedName>
    <definedName name="weYTwYT">#REF!</definedName>
    <definedName name="wqhgqhg" hidden="1">{#N/A,#N/A,FALSE,"Group P&amp;L";#N/A,#N/A,FALSE,"Group Balance Sheet"}</definedName>
    <definedName name="WRE">#REF!</definedName>
    <definedName name="wrju" hidden="1">{#N/A,#N/A,FALSE,"Group P&amp;L";#N/A,#N/A,FALSE,"Group Balance Sheet"}</definedName>
    <definedName name="wrn.App._.Custodians." hidden="1">{"Ownership",#N/A,FALSE,"Ownership";"Contents",#N/A,FALSE,"Contents"}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n.bpt" hidden="1">{#N/A,#N/A,FALSE,"Group P&amp;L";#N/A,#N/A,FALSE,"Group Balance Sheet"}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r">#REF!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#REF!</definedName>
    <definedName name="x" hidden="1">{#N/A,#N/A,FALSE,"Group P&amp;L";#N/A,#N/A,FALSE,"Group Balance Sheet"}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>#REF!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HG">#REF!</definedName>
    <definedName name="xsd" hidden="1">{#N/A,#N/A,FALSE,"Group P&amp;L";#N/A,#N/A,FALSE,"Group Balance Sheet"}</definedName>
    <definedName name="XVXZVZXVC">#REF!</definedName>
    <definedName name="xxx" hidden="1">{#N/A,#N/A,FALSE,"Group P&amp;L";#N/A,#N/A,FALSE,"Group Balance Sheet"}</definedName>
    <definedName name="xxxxxxxxxxxxxx">#REF!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ear" localSheetId="6">OFFSET(#REF!,1,,COUNTA(#REF!)-1,)</definedName>
    <definedName name="Year">#REF!</definedName>
    <definedName name="Years">#REF!</definedName>
    <definedName name="YearStandard">365.25</definedName>
    <definedName name="yes">#REF!</definedName>
    <definedName name="yhey">#REF!</definedName>
    <definedName name="yl">#REF!</definedName>
    <definedName name="YOUYXSXS">#REF!</definedName>
    <definedName name="YRAewYW" hidden="1">{#N/A,#N/A,FALSE,"Group P&amp;L";#N/A,#N/A,FALSE,"Group Balance Sheet"}</definedName>
    <definedName name="YT">#REF!</definedName>
    <definedName name="YTE">#REF!</definedName>
    <definedName name="YTG_Months">#REF!</definedName>
    <definedName name="YTG_Months_Gas">#REF!</definedName>
    <definedName name="ytnjhe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ccccccccccccccccccccC">#REF!</definedName>
    <definedName name="zxccz">#REF!</definedName>
    <definedName name="zxcv" hidden="1">{#N/A,#N/A,FALSE,"Group P&amp;L";#N/A,#N/A,FALSE,"Group Balance Sheet"}</definedName>
    <definedName name="zxCzxCzXCzc">#REF!</definedName>
    <definedName name="zxvb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4" l="1"/>
  <c r="K30" i="14"/>
  <c r="J30" i="14"/>
  <c r="I30" i="14"/>
  <c r="H30" i="14"/>
  <c r="H22" i="14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12" i="3"/>
  <c r="J16" i="3"/>
  <c r="J12" i="3"/>
  <c r="K16" i="3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12" i="3"/>
  <c r="H12" i="3" l="1"/>
  <c r="D31" i="4" s="1"/>
  <c r="H16" i="3"/>
  <c r="F7" i="13"/>
  <c r="F24" i="3" s="1"/>
  <c r="F31" i="3" s="1"/>
  <c r="G19" i="13"/>
  <c r="F8" i="3" l="1"/>
  <c r="F9" i="3"/>
  <c r="F10" i="3"/>
  <c r="F12" i="3"/>
  <c r="C15" i="13"/>
  <c r="C10" i="13"/>
  <c r="C47" i="4"/>
  <c r="B1" i="2"/>
  <c r="B1" i="10" s="1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F8" i="10"/>
  <c r="E8" i="10"/>
  <c r="C18" i="9"/>
  <c r="B1" i="9" l="1"/>
  <c r="B1" i="5"/>
  <c r="B1" i="3"/>
  <c r="B1" i="13"/>
  <c r="B1" i="4"/>
  <c r="H15" i="14" l="1"/>
  <c r="I15" i="14" l="1"/>
  <c r="J15" i="14" l="1"/>
  <c r="L15" i="14" l="1"/>
  <c r="K15" i="14"/>
  <c r="H13" i="13" l="1"/>
  <c r="I13" i="13"/>
  <c r="J13" i="13"/>
  <c r="K13" i="13"/>
  <c r="G13" i="13" l="1"/>
  <c r="G10" i="13"/>
  <c r="H10" i="13" s="1"/>
  <c r="I10" i="13" s="1"/>
  <c r="J10" i="13" s="1"/>
  <c r="K10" i="13" s="1"/>
  <c r="L8" i="14"/>
  <c r="K8" i="14"/>
  <c r="J8" i="14"/>
  <c r="I8" i="14"/>
  <c r="H8" i="14" l="1"/>
  <c r="H9" i="14" s="1"/>
  <c r="G15" i="13"/>
  <c r="H15" i="13" l="1"/>
  <c r="I9" i="14"/>
  <c r="H16" i="14"/>
  <c r="J9" i="14" l="1"/>
  <c r="I16" i="14"/>
  <c r="I15" i="13"/>
  <c r="K9" i="14" l="1"/>
  <c r="J16" i="14"/>
  <c r="J15" i="13"/>
  <c r="K15" i="13" l="1"/>
  <c r="L9" i="14"/>
  <c r="L16" i="14" s="1"/>
  <c r="L25" i="14" s="1"/>
  <c r="K16" i="14"/>
  <c r="I23" i="3" l="1"/>
  <c r="I24" i="3" s="1"/>
  <c r="K23" i="3" l="1"/>
  <c r="J23" i="3"/>
  <c r="J24" i="3" s="1"/>
  <c r="L23" i="3"/>
  <c r="K24" i="3"/>
  <c r="L24" i="3"/>
  <c r="H6" i="14" l="1"/>
  <c r="H10" i="14" s="1"/>
  <c r="D8" i="4"/>
  <c r="G22" i="13"/>
  <c r="D9" i="4" s="1"/>
  <c r="D10" i="4"/>
  <c r="E8" i="4" l="1"/>
  <c r="I6" i="14"/>
  <c r="H22" i="13"/>
  <c r="E9" i="4" s="1"/>
  <c r="E11" i="4" s="1"/>
  <c r="E10" i="4"/>
  <c r="I10" i="14" l="1"/>
  <c r="I17" i="14"/>
  <c r="I22" i="14" s="1"/>
  <c r="F8" i="4"/>
  <c r="J6" i="14"/>
  <c r="I22" i="13"/>
  <c r="F9" i="4" s="1"/>
  <c r="F11" i="4" s="1"/>
  <c r="F10" i="4"/>
  <c r="E12" i="4"/>
  <c r="J10" i="14" l="1"/>
  <c r="J17" i="14"/>
  <c r="J18" i="14"/>
  <c r="F12" i="4"/>
  <c r="G8" i="4"/>
  <c r="K6" i="14"/>
  <c r="J22" i="13"/>
  <c r="G9" i="4" s="1"/>
  <c r="G11" i="4" s="1"/>
  <c r="G10" i="4"/>
  <c r="F14" i="4"/>
  <c r="G14" i="4" l="1"/>
  <c r="G12" i="4"/>
  <c r="J22" i="14"/>
  <c r="K10" i="14"/>
  <c r="K18" i="14"/>
  <c r="K17" i="14"/>
  <c r="K19" i="14"/>
  <c r="G15" i="4"/>
  <c r="K22" i="14" l="1"/>
  <c r="H23" i="3" l="1"/>
  <c r="H24" i="3" l="1"/>
  <c r="D32" i="4" s="1"/>
  <c r="D33" i="4" s="1"/>
  <c r="D11" i="4"/>
  <c r="D12" i="4" s="1"/>
  <c r="E13" i="4" l="1"/>
  <c r="E18" i="4" s="1"/>
  <c r="F13" i="4"/>
  <c r="F18" i="4" s="1"/>
  <c r="G13" i="4"/>
  <c r="G18" i="4" s="1"/>
  <c r="M9" i="13" l="1"/>
  <c r="H31" i="3"/>
  <c r="L14" i="13"/>
  <c r="L10" i="13"/>
  <c r="H32" i="3" l="1"/>
  <c r="D26" i="4" s="1"/>
  <c r="M10" i="13"/>
  <c r="I31" i="3"/>
  <c r="L15" i="13"/>
  <c r="M14" i="13"/>
  <c r="N9" i="13"/>
  <c r="I32" i="3" l="1"/>
  <c r="E26" i="4" s="1"/>
  <c r="N14" i="13"/>
  <c r="O9" i="13"/>
  <c r="M15" i="13"/>
  <c r="J31" i="3"/>
  <c r="N10" i="13"/>
  <c r="N15" i="13" l="1"/>
  <c r="J32" i="3"/>
  <c r="F26" i="4" s="1"/>
  <c r="K31" i="3"/>
  <c r="O10" i="13"/>
  <c r="O14" i="13"/>
  <c r="P9" i="13"/>
  <c r="P14" i="13" s="1"/>
  <c r="O15" i="13" l="1"/>
  <c r="P15" i="13" s="1"/>
  <c r="P10" i="13"/>
  <c r="L31" i="3"/>
  <c r="K32" i="3"/>
  <c r="G26" i="4" s="1"/>
  <c r="L32" i="3" l="1"/>
  <c r="H26" i="4" s="1"/>
  <c r="M7" i="14" l="1"/>
  <c r="H31" i="14" s="1"/>
  <c r="D44" i="4"/>
  <c r="L22" i="13"/>
  <c r="D25" i="4" s="1"/>
  <c r="D27" i="4" s="1"/>
  <c r="D28" i="4" s="1"/>
  <c r="N7" i="14" l="1"/>
  <c r="I31" i="14" s="1"/>
  <c r="M22" i="13"/>
  <c r="E25" i="4" s="1"/>
  <c r="E27" i="4" s="1"/>
  <c r="E28" i="4" s="1"/>
  <c r="Q7" i="14"/>
  <c r="P22" i="13"/>
  <c r="H25" i="4" s="1"/>
  <c r="O7" i="14"/>
  <c r="N22" i="13"/>
  <c r="F25" i="4" s="1"/>
  <c r="E44" i="4"/>
  <c r="F44" i="4" s="1"/>
  <c r="G44" i="4" s="1"/>
  <c r="H44" i="4" s="1"/>
  <c r="P7" i="14"/>
  <c r="O22" i="13"/>
  <c r="G25" i="4" s="1"/>
  <c r="F27" i="4" l="1"/>
  <c r="F28" i="4" s="1"/>
  <c r="G27" i="4"/>
  <c r="G28" i="4" s="1"/>
  <c r="H27" i="4"/>
  <c r="H28" i="4" s="1"/>
  <c r="J31" i="14"/>
  <c r="K31" i="14" l="1"/>
  <c r="L31" i="14" s="1"/>
  <c r="H8" i="4" l="1"/>
  <c r="L6" i="14"/>
  <c r="K22" i="13"/>
  <c r="H9" i="4" s="1"/>
  <c r="H10" i="4"/>
  <c r="G19" i="4" l="1"/>
  <c r="H11" i="4"/>
  <c r="H12" i="4" s="1"/>
  <c r="H20" i="4" s="1"/>
  <c r="L20" i="14"/>
  <c r="L17" i="14"/>
  <c r="L22" i="14" s="1"/>
  <c r="L26" i="14" s="1"/>
  <c r="L19" i="14"/>
  <c r="L10" i="14"/>
  <c r="K24" i="14" s="1"/>
  <c r="L18" i="14"/>
  <c r="H16" i="4"/>
  <c r="H14" i="4"/>
  <c r="H15" i="4"/>
  <c r="H13" i="4"/>
  <c r="H18" i="4" s="1"/>
  <c r="H21" i="4" s="1"/>
  <c r="F19" i="4" l="1"/>
  <c r="G20" i="4"/>
  <c r="G21" i="4"/>
  <c r="K25" i="14"/>
  <c r="J24" i="14"/>
  <c r="K26" i="14"/>
  <c r="I24" i="14" l="1"/>
  <c r="J25" i="14"/>
  <c r="J26" i="14"/>
  <c r="E19" i="4"/>
  <c r="F20" i="4"/>
  <c r="F21" i="4"/>
  <c r="H24" i="14" l="1"/>
  <c r="I26" i="14"/>
  <c r="I25" i="14"/>
  <c r="E20" i="4"/>
  <c r="D19" i="4"/>
  <c r="E21" i="4"/>
  <c r="D21" i="4" l="1"/>
  <c r="D38" i="4" s="1"/>
  <c r="D20" i="4"/>
  <c r="D35" i="4" s="1"/>
  <c r="H26" i="14"/>
  <c r="H25" i="14"/>
  <c r="L27" i="14" l="1"/>
  <c r="H33" i="14" s="1"/>
  <c r="D37" i="4"/>
  <c r="D39" i="4" s="1"/>
  <c r="D45" i="4" s="1"/>
  <c r="J8" i="10" l="1"/>
  <c r="E45" i="4"/>
  <c r="D36" i="4"/>
  <c r="I33" i="14"/>
  <c r="H34" i="14"/>
  <c r="J33" i="14" l="1"/>
  <c r="I34" i="14"/>
  <c r="K8" i="10"/>
  <c r="F45" i="4"/>
  <c r="L8" i="10" l="1"/>
  <c r="G45" i="4"/>
  <c r="K33" i="14"/>
  <c r="J34" i="14"/>
  <c r="K34" i="14" l="1"/>
  <c r="L33" i="14"/>
  <c r="M8" i="10"/>
  <c r="H45" i="4"/>
  <c r="N8" i="10" l="1"/>
  <c r="D47" i="4"/>
  <c r="L34" i="14"/>
  <c r="M34" i="14" s="1"/>
  <c r="M33" i="1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<sst xmlns="http://schemas.openxmlformats.org/spreadsheetml/2006/main" count="350" uniqueCount="170">
  <si>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</si>
  <si>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</si>
  <si>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</si>
  <si>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</si>
  <si>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</si>
  <si>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</si>
  <si>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</si>
  <si>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</si>
  <si>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</si>
  <si>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</si>
  <si>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</si>
  <si>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</si>
  <si>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</si>
  <si>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</si>
  <si>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</si>
  <si>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</si>
  <si>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</si>
  <si>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</si>
  <si>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</si>
  <si>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</si>
  <si>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</si>
  <si>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</si>
  <si>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</si>
  <si>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</si>
  <si>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</si>
  <si>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</si>
  <si>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</si>
  <si>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</si>
  <si>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</si>
  <si>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</si>
  <si>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</si>
  <si>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</si>
  <si>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</si>
  <si>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</si>
  <si>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</si>
  <si>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</si>
  <si>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</si>
  <si>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</si>
  <si>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</si>
  <si>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</si>
  <si>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</si>
  <si>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</si>
  <si>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</si>
  <si>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</si>
  <si>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</si>
  <si>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</si>
  <si>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</si>
  <si>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</si>
  <si>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</si>
  <si>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</si>
  <si>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</si>
  <si>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</si>
  <si>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</si>
  <si>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</si>
  <si>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</si>
  <si>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</si>
  <si>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</si>
  <si>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</si>
  <si>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</si>
  <si>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</si>
  <si>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</si>
  <si>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</si>
  <si>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</si>
  <si>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</si>
  <si>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</si>
  <si>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</si>
  <si>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</si>
  <si>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</si>
  <si>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</si>
  <si>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</si>
  <si>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</si>
  <si>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</si>
  <si>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</si>
  <si>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</si>
  <si>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</si>
  <si>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</si>
  <si>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</si>
  <si>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</si>
  <si>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</si>
  <si>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</si>
  <si>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</si>
  <si>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</si>
  <si>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</si>
  <si>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</si>
  <si>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</si>
  <si>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</si>
  <si>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</si>
  <si>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</si>
  <si>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</si>
  <si>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</si>
  <si>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</si>
  <si>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</si>
  <si>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</si>
  <si>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</si>
  <si>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</si>
  <si>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</si>
  <si>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</si>
  <si>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</si>
  <si>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</si>
  <si>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</si>
  <si>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</si>
  <si>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</si>
  <si>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</si>
  <si>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</si>
  <si>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</si>
  <si>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</si>
  <si>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</si>
  <si>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</si>
  <si>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</si>
  <si>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</si>
  <si>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</si>
  <si>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</si>
  <si>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</si>
  <si>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</si>
  <si>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</si>
  <si>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</si>
  <si>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</si>
  <si>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</si>
  <si>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</si>
  <si>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</si>
  <si>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</si>
  <si>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</si>
  <si>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</si>
  <si>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</si>
  <si>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</si>
  <si>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</si>
  <si>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</si>
  <si>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</si>
  <si>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</si>
  <si>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</si>
  <si>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</si>
  <si>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</si>
  <si>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</si>
  <si>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</si>
  <si>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</si>
  <si>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</si>
  <si>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</si>
  <si>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</si>
  <si>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</si>
  <si>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</si>
  <si>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</si>
  <si>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</si>
  <si>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</si>
  <si>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</si>
  <si>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CESS - Previous Period True-up</t>
  </si>
  <si>
    <t>Modelling team update/reviewed</t>
  </si>
  <si>
    <t>Calc | NPV of CESS adjustments</t>
  </si>
  <si>
    <t>2027–28</t>
  </si>
  <si>
    <t>2028–29</t>
  </si>
  <si>
    <t>2029–30</t>
  </si>
  <si>
    <t>2030–31</t>
  </si>
  <si>
    <t>Real vanilla WACC</t>
  </si>
  <si>
    <t>AER FD PTRM 2021-26, 2023-24 RoD Update</t>
  </si>
  <si>
    <t>Forecast real vanilla WACC</t>
  </si>
  <si>
    <t xml:space="preserve">Actual CPI </t>
  </si>
  <si>
    <t>Actual/estimated inflation from 2027–31 RFM</t>
  </si>
  <si>
    <t xml:space="preserve">Cumulative Actual CPI </t>
  </si>
  <si>
    <t>Nominal vanilla WACC (fixed real time varying)</t>
  </si>
  <si>
    <t>CESS increments as per NER 6A.5.4(a)(5)</t>
  </si>
  <si>
    <t>AER Final Decision (CY20 Forecast Capex)</t>
  </si>
  <si>
    <t>2020–21</t>
  </si>
  <si>
    <t>Adjusted for CY20 Actual Capex</t>
  </si>
  <si>
    <t>Difference in CESS increment amounts</t>
  </si>
  <si>
    <t>NPV Difference in CESS increment amounts</t>
  </si>
  <si>
    <t>NPV of CESS payment adjustments</t>
  </si>
  <si>
    <t>Calc | Total CY20 CESS Payment Adjustments</t>
  </si>
  <si>
    <t>CESS Payment Per Year ($2025–26 million)</t>
  </si>
  <si>
    <t>2025–26</t>
  </si>
  <si>
    <t>CESS Payment Per Year ($nominal million)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</si>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</sst>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&quot;$&quot;#,##0.00_);[Red]\(&quot;$&quot;#,##0.00\)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 wrapText="1"/>
    </xf>
    <xf numFmtId="0" fontId="109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57" borderId="8" xfId="268" applyNumberFormat="1" applyFont="1" applyFill="1" applyBorder="1"/>
    <xf numFmtId="0" fontId="0" fillId="0" borderId="8" xfId="0" applyBorder="1"/>
    <xf numFmtId="10" fontId="0" fillId="3" borderId="0" xfId="268" applyNumberFormat="1" applyFont="1" applyFill="1"/>
    <xf numFmtId="10" fontId="0" fillId="0" borderId="8" xfId="268" applyNumberFormat="1" applyFont="1" applyFill="1" applyBorder="1"/>
    <xf numFmtId="192" fontId="0" fillId="3" borderId="0" xfId="0" applyNumberFormat="1" applyFill="1"/>
    <xf numFmtId="195" fontId="0" fillId="0" borderId="8" xfId="304" applyNumberFormat="1" applyFont="1" applyBorder="1"/>
    <xf numFmtId="10" fontId="0" fillId="0" borderId="8" xfId="268" applyNumberFormat="1" applyFont="1" applyBorder="1"/>
    <xf numFmtId="2" fontId="110" fillId="58" borderId="46" xfId="0" applyNumberFormat="1" applyFont="1" applyFill="1" applyBorder="1" applyAlignment="1">
      <alignment horizontal="center" vertical="center"/>
    </xf>
    <xf numFmtId="167" fontId="0" fillId="59" borderId="8" xfId="304" applyFont="1" applyFill="1" applyBorder="1"/>
    <xf numFmtId="167" fontId="0" fillId="3" borderId="8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8" xfId="0" applyFill="1" applyBorder="1"/>
    <xf numFmtId="167" fontId="111" fillId="3" borderId="8" xfId="304" applyFont="1" applyFill="1" applyBorder="1"/>
    <xf numFmtId="167" fontId="0" fillId="3" borderId="47" xfId="304" applyFont="1" applyFill="1" applyBorder="1"/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7" fontId="112" fillId="3" borderId="2" xfId="304" applyFont="1" applyFill="1" applyBorder="1" applyAlignment="1" applyProtection="1">
      <alignment horizontal="left" vertical="center"/>
    </xf>
    <xf numFmtId="167" fontId="109" fillId="3" borderId="2" xfId="304" applyFont="1" applyFill="1" applyBorder="1"/>
    <xf numFmtId="196" fontId="0" fillId="3" borderId="0" xfId="0" applyNumberFormat="1" applyFill="1"/>
    <xf numFmtId="167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6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7" fontId="0" fillId="3" borderId="0" xfId="304" applyFont="1" applyFill="1" applyBorder="1"/>
    <xf numFmtId="167" fontId="0" fillId="3" borderId="0" xfId="304" applyFont="1" applyFill="1"/>
    <xf numFmtId="10" fontId="24" fillId="55" borderId="28" xfId="0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ECA/WD4-F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BP16">
            <v>6953</v>
          </cell>
        </row>
        <row r="17">
          <cell r="BP17">
            <v>-2037</v>
          </cell>
        </row>
        <row r="18">
          <cell r="BP18">
            <v>-2205</v>
          </cell>
        </row>
        <row r="19">
          <cell r="BP19">
            <v>2250</v>
          </cell>
        </row>
        <row r="20">
          <cell r="BP20">
            <v>1775</v>
          </cell>
        </row>
        <row r="21">
          <cell r="BP21">
            <v>2734</v>
          </cell>
        </row>
        <row r="22">
          <cell r="BP22">
            <v>-11026</v>
          </cell>
        </row>
        <row r="23">
          <cell r="BP23">
            <v>7694</v>
          </cell>
        </row>
        <row r="24">
          <cell r="BP24">
            <v>-1161</v>
          </cell>
        </row>
        <row r="25">
          <cell r="BP25">
            <v>-451</v>
          </cell>
        </row>
        <row r="26">
          <cell r="BP26">
            <v>5956</v>
          </cell>
        </row>
        <row r="27">
          <cell r="BP27">
            <v>5804</v>
          </cell>
        </row>
        <row r="28">
          <cell r="BP28">
            <v>-4762</v>
          </cell>
        </row>
        <row r="29">
          <cell r="BP29">
            <v>-8979</v>
          </cell>
        </row>
        <row r="30">
          <cell r="BP30">
            <v>-2877</v>
          </cell>
        </row>
        <row r="31">
          <cell r="BP31">
            <v>-2741</v>
          </cell>
        </row>
        <row r="32">
          <cell r="BP32">
            <v>4500</v>
          </cell>
        </row>
        <row r="33">
          <cell r="BP33">
            <v>4805</v>
          </cell>
          <cell r="CH33">
            <v>4.7828823159219658</v>
          </cell>
        </row>
        <row r="34">
          <cell r="CH34">
            <v>2.3185685685685575</v>
          </cell>
        </row>
        <row r="35">
          <cell r="CH35">
            <v>2.4250058087632809</v>
          </cell>
        </row>
        <row r="36">
          <cell r="CH36">
            <v>3.8576340799465036</v>
          </cell>
        </row>
        <row r="37"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</row>
        <row r="6">
          <cell r="A6">
            <v>1982</v>
          </cell>
        </row>
        <row r="7">
          <cell r="A7">
            <v>1983</v>
          </cell>
        </row>
        <row r="8">
          <cell r="A8">
            <v>1984</v>
          </cell>
        </row>
        <row r="9">
          <cell r="A9">
            <v>1985</v>
          </cell>
          <cell r="AB9">
            <v>18.593987855882709</v>
          </cell>
        </row>
        <row r="10">
          <cell r="A10">
            <v>1986</v>
          </cell>
          <cell r="AB10">
            <v>7.9801186607597607E-2</v>
          </cell>
        </row>
        <row r="11">
          <cell r="A11">
            <v>1987</v>
          </cell>
          <cell r="AB11">
            <v>-6.9214203892921216</v>
          </cell>
        </row>
        <row r="12">
          <cell r="A12">
            <v>1988</v>
          </cell>
          <cell r="AB12">
            <v>4.2189448887177017</v>
          </cell>
        </row>
        <row r="13">
          <cell r="A13">
            <v>1989</v>
          </cell>
          <cell r="AB13">
            <v>17.488547418954358</v>
          </cell>
        </row>
        <row r="14">
          <cell r="A14">
            <v>1990</v>
          </cell>
          <cell r="AB14">
            <v>-8.0010400636095333</v>
          </cell>
        </row>
        <row r="15">
          <cell r="A15">
            <v>1991</v>
          </cell>
          <cell r="AB15">
            <v>-24.879238226614685</v>
          </cell>
        </row>
        <row r="16">
          <cell r="A16">
            <v>1992</v>
          </cell>
          <cell r="AB16">
            <v>-5.1201875083475841</v>
          </cell>
        </row>
        <row r="17">
          <cell r="A17">
            <v>1993</v>
          </cell>
          <cell r="AB17">
            <v>14.805990979980432</v>
          </cell>
        </row>
        <row r="18">
          <cell r="A18">
            <v>1994</v>
          </cell>
          <cell r="AB18">
            <v>11.167526687071527</v>
          </cell>
        </row>
        <row r="19">
          <cell r="A19">
            <v>1995</v>
          </cell>
          <cell r="AB19">
            <v>1.648673784179322</v>
          </cell>
        </row>
        <row r="20">
          <cell r="A20">
            <v>1996</v>
          </cell>
          <cell r="AB20">
            <v>-12.423509352032113</v>
          </cell>
        </row>
        <row r="21">
          <cell r="A21">
            <v>1997</v>
          </cell>
          <cell r="AB21">
            <v>4.0107453377415725</v>
          </cell>
        </row>
        <row r="22">
          <cell r="A22">
            <v>1998</v>
          </cell>
          <cell r="AB22">
            <v>32.600630586365732</v>
          </cell>
        </row>
        <row r="23">
          <cell r="A23">
            <v>1999</v>
          </cell>
          <cell r="AB23">
            <v>15.882763797934118</v>
          </cell>
        </row>
        <row r="24">
          <cell r="A24">
            <v>2000</v>
          </cell>
          <cell r="AB24">
            <v>26.15755432205118</v>
          </cell>
        </row>
        <row r="25">
          <cell r="A25">
            <v>2001</v>
          </cell>
          <cell r="AB25">
            <v>-18.556308153688018</v>
          </cell>
        </row>
        <row r="26">
          <cell r="A26">
            <v>2002</v>
          </cell>
          <cell r="AB26">
            <v>18.906216621291215</v>
          </cell>
        </row>
      </sheetData>
      <sheetData sheetId="4" refreshError="1"/>
      <sheetData sheetId="5">
        <row r="10">
          <cell r="BI10">
            <v>1008.0963195073548</v>
          </cell>
        </row>
      </sheetData>
      <sheetData sheetId="6">
        <row r="9">
          <cell r="A9">
            <v>1985</v>
          </cell>
        </row>
      </sheetData>
      <sheetData sheetId="7">
        <row r="5">
          <cell r="AG5">
            <v>279.40425506756753</v>
          </cell>
        </row>
      </sheetData>
      <sheetData sheetId="8" refreshError="1"/>
      <sheetData sheetId="9">
        <row r="5">
          <cell r="J5">
            <v>0</v>
          </cell>
        </row>
        <row r="7">
          <cell r="BA7">
            <v>41.484879972539581</v>
          </cell>
        </row>
        <row r="8">
          <cell r="BA8">
            <v>20.876406636997658</v>
          </cell>
        </row>
        <row r="9">
          <cell r="BA9">
            <v>34.270807723817583</v>
          </cell>
        </row>
        <row r="10">
          <cell r="BA10">
            <v>111.08754647555608</v>
          </cell>
        </row>
        <row r="11">
          <cell r="BA11">
            <v>-23.076438052512348</v>
          </cell>
        </row>
        <row r="12">
          <cell r="BA12">
            <v>-33.984480563698462</v>
          </cell>
        </row>
        <row r="13">
          <cell r="BA13">
            <v>-7.4083492007314344</v>
          </cell>
        </row>
        <row r="14">
          <cell r="BA14">
            <v>-55.28431631710977</v>
          </cell>
        </row>
        <row r="15">
          <cell r="BA15">
            <v>18.790264582962514</v>
          </cell>
        </row>
        <row r="16">
          <cell r="BA16">
            <v>-45.231411604937144</v>
          </cell>
        </row>
        <row r="17">
          <cell r="BA17">
            <v>52.242055327138303</v>
          </cell>
        </row>
        <row r="18">
          <cell r="BA18">
            <v>-26.288221784769817</v>
          </cell>
        </row>
        <row r="19">
          <cell r="BA19">
            <v>-1.7158793422948349</v>
          </cell>
        </row>
        <row r="20">
          <cell r="BA20">
            <v>-8.9815536819582871</v>
          </cell>
        </row>
        <row r="21">
          <cell r="BA21">
            <v>-11.521755441384119</v>
          </cell>
        </row>
        <row r="22">
          <cell r="BA22">
            <v>-108.01988467173074</v>
          </cell>
        </row>
        <row r="23">
          <cell r="BA23">
            <v>-286.4796282308763</v>
          </cell>
        </row>
        <row r="24">
          <cell r="BA24">
            <v>625.13444676562972</v>
          </cell>
        </row>
        <row r="25">
          <cell r="BA25">
            <v>-61.407532954702447</v>
          </cell>
        </row>
        <row r="26">
          <cell r="BA26">
            <v>405.4151439551456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tabSelected="1"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CitiPower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79"/>
      <c r="B4" s="180"/>
      <c r="C4" s="181" t="s">
        <v>143</v>
      </c>
      <c r="D4" s="181"/>
      <c r="E4" s="181"/>
      <c r="F4" s="182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CitiPower 2026-31 Regulatory proposal - Capital expenditure sharing scheme model</v>
      </c>
      <c r="F1" s="99"/>
      <c r="G1" s="100" t="s">
        <v>49</v>
      </c>
      <c r="H1" s="136" t="s">
        <v>50</v>
      </c>
      <c r="I1" s="169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169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0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0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1" t="s">
        <v>142</v>
      </c>
      <c r="J9" s="170" t="s">
        <v>139</v>
      </c>
      <c r="K9" s="80"/>
      <c r="L9" s="80"/>
      <c r="M9" s="80"/>
    </row>
    <row r="10" spans="1:13" s="71" customFormat="1" ht="11.25" customHeight="1">
      <c r="C10" s="70"/>
      <c r="J10" s="170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2" t="str">
        <f t="shared" ref="D13:F13" si="0">IF(LEN(E13)&gt;4,CONCATENATE(LEFT(E13,4)-1&amp;"–"&amp;IF(RIGHT(E13,2)="00","99",IF(RIGHT(E13,2)-1&lt;10,"0","")&amp;RIGHT(E13,2)-1)),E13-1)</f>
        <v>2021–22</v>
      </c>
      <c r="E13" s="152" t="str">
        <f t="shared" si="0"/>
        <v>2022–23</v>
      </c>
      <c r="F13" s="152" t="str">
        <f t="shared" si="0"/>
        <v>2023–24</v>
      </c>
      <c r="G13" s="152" t="str">
        <f>IF(LEN(H13)&gt;4,CONCATENATE(LEFT(H13,4)-1&amp;"–"&amp;IF(RIGHT(H13,2)="00","99",IF(RIGHT(H13,2)-1&lt;10,"0","")&amp;RIGHT(H13,2)-1)),H13-1)</f>
        <v>2024–25</v>
      </c>
      <c r="H13" s="152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2" t="str">
        <f>D9</f>
        <v>2026-27</v>
      </c>
      <c r="E18" s="152" t="str">
        <f>IF(LEN(D18)&gt;4,CONCATENATE(LEFT(D18,4)+1&amp;"–"&amp;IF(RIGHT(D18,2)+1&gt;9,"","0")&amp;RIGHT(D18,2)+1),D18+1)</f>
        <v>2027–28</v>
      </c>
      <c r="F18" s="152" t="str">
        <f t="shared" ref="F18:H18" si="1">IF(LEN(E18)&gt;4,CONCATENATE(LEFT(E18,4)+1&amp;"–"&amp;IF(RIGHT(E18,2)+1&gt;9,"","0")&amp;RIGHT(E18,2)+1),E18+1)</f>
        <v>2028–29</v>
      </c>
      <c r="G18" s="152" t="str">
        <f t="shared" si="1"/>
        <v>2029–30</v>
      </c>
      <c r="H18" s="152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G20" sqref="G20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CitiPower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69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83" t="str">
        <f>IF(LEN(G7)&gt;4,CONCATENATE(LEFT(G7,4)-1&amp;"–"&amp;IF(RIGHT(G7,2)="00","99",IF(RIGHT(G7,2)-1&lt;10,"0","")&amp;RIGHT(G7,2)-1)),G7-1)</f>
        <v>2020–21</v>
      </c>
      <c r="G7" s="150" t="str">
        <f>'Input | General'!D13</f>
        <v>2021–22</v>
      </c>
      <c r="H7" s="150" t="str">
        <f>'Input | General'!E13</f>
        <v>2022–23</v>
      </c>
      <c r="I7" s="150" t="str">
        <f>'Input | General'!F13</f>
        <v>2023–24</v>
      </c>
      <c r="J7" s="150" t="str">
        <f>'Input | General'!G13</f>
        <v>2024–25</v>
      </c>
      <c r="K7" s="150" t="str">
        <f>'Input | General'!H13</f>
        <v>2025–26</v>
      </c>
      <c r="L7" s="150" t="str">
        <f>'Input | General'!D18</f>
        <v>2026-27</v>
      </c>
      <c r="M7" s="150" t="str">
        <f>'Input | General'!E18</f>
        <v>2027–28</v>
      </c>
      <c r="N7" s="150" t="str">
        <f>'Input | General'!F18</f>
        <v>2028–29</v>
      </c>
      <c r="O7" s="150" t="str">
        <f>'Input | General'!G18</f>
        <v>2029–30</v>
      </c>
      <c r="P7" s="150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v>2.7498479316033997E-2</v>
      </c>
      <c r="M9" s="219">
        <f>L9</f>
        <v>2.7498479316033997E-2</v>
      </c>
      <c r="N9" s="219">
        <f t="shared" ref="N9:P9" si="0">M9</f>
        <v>2.7498479316033997E-2</v>
      </c>
      <c r="O9" s="219">
        <f t="shared" si="0"/>
        <v>2.7498479316033997E-2</v>
      </c>
      <c r="P9" s="219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4">
        <v>1</v>
      </c>
      <c r="G10" s="155">
        <f>IF(G7&lt;&gt;"",(F10*(1+G8)),"")</f>
        <v>1.0086058519793459</v>
      </c>
      <c r="H10" s="155">
        <f>IF(H7&lt;&gt;"",(G10*(1+H8)),"")</f>
        <v>1.0438898450946643</v>
      </c>
      <c r="I10" s="155">
        <f>IF(I7&lt;&gt;"",(H10*(1+I8)),"")</f>
        <v>1.1256454388984509</v>
      </c>
      <c r="J10" s="155">
        <f>IF(J7&lt;&gt;"",(I10*(1+J8)),"")</f>
        <v>1.1712564543889843</v>
      </c>
      <c r="K10" s="155">
        <f>IF(K7&lt;&gt;"",(J10*(1+K8)),"")</f>
        <v>1.2063941480206539</v>
      </c>
      <c r="L10" s="155">
        <f t="shared" ref="L10:P10" si="1">IF(L7&lt;&gt;"",(K10*(1+L9)),"")</f>
        <v>1.2395681525469844</v>
      </c>
      <c r="M10" s="155">
        <f t="shared" si="1"/>
        <v>1.273654391750612</v>
      </c>
      <c r="N10" s="155">
        <f t="shared" si="1"/>
        <v>1.308677950697942</v>
      </c>
      <c r="O10" s="155">
        <f t="shared" si="1"/>
        <v>1.3446646042565591</v>
      </c>
      <c r="P10" s="155">
        <f t="shared" si="1"/>
        <v>1.3816408360637111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G8</f>
        <v>8.6058519793459354E-3</v>
      </c>
      <c r="H13" s="138">
        <f t="shared" ref="H13:P14" si="2">H8</f>
        <v>3.4982935153583528E-2</v>
      </c>
      <c r="I13" s="138">
        <f t="shared" si="2"/>
        <v>7.8318219291014124E-2</v>
      </c>
      <c r="J13" s="138">
        <f t="shared" si="2"/>
        <v>4.0519877675840865E-2</v>
      </c>
      <c r="K13" s="138">
        <f t="shared" si="2"/>
        <v>0.03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138">
        <f t="shared" si="2"/>
        <v>2.7498479316033997E-2</v>
      </c>
      <c r="M14" s="219">
        <f t="shared" si="2"/>
        <v>2.7498479316033997E-2</v>
      </c>
      <c r="N14" s="219">
        <f t="shared" si="2"/>
        <v>2.7498479316033997E-2</v>
      </c>
      <c r="O14" s="219">
        <f t="shared" si="2"/>
        <v>2.7498479316033997E-2</v>
      </c>
      <c r="P14" s="219">
        <f t="shared" si="2"/>
        <v>2.7498479316033997E-2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4">
        <v>1</v>
      </c>
      <c r="G15" s="155">
        <f>IF(G7&lt;&gt;"",(F15*(1+G13)),"")</f>
        <v>1.0086058519793459</v>
      </c>
      <c r="H15" s="155">
        <f>IF(H7&lt;&gt;"",(G15*(1+H13)),"")</f>
        <v>1.0438898450946643</v>
      </c>
      <c r="I15" s="155">
        <f>IF(I7&lt;&gt;"",(H15*(1+I13)),"")</f>
        <v>1.1256454388984509</v>
      </c>
      <c r="J15" s="155">
        <f>IF(J7&lt;&gt;"",(I15*(1+J13)),"")</f>
        <v>1.1712564543889843</v>
      </c>
      <c r="K15" s="155">
        <f>IF(K7&lt;&gt;"",(J15*(1+K13)),"")</f>
        <v>1.2063941480206539</v>
      </c>
      <c r="L15" s="155">
        <f t="shared" ref="L15:P15" si="3">IF(L7&lt;&gt;"",(K15*(1+L14)),"")</f>
        <v>1.2395681525469844</v>
      </c>
      <c r="M15" s="155">
        <f t="shared" si="3"/>
        <v>1.273654391750612</v>
      </c>
      <c r="N15" s="155">
        <f t="shared" si="3"/>
        <v>1.308677950697942</v>
      </c>
      <c r="O15" s="155">
        <f t="shared" si="3"/>
        <v>1.3446646042565591</v>
      </c>
      <c r="P15" s="155">
        <f t="shared" si="3"/>
        <v>1.3816408360637111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v>2.6738665770133618E-2</v>
      </c>
      <c r="H20" s="138">
        <v>2.5850627726693887E-2</v>
      </c>
      <c r="I20" s="138">
        <v>2.6341556182575498E-2</v>
      </c>
      <c r="J20" s="138">
        <v>2.6530125069218702E-2</v>
      </c>
      <c r="K20" s="138">
        <v>2.6995102110397129E-2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138">
        <v>3.0102916068885266E-2</v>
      </c>
      <c r="M21" s="138">
        <v>3.0688426255907331E-2</v>
      </c>
      <c r="N21" s="138">
        <v>3.1262754590047237E-2</v>
      </c>
      <c r="O21" s="138">
        <v>3.2316378430296534E-2</v>
      </c>
      <c r="P21" s="138">
        <v>3.3996437751275407E-2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3">
        <f>IF(AND(G13&lt;&gt;"",G20&lt;&gt;""),((1+G20)*(1+G13)-1),"")</f>
        <v>3.5574626749222515E-2</v>
      </c>
      <c r="H22" s="153">
        <f>IF(AND(H13&lt;&gt;"",H20&lt;&gt;""),((1+H20)*(1+H13)-1),"")</f>
        <v>6.1737893713719849E-2</v>
      </c>
      <c r="I22" s="153">
        <f>IF(AND(I13&lt;&gt;"",I20&lt;&gt;""),((1+I20)*(1+I13)-1),"")</f>
        <v>0.1067227992471631</v>
      </c>
      <c r="J22" s="153">
        <f>IF(AND(J13&lt;&gt;"",J20&lt;&gt;""),((1+J20)*(1+J13)-1),"")</f>
        <v>6.8125000167589045E-2</v>
      </c>
      <c r="K22" s="153">
        <f>IF(AND(K13&lt;&gt;"",K20&lt;&gt;""),((1+K20)*(1+K13)-1),"")</f>
        <v>5.7804955173708983E-2</v>
      </c>
      <c r="L22" s="153">
        <f>IF(AND(L14&lt;&gt;"",L21&lt;&gt;""),((1+L21)*(1+L14)-1),"")</f>
        <v>5.8429179799791786E-2</v>
      </c>
      <c r="M22" s="153">
        <f t="shared" ref="M22:P22" si="5">IF(AND(M14&lt;&gt;"",M21&lt;&gt;""),((1+M21)*(1+M14)-1),"")</f>
        <v>5.9030790626581009E-2</v>
      </c>
      <c r="N22" s="153">
        <f t="shared" si="5"/>
        <v>5.9620912116537861E-2</v>
      </c>
      <c r="O22" s="153">
        <f t="shared" si="5"/>
        <v>6.070350901016508E-2</v>
      </c>
      <c r="P22" s="153">
        <f t="shared" si="5"/>
        <v>6.2429767407631731E-2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0" sqref="H30:L3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CitiPower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69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v>185.07498434530609</v>
      </c>
      <c r="I8" s="139">
        <v>187.00767407993729</v>
      </c>
      <c r="J8" s="139">
        <v>172.05211608845477</v>
      </c>
      <c r="K8" s="139">
        <v>159.74675615421299</v>
      </c>
      <c r="L8" s="139">
        <v>150.51586338971572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v>56.969877866118516</v>
      </c>
      <c r="I9" s="139">
        <v>57.522530766287254</v>
      </c>
      <c r="J9" s="139">
        <v>49.987035136120681</v>
      </c>
      <c r="K9" s="139">
        <v>48.671669452237957</v>
      </c>
      <c r="L9" s="139">
        <v>49.143656836034523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v>0.43577231873097599</v>
      </c>
      <c r="I10" s="139">
        <v>0.43577231873097599</v>
      </c>
      <c r="J10" s="139">
        <v>0.43577231873097599</v>
      </c>
      <c r="K10" s="139">
        <v>0.43577231873097599</v>
      </c>
      <c r="L10" s="139">
        <v>0.43577231873097599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68" t="s">
        <v>59</v>
      </c>
      <c r="F12" s="157" t="str">
        <f>'Input | Inflation and Disc Rate'!$F$7</f>
        <v>2020–21</v>
      </c>
      <c r="G12" s="69"/>
      <c r="H12" s="220">
        <f>IF(H6="", "", H8-H9-H10)</f>
        <v>127.6693341604566</v>
      </c>
      <c r="I12" s="220">
        <f t="shared" ref="I12:L12" si="0">IF(I6="", "", I8-I9-I10)</f>
        <v>129.04937099491906</v>
      </c>
      <c r="J12" s="220">
        <f t="shared" si="0"/>
        <v>121.6293086336031</v>
      </c>
      <c r="K12" s="220">
        <f t="shared" si="0"/>
        <v>110.63931438324406</v>
      </c>
      <c r="L12" s="220">
        <f t="shared" si="0"/>
        <v>100.93643423495021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v>139.42427501999998</v>
      </c>
      <c r="I18" s="139">
        <v>189.32262496000004</v>
      </c>
      <c r="J18" s="139">
        <v>200.23125386999999</v>
      </c>
      <c r="K18" s="139">
        <v>239.9272513482301</v>
      </c>
      <c r="L18" s="139">
        <v>306.10988701254314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v>51.451129119999997</v>
      </c>
      <c r="I19" s="139">
        <v>79.828646270000007</v>
      </c>
      <c r="J19" s="139">
        <v>80.963087489999992</v>
      </c>
      <c r="K19" s="139">
        <v>74.340594773932054</v>
      </c>
      <c r="L19" s="139">
        <v>94.086257654011092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v>0.19838412999999999</v>
      </c>
      <c r="I20" s="139">
        <v>14.323628959999999</v>
      </c>
      <c r="J20" s="139">
        <v>28.05239259</v>
      </c>
      <c r="K20" s="139">
        <v>0.65730908507179264</v>
      </c>
      <c r="L20" s="139">
        <v>49.409767867860047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68" t="s">
        <v>59</v>
      </c>
      <c r="F23" s="168" t="s">
        <v>63</v>
      </c>
      <c r="G23" s="69"/>
      <c r="H23" s="220">
        <f>IF(H16="", "", H18-H19-H20-H21)</f>
        <v>87.774761769999998</v>
      </c>
      <c r="I23" s="220">
        <f t="shared" ref="I23:L23" si="2">IF(I16="", "", I18-I19-I20-I21)</f>
        <v>95.170349730000041</v>
      </c>
      <c r="J23" s="220">
        <f t="shared" si="2"/>
        <v>91.21577379</v>
      </c>
      <c r="K23" s="220">
        <f t="shared" si="2"/>
        <v>164.92934748922625</v>
      </c>
      <c r="L23" s="220">
        <f t="shared" si="2"/>
        <v>162.61386149067201</v>
      </c>
    </row>
    <row r="24" spans="2:14" ht="10.5" customHeight="1">
      <c r="B24" s="74"/>
      <c r="C24" s="78" t="s">
        <v>103</v>
      </c>
      <c r="D24" s="77" t="s">
        <v>85</v>
      </c>
      <c r="E24" s="168" t="s">
        <v>59</v>
      </c>
      <c r="F24" s="157" t="str">
        <f>'Input | Inflation and Disc Rate'!$F$7</f>
        <v>2020–21</v>
      </c>
      <c r="G24" s="69"/>
      <c r="H24" s="220">
        <f>H23/'Input | Inflation and Disc Rate'!G15</f>
        <v>87.025830355580197</v>
      </c>
      <c r="I24" s="220">
        <f>I23/'Input | Inflation and Disc Rate'!H15</f>
        <v>91.168958273915962</v>
      </c>
      <c r="J24" s="220">
        <f>J23/'Input | Inflation and Disc Rate'!I15</f>
        <v>81.03419659325688</v>
      </c>
      <c r="K24" s="220">
        <f>K23/'Input | Inflation and Disc Rate'!J15</f>
        <v>140.81403510836219</v>
      </c>
      <c r="L24" s="220">
        <f>L23/'Input | Inflation and Disc Rate'!K15</f>
        <v>134.79331092369324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v>0</v>
      </c>
      <c r="I30" s="139">
        <v>0</v>
      </c>
      <c r="J30" s="139">
        <v>0</v>
      </c>
      <c r="K30" s="139">
        <v>0</v>
      </c>
      <c r="L30" s="139"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57" t="str">
        <f>F24</f>
        <v>2020–21</v>
      </c>
      <c r="G31" s="69"/>
      <c r="H31" s="156">
        <f>IF(H30&lt;&gt;"",H30/('Input | Inflation and Disc Rate'!K10*(1+'Input | Inflation and Disc Rate'!L9)^0.5),"")</f>
        <v>0</v>
      </c>
      <c r="I31" s="156">
        <f>IF(I30&lt;&gt;"",I30/('Input | Inflation and Disc Rate'!L10*(1+'Input | Inflation and Disc Rate'!M9)^0.5),"")</f>
        <v>0</v>
      </c>
      <c r="J31" s="156">
        <f>IF(J30&lt;&gt;"",J30/('Input | Inflation and Disc Rate'!M10*(1+'Input | Inflation and Disc Rate'!N9)^0.5),"")</f>
        <v>0</v>
      </c>
      <c r="K31" s="156">
        <f>IF(K30&lt;&gt;"",K30/('Input | Inflation and Disc Rate'!N10*(1+'Input | Inflation and Disc Rate'!O9)^0.5),"")</f>
        <v>0</v>
      </c>
      <c r="L31" s="156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56">
        <f>IF(H30&lt;&gt;"",H31*'Input | Inflation and Disc Rate'!K15*(1+'Input | Inflation and Disc Rate'!L14)^0.5,"")</f>
        <v>0</v>
      </c>
      <c r="I32" s="156">
        <f>IF(I30&lt;&gt;"",I31*'Input | Inflation and Disc Rate'!L15*(1+'Input | Inflation and Disc Rate'!M14)^0.5,"")</f>
        <v>0</v>
      </c>
      <c r="J32" s="156">
        <f>IF(J30&lt;&gt;"",J31*'Input | Inflation and Disc Rate'!M15*(1+'Input | Inflation and Disc Rate'!N14)^0.5,"")</f>
        <v>0</v>
      </c>
      <c r="K32" s="156">
        <f>IF(K30&lt;&gt;"",K31*'Input | Inflation and Disc Rate'!N15*(1+'Input | Inflation and Disc Rate'!O14)^0.5,"")</f>
        <v>0</v>
      </c>
      <c r="L32" s="156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30:L30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A3" zoomScaleNormal="100" workbookViewId="0">
      <selection activeCell="D8" sqref="D8:H9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CitiPower 2026-31 Regulatory proposal - Capital expenditure sharing scheme model</v>
      </c>
      <c r="C1" s="2"/>
      <c r="J1" s="117"/>
      <c r="K1" s="100" t="s">
        <v>49</v>
      </c>
      <c r="L1" s="136" t="s">
        <v>50</v>
      </c>
      <c r="M1" s="169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221">
        <f>'Input | Inflation and Disc Rate'!G20</f>
        <v>2.6738665770133618E-2</v>
      </c>
      <c r="E8" s="222">
        <f>'Input | Inflation and Disc Rate'!H20</f>
        <v>2.5850627726693887E-2</v>
      </c>
      <c r="F8" s="222">
        <f>'Input | Inflation and Disc Rate'!I20</f>
        <v>2.6341556182575498E-2</v>
      </c>
      <c r="G8" s="222">
        <f>'Input | Inflation and Disc Rate'!J20</f>
        <v>2.6530125069218702E-2</v>
      </c>
      <c r="H8" s="223">
        <f>'Input | Inflation and Disc Rate'!K20</f>
        <v>2.6995102110397129E-2</v>
      </c>
      <c r="I8" s="93"/>
      <c r="J8" s="80"/>
      <c r="K8" s="80"/>
    </row>
    <row r="9" spans="2:23" ht="11.25" customHeight="1">
      <c r="C9" s="131" t="s">
        <v>121</v>
      </c>
      <c r="D9" s="222">
        <f>'Input | Inflation and Disc Rate'!G22</f>
        <v>3.5574626749222515E-2</v>
      </c>
      <c r="E9" s="222">
        <f>'Input | Inflation and Disc Rate'!H22</f>
        <v>6.1737893713719849E-2</v>
      </c>
      <c r="F9" s="222">
        <f>'Input | Inflation and Disc Rate'!I22</f>
        <v>0.1067227992471631</v>
      </c>
      <c r="G9" s="222">
        <f>'Input | Inflation and Disc Rate'!J22</f>
        <v>6.8125000167589045E-2</v>
      </c>
      <c r="H9" s="223">
        <f>'Input | Inflation and Disc Rate'!K22</f>
        <v>5.7804955173708983E-2</v>
      </c>
      <c r="I9" s="93"/>
      <c r="J9" s="80"/>
      <c r="K9" s="80"/>
    </row>
    <row r="10" spans="2:23" ht="11.25" customHeight="1">
      <c r="C10" s="109" t="s">
        <v>14</v>
      </c>
      <c r="D10" s="144">
        <f>'Input | Reported Capex'!H$12*'Input | Inflation and Disc Rate'!G$15*(1+'Input | Inflation and Disc Rate'!G$20)^0.5</f>
        <v>130.47822370192952</v>
      </c>
      <c r="E10" s="145">
        <f>'Input | Reported Capex'!I$12*'Input | Inflation and Disc Rate'!H$15*(1+'Input | Inflation and Disc Rate'!H$20)^0.5</f>
        <v>136.44343022449209</v>
      </c>
      <c r="F10" s="145">
        <f>'Input | Reported Capex'!J$12*'Input | Inflation and Disc Rate'!I$15*(1+'Input | Inflation and Disc Rate'!I$20)^0.5</f>
        <v>138.70298607367877</v>
      </c>
      <c r="G10" s="145">
        <f>'Input | Reported Capex'!K$12*'Input | Inflation and Disc Rate'!J$15*(1+'Input | Inflation and Disc Rate'!J$20)^0.5</f>
        <v>131.29473847430219</v>
      </c>
      <c r="H10" s="146">
        <f>'Input | Reported Capex'!L$12*'Input | Inflation and Disc Rate'!K$15*(1+'Input | Inflation and Disc Rate'!K$20)^0.5</f>
        <v>123.40176359776427</v>
      </c>
      <c r="I10" s="93"/>
      <c r="J10" s="80"/>
      <c r="K10" s="80"/>
      <c r="N10" s="124"/>
    </row>
    <row r="11" spans="2:23" ht="11.25" customHeight="1">
      <c r="C11" s="109" t="s">
        <v>16</v>
      </c>
      <c r="D11" s="147">
        <f>'Input | Reported Capex'!H23*(1+D$9)^0.5</f>
        <v>89.322395127415604</v>
      </c>
      <c r="E11" s="145">
        <f>'Input | Reported Capex'!I23*(1+E$9)^0.5</f>
        <v>98.064162600005886</v>
      </c>
      <c r="F11" s="145">
        <f>'Input | Reported Capex'!J23*(1+F$9)^0.5</f>
        <v>95.959809036868307</v>
      </c>
      <c r="G11" s="145">
        <f>'Input | Reported Capex'!K23*(1+G$9)^0.5</f>
        <v>170.45470007039302</v>
      </c>
      <c r="H11" s="146">
        <f>'Input | Reported Capex'!L23*(1+H$9)^0.5</f>
        <v>167.24777985773213</v>
      </c>
      <c r="I11" s="93"/>
      <c r="J11" s="80"/>
      <c r="K11" s="80"/>
    </row>
    <row r="12" spans="2:23" s="14" customFormat="1" ht="11.25" customHeight="1">
      <c r="C12" s="109" t="s">
        <v>18</v>
      </c>
      <c r="D12" s="171">
        <f>(D10-D11)</f>
        <v>41.155828574513919</v>
      </c>
      <c r="E12" s="172">
        <f>(E10-E11)</f>
        <v>38.379267624486204</v>
      </c>
      <c r="F12" s="172">
        <f t="shared" ref="F12:H12" si="0">(F10-F11)</f>
        <v>42.743177036810465</v>
      </c>
      <c r="G12" s="172">
        <f t="shared" si="0"/>
        <v>-39.159961596090824</v>
      </c>
      <c r="H12" s="173">
        <f t="shared" si="0"/>
        <v>-43.846016259967854</v>
      </c>
      <c r="I12" s="93"/>
      <c r="J12" s="80"/>
      <c r="K12" s="80"/>
    </row>
    <row r="13" spans="2:23" ht="11.25" customHeight="1">
      <c r="C13" s="109" t="s">
        <v>98</v>
      </c>
      <c r="D13" s="89"/>
      <c r="E13" s="172">
        <f>$D$12*$E$8</f>
        <v>1.06390400326339</v>
      </c>
      <c r="F13" s="172">
        <f>$D$12*$F$8*(1+'Input | Inflation and Disc Rate'!H13)</f>
        <v>1.1220338704620081</v>
      </c>
      <c r="G13" s="172">
        <f>$D$12*$G$8*(1+'Input | Inflation and Disc Rate'!H13)*(1+'Input | Inflation and Disc Rate'!I13)</f>
        <v>1.2185708340163877</v>
      </c>
      <c r="H13" s="173">
        <f>$D$12*$H$8*(1+'Input | Inflation and Disc Rate'!H13)*(1+'Input | Inflation and Disc Rate'!I13)*(1+'Input | Inflation and Disc Rate'!J13)</f>
        <v>1.2901696985770743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2">
        <f>$E$12*F$8</f>
        <v>1.0109696343765042</v>
      </c>
      <c r="G14" s="172">
        <f>$E$12*G$8*(1+'Input | Inflation and Disc Rate'!I13)</f>
        <v>1.0979509112502612</v>
      </c>
      <c r="H14" s="173">
        <f>$E$12*H$8*(1+'Input | Inflation and Disc Rate'!I13)*(1+'Input | Inflation and Disc Rate'!J13)</f>
        <v>1.1624625804896982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2">
        <f>$F$12*G$8</f>
        <v>1.1339818326423385</v>
      </c>
      <c r="H15" s="173">
        <f>$F$12*$H$8*(1+'Input | Inflation and Disc Rate'!J13)</f>
        <v>1.2006105499751105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3">
        <f>$G$12*$H$8</f>
        <v>-1.0571271619257019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74">
        <f>SUM(D13:D17)</f>
        <v>0</v>
      </c>
      <c r="E18" s="175">
        <f>SUM(E13:E17)</f>
        <v>1.06390400326339</v>
      </c>
      <c r="F18" s="175">
        <f t="shared" ref="F18:H18" si="1">SUM(F13:F17)</f>
        <v>2.1330035048385123</v>
      </c>
      <c r="G18" s="175">
        <f t="shared" si="1"/>
        <v>3.4505035779089877</v>
      </c>
      <c r="H18" s="176">
        <f t="shared" si="1"/>
        <v>2.5961156671161811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74">
        <f>E19*(1+E$9)</f>
        <v>1.3276507702073792</v>
      </c>
      <c r="E19" s="175">
        <f>F19*(1+F$9)</f>
        <v>1.250450584902415</v>
      </c>
      <c r="F19" s="175">
        <f>G19*(1+G$9)</f>
        <v>1.1298679179221944</v>
      </c>
      <c r="G19" s="175">
        <f>H19*(1+H$9)</f>
        <v>1.057804955173709</v>
      </c>
      <c r="H19" s="177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1">
        <f>D12*D19</f>
        <v>54.64056750547627</v>
      </c>
      <c r="E20" s="172">
        <f>E12*E19</f>
        <v>47.991377649165095</v>
      </c>
      <c r="F20" s="172">
        <f t="shared" ref="F20:H20" si="2">F12*F19</f>
        <v>48.294144443960789</v>
      </c>
      <c r="G20" s="172">
        <f t="shared" si="2"/>
        <v>-41.423601420757016</v>
      </c>
      <c r="H20" s="173">
        <f t="shared" si="2"/>
        <v>-43.846016259967854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74">
        <f>D18*D19</f>
        <v>0</v>
      </c>
      <c r="E21" s="175">
        <f>E18*E19</f>
        <v>1.3303593831607268</v>
      </c>
      <c r="F21" s="175">
        <f t="shared" ref="F21:H21" si="3">F18*F19</f>
        <v>2.4100122289326333</v>
      </c>
      <c r="G21" s="175">
        <f t="shared" si="3"/>
        <v>3.6499597825567394</v>
      </c>
      <c r="H21" s="176">
        <f t="shared" si="3"/>
        <v>2.5961156671161811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48">
        <f>'Input | Inflation and Disc Rate'!L$22</f>
        <v>5.8429179799791786E-2</v>
      </c>
      <c r="E25" s="148">
        <f>'Input | Inflation and Disc Rate'!M$22</f>
        <v>5.9030790626581009E-2</v>
      </c>
      <c r="F25" s="148">
        <f>'Input | Inflation and Disc Rate'!N$22</f>
        <v>5.9620912116537861E-2</v>
      </c>
      <c r="G25" s="148">
        <f>'Input | Inflation and Disc Rate'!O$22</f>
        <v>6.070350901016508E-2</v>
      </c>
      <c r="H25" s="149">
        <f>'Input | Inflation and Disc Rate'!P$22</f>
        <v>6.2429767407631731E-2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5">
        <f>'Input | Reported Capex'!H32</f>
        <v>0</v>
      </c>
      <c r="E26" s="145">
        <f>'Input | Reported Capex'!I32</f>
        <v>0</v>
      </c>
      <c r="F26" s="145">
        <f>'Input | Reported Capex'!J32</f>
        <v>0</v>
      </c>
      <c r="G26" s="145">
        <f>'Input | Reported Capex'!K32</f>
        <v>0</v>
      </c>
      <c r="H26" s="146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2">
        <f>1/(1+D25)^(0.5)</f>
        <v>0.9720063403169642</v>
      </c>
      <c r="E27" s="172">
        <f>1/((1+E25)^(0.5)*(1+D25))</f>
        <v>0.91808713564790534</v>
      </c>
      <c r="F27" s="172">
        <f>1/((1+F25)^(0.5)*(1+E25)*(1+D25))</f>
        <v>0.86667116645266462</v>
      </c>
      <c r="G27" s="172">
        <f>1/((1+G25)^(0.5)*(1+F25)*(1+E25)*(1+D25))</f>
        <v>0.81748931511111822</v>
      </c>
      <c r="H27" s="173">
        <f>1/((1+H25)^(0.5)*(1+G25)*(1+F25)*(1+E25)*(1+D25))</f>
        <v>0.77007844435029804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75">
        <f>D26*D27</f>
        <v>0</v>
      </c>
      <c r="E28" s="175">
        <f t="shared" ref="E28:G28" si="4">E26*E27</f>
        <v>0</v>
      </c>
      <c r="F28" s="175">
        <f t="shared" si="4"/>
        <v>0</v>
      </c>
      <c r="G28" s="175">
        <f t="shared" si="4"/>
        <v>0</v>
      </c>
      <c r="H28" s="176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58">
        <f>SUM('Input | Reported Capex'!H12:L12)</f>
        <v>589.92376240717306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59">
        <f>SUM('Input | Reported Capex'!H24:L24)</f>
        <v>534.83633125480844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78">
        <f>(D31-D32)/D31</f>
        <v>9.3380593667868828E-2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58">
        <f>SUM(D20:H20)-SUM(D28:H28)</f>
        <v>65.656471917877269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59">
        <f>D35-D37</f>
        <v>45.959530342514086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59">
        <f>D34*D35</f>
        <v>19.69694157536318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59">
        <f>SUM(D21:H21)</f>
        <v>9.9864470617662811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0">
        <f>D37-D38</f>
        <v>9.710494513596899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66">
        <f>1/(1+'Input | Inflation and Disc Rate'!L21)</f>
        <v>0.97077678783420485</v>
      </c>
      <c r="E44" s="165">
        <f>D44/(1+'Input | Inflation and Disc Rate'!M21)</f>
        <v>0.94187221191632253</v>
      </c>
      <c r="F44" s="165">
        <f>E44/(1+'Input | Inflation and Disc Rate'!N21)</f>
        <v>0.91331933372377083</v>
      </c>
      <c r="G44" s="165">
        <f>F44/(1+'Input | Inflation and Disc Rate'!O21)</f>
        <v>0.88472812483371788</v>
      </c>
      <c r="H44" s="165">
        <f>G44/(1+'Input | Inflation and Disc Rate'!P21)</f>
        <v>0.8556394321413866</v>
      </c>
    </row>
    <row r="45" spans="2:15" s="24" customFormat="1" ht="11.25" customHeight="1">
      <c r="C45" s="96" t="str">
        <f>CONCATENATE("CESS Payment Per Year ($", 'Output | Models'!F4," million)")</f>
        <v>CESS Payment Per Year ($2025-26 million)</v>
      </c>
      <c r="D45" s="161">
        <f>D39/(SUM(D44:H44))</f>
        <v>2.1265396910259327</v>
      </c>
      <c r="E45" s="161">
        <f>D45</f>
        <v>2.1265396910259327</v>
      </c>
      <c r="F45" s="161">
        <f t="shared" ref="F45:H45" si="5">E45</f>
        <v>2.1265396910259327</v>
      </c>
      <c r="G45" s="161">
        <f t="shared" si="5"/>
        <v>2.1265396910259327</v>
      </c>
      <c r="H45" s="162">
        <f t="shared" si="5"/>
        <v>2.1265396910259327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($2025-26 million)</v>
      </c>
      <c r="D47" s="163">
        <f>SUM(D45:H45)</f>
        <v>10.632698455129663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8" sqref="J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CitiPower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69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24"/>
      <c r="K3" s="224"/>
      <c r="L3" s="224"/>
      <c r="M3" s="54"/>
      <c r="N3" s="224"/>
      <c r="O3" s="224"/>
      <c r="P3" s="224"/>
      <c r="Q3" s="224"/>
      <c r="R3" s="224"/>
      <c r="S3" s="224"/>
      <c r="T3" s="224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132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2025-26</v>
      </c>
      <c r="H8" s="59"/>
      <c r="I8" s="59"/>
      <c r="J8" s="156">
        <f>'Calc | CESS Revenue Increments'!D45</f>
        <v>2.1265396910259327</v>
      </c>
      <c r="K8" s="156">
        <f>'Calc | CESS Revenue Increments'!E45</f>
        <v>2.1265396910259327</v>
      </c>
      <c r="L8" s="156">
        <f>'Calc | CESS Revenue Increments'!F45</f>
        <v>2.1265396910259327</v>
      </c>
      <c r="M8" s="156">
        <f>'Calc | CESS Revenue Increments'!G45</f>
        <v>2.1265396910259327</v>
      </c>
      <c r="N8" s="156">
        <f>'Calc | CESS Revenue Increments'!H45</f>
        <v>2.1265396910259327</v>
      </c>
      <c r="O8" s="164">
        <f>SUM(J8:N8)</f>
        <v>10.632698455129663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1466-9798-4D56-B0EB-E3362FCBFCC1}">
  <sheetPr>
    <tabColor rgb="FF8DB4E2"/>
  </sheetPr>
  <dimension ref="A1:S37"/>
  <sheetViews>
    <sheetView zoomScale="90" zoomScaleNormal="90" workbookViewId="0">
      <selection activeCell="M7" sqref="M7"/>
    </sheetView>
  </sheetViews>
  <sheetFormatPr defaultColWidth="0" defaultRowHeight="0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80"/>
      <c r="B1" s="3" t="s">
        <v>144</v>
      </c>
      <c r="C1" s="80"/>
      <c r="D1" s="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0" t="s">
        <v>49</v>
      </c>
      <c r="Q1" s="136" t="s">
        <v>50</v>
      </c>
      <c r="R1" s="143" t="s">
        <v>38</v>
      </c>
      <c r="S1" s="184" t="s">
        <v>145</v>
      </c>
    </row>
    <row r="2" spans="1:19" ht="15.5">
      <c r="A2" s="80"/>
      <c r="B2" s="80"/>
      <c r="C2" s="80"/>
      <c r="D2" s="80"/>
      <c r="E2" s="3"/>
      <c r="F2" s="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5">
      <c r="A3" s="23"/>
      <c r="B3" s="23" t="s">
        <v>146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80"/>
      <c r="B4" s="80"/>
      <c r="C4" s="185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5">
      <c r="A5" s="80"/>
      <c r="B5" s="80"/>
      <c r="C5" s="80"/>
      <c r="D5" s="76" t="s">
        <v>5</v>
      </c>
      <c r="E5" s="76" t="s">
        <v>61</v>
      </c>
      <c r="F5" s="76" t="s">
        <v>3</v>
      </c>
      <c r="G5" s="186"/>
      <c r="H5" s="150" t="s">
        <v>75</v>
      </c>
      <c r="I5" s="150" t="s">
        <v>76</v>
      </c>
      <c r="J5" s="150" t="s">
        <v>77</v>
      </c>
      <c r="K5" s="150" t="s">
        <v>124</v>
      </c>
      <c r="L5" s="150" t="s">
        <v>132</v>
      </c>
      <c r="M5" s="187" t="s">
        <v>142</v>
      </c>
      <c r="N5" s="187" t="s">
        <v>147</v>
      </c>
      <c r="O5" s="187" t="s">
        <v>148</v>
      </c>
      <c r="P5" s="187" t="s">
        <v>149</v>
      </c>
      <c r="Q5" s="187" t="s">
        <v>150</v>
      </c>
      <c r="R5" s="80"/>
      <c r="S5" s="80"/>
    </row>
    <row r="6" spans="1:19" ht="14.5">
      <c r="A6" s="80"/>
      <c r="B6" s="80"/>
      <c r="C6" s="188" t="s">
        <v>151</v>
      </c>
      <c r="D6" s="188" t="s">
        <v>152</v>
      </c>
      <c r="E6" s="79" t="s">
        <v>60</v>
      </c>
      <c r="F6" s="80"/>
      <c r="G6" s="80"/>
      <c r="H6" s="189">
        <f>'Input | Inflation and Disc Rate'!G20</f>
        <v>2.6738665770133618E-2</v>
      </c>
      <c r="I6" s="189">
        <f>'Input | Inflation and Disc Rate'!H20</f>
        <v>2.5850627726693887E-2</v>
      </c>
      <c r="J6" s="189">
        <f>'Input | Inflation and Disc Rate'!I20</f>
        <v>2.6341556182575498E-2</v>
      </c>
      <c r="K6" s="189">
        <f>'Input | Inflation and Disc Rate'!J20</f>
        <v>2.6530125069218702E-2</v>
      </c>
      <c r="L6" s="189">
        <f>'Input | Inflation and Disc Rate'!K20</f>
        <v>2.6995102110397129E-2</v>
      </c>
      <c r="M6" s="190"/>
      <c r="N6" s="190"/>
      <c r="O6" s="190"/>
      <c r="P6" s="190"/>
      <c r="Q6" s="190"/>
      <c r="R6" s="80"/>
      <c r="S6" s="80"/>
    </row>
    <row r="7" spans="1:19" ht="14.5">
      <c r="A7" s="80"/>
      <c r="B7" s="80"/>
      <c r="C7" s="188" t="s">
        <v>153</v>
      </c>
      <c r="D7" s="188"/>
      <c r="E7" s="79" t="s">
        <v>60</v>
      </c>
      <c r="F7" s="80"/>
      <c r="G7" s="80"/>
      <c r="H7" s="190"/>
      <c r="I7" s="190"/>
      <c r="J7" s="190"/>
      <c r="K7" s="190"/>
      <c r="L7" s="190"/>
      <c r="M7" s="189">
        <f>'Input | Inflation and Disc Rate'!L21</f>
        <v>3.0102916068885266E-2</v>
      </c>
      <c r="N7" s="189">
        <f>'Input | Inflation and Disc Rate'!M21</f>
        <v>3.0688426255907331E-2</v>
      </c>
      <c r="O7" s="189">
        <f>'Input | Inflation and Disc Rate'!N21</f>
        <v>3.1262754590047237E-2</v>
      </c>
      <c r="P7" s="189">
        <f>'Input | Inflation and Disc Rate'!O21</f>
        <v>3.2316378430296534E-2</v>
      </c>
      <c r="Q7" s="189">
        <f>'Input | Inflation and Disc Rate'!P21</f>
        <v>3.3996437751275407E-2</v>
      </c>
      <c r="R7" s="80"/>
      <c r="S7" s="80"/>
    </row>
    <row r="8" spans="1:19" ht="14.5">
      <c r="A8" s="80"/>
      <c r="B8" s="80"/>
      <c r="C8" s="188" t="s">
        <v>154</v>
      </c>
      <c r="D8" s="188" t="s">
        <v>155</v>
      </c>
      <c r="E8" s="79" t="s">
        <v>60</v>
      </c>
      <c r="F8" s="80"/>
      <c r="G8" s="191"/>
      <c r="H8" s="189">
        <f>'Input | Inflation and Disc Rate'!G13</f>
        <v>8.6058519793459354E-3</v>
      </c>
      <c r="I8" s="189">
        <f>'Input | Inflation and Disc Rate'!H13</f>
        <v>3.4982935153583528E-2</v>
      </c>
      <c r="J8" s="189">
        <f>'Input | Inflation and Disc Rate'!I13</f>
        <v>7.8318219291014124E-2</v>
      </c>
      <c r="K8" s="189">
        <f>'Input | Inflation and Disc Rate'!J13</f>
        <v>4.0519877675840865E-2</v>
      </c>
      <c r="L8" s="189">
        <f>'Input | Inflation and Disc Rate'!K13</f>
        <v>0.03</v>
      </c>
      <c r="M8" s="192"/>
      <c r="N8" s="192"/>
      <c r="O8" s="192"/>
      <c r="P8" s="192"/>
      <c r="Q8" s="192"/>
      <c r="R8" s="80"/>
      <c r="S8" s="80"/>
    </row>
    <row r="9" spans="1:19" ht="14.5">
      <c r="A9" s="80"/>
      <c r="B9" s="80"/>
      <c r="C9" s="188" t="s">
        <v>156</v>
      </c>
      <c r="D9" s="188"/>
      <c r="E9" s="79" t="s">
        <v>32</v>
      </c>
      <c r="F9" s="80"/>
      <c r="G9" s="193"/>
      <c r="H9" s="194">
        <f>(1+H8)</f>
        <v>1.0086058519793459</v>
      </c>
      <c r="I9" s="194">
        <f>H9*(1+I8)</f>
        <v>1.0438898450946643</v>
      </c>
      <c r="J9" s="194">
        <f t="shared" ref="J9:L9" si="0">I9*(1+J8)</f>
        <v>1.1256454388984509</v>
      </c>
      <c r="K9" s="194">
        <f t="shared" si="0"/>
        <v>1.1712564543889843</v>
      </c>
      <c r="L9" s="194">
        <f t="shared" si="0"/>
        <v>1.2063941480206539</v>
      </c>
      <c r="M9" s="190"/>
      <c r="N9" s="190"/>
      <c r="O9" s="190"/>
      <c r="P9" s="190"/>
      <c r="Q9" s="190"/>
      <c r="R9" s="80"/>
      <c r="S9" s="80"/>
    </row>
    <row r="10" spans="1:19" ht="14.5">
      <c r="A10" s="80"/>
      <c r="B10" s="80"/>
      <c r="C10" s="188" t="s">
        <v>157</v>
      </c>
      <c r="D10" s="188"/>
      <c r="E10" s="79" t="s">
        <v>60</v>
      </c>
      <c r="F10" s="80"/>
      <c r="G10" s="80"/>
      <c r="H10" s="195">
        <f>(1+H6)*(1+H8)-1</f>
        <v>3.5574626749222515E-2</v>
      </c>
      <c r="I10" s="195">
        <f t="shared" ref="I10:L10" si="1">(1+I6)*(1+I8)-1</f>
        <v>6.1737893713719849E-2</v>
      </c>
      <c r="J10" s="195">
        <f t="shared" si="1"/>
        <v>0.1067227992471631</v>
      </c>
      <c r="K10" s="195">
        <f t="shared" si="1"/>
        <v>6.8125000167589045E-2</v>
      </c>
      <c r="L10" s="195">
        <f t="shared" si="1"/>
        <v>5.7804955173708983E-2</v>
      </c>
      <c r="M10" s="190"/>
      <c r="N10" s="190"/>
      <c r="O10" s="190"/>
      <c r="P10" s="190"/>
      <c r="Q10" s="190"/>
      <c r="R10" s="80"/>
      <c r="S10" s="80"/>
    </row>
    <row r="11" spans="1:19" ht="14.5">
      <c r="A11" s="80"/>
      <c r="B11" s="80"/>
      <c r="C11" s="80"/>
      <c r="D11" s="80"/>
      <c r="E11" s="188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4.5">
      <c r="A12" s="80"/>
      <c r="B12" s="80"/>
      <c r="C12" s="188" t="s">
        <v>158</v>
      </c>
      <c r="D12" s="79" t="s">
        <v>159</v>
      </c>
      <c r="E12" s="79" t="s">
        <v>59</v>
      </c>
      <c r="F12" s="79" t="s">
        <v>160</v>
      </c>
      <c r="G12" s="80"/>
      <c r="H12" s="196">
        <v>13.651595014998703</v>
      </c>
      <c r="I12" s="196">
        <v>13.651595014998703</v>
      </c>
      <c r="J12" s="196">
        <v>13.651595014998703</v>
      </c>
      <c r="K12" s="196">
        <v>13.651595014998703</v>
      </c>
      <c r="L12" s="196">
        <v>13.651595014998703</v>
      </c>
      <c r="M12" s="80"/>
      <c r="N12" s="80"/>
      <c r="O12" s="80"/>
      <c r="P12" s="80"/>
      <c r="Q12" s="80"/>
      <c r="R12" s="80"/>
      <c r="S12" s="80"/>
    </row>
    <row r="13" spans="1:19" ht="14.5">
      <c r="A13" s="80"/>
      <c r="B13" s="80"/>
      <c r="C13" s="188" t="s">
        <v>158</v>
      </c>
      <c r="D13" s="79" t="s">
        <v>161</v>
      </c>
      <c r="E13" s="79" t="s">
        <v>59</v>
      </c>
      <c r="F13" s="79" t="s">
        <v>160</v>
      </c>
      <c r="G13" s="80"/>
      <c r="H13" s="196">
        <v>14.010499983031814</v>
      </c>
      <c r="I13" s="196">
        <v>14.010499983031814</v>
      </c>
      <c r="J13" s="196">
        <v>14.010499983031814</v>
      </c>
      <c r="K13" s="196">
        <v>14.010499983031814</v>
      </c>
      <c r="L13" s="196">
        <v>14.010499983031814</v>
      </c>
      <c r="M13" s="80"/>
      <c r="N13" s="80"/>
      <c r="O13" s="80"/>
      <c r="P13" s="80"/>
      <c r="Q13" s="80"/>
      <c r="R13" s="80"/>
      <c r="S13" s="80"/>
    </row>
    <row r="14" spans="1:19" ht="14.5">
      <c r="A14" s="80"/>
      <c r="B14" s="80"/>
      <c r="C14" s="188"/>
      <c r="D14" s="18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19" ht="14.5">
      <c r="A15" s="80"/>
      <c r="B15" s="80"/>
      <c r="C15" s="188" t="s">
        <v>162</v>
      </c>
      <c r="D15" s="79"/>
      <c r="E15" s="79" t="s">
        <v>59</v>
      </c>
      <c r="F15" s="79" t="s">
        <v>160</v>
      </c>
      <c r="G15" s="80"/>
      <c r="H15" s="197">
        <f>H13-H12</f>
        <v>0.35890496803311045</v>
      </c>
      <c r="I15" s="198">
        <f t="shared" ref="I15:L15" si="2">I13-I12</f>
        <v>0.35890496803311045</v>
      </c>
      <c r="J15" s="198">
        <f t="shared" si="2"/>
        <v>0.35890496803311045</v>
      </c>
      <c r="K15" s="198">
        <f t="shared" si="2"/>
        <v>0.35890496803311045</v>
      </c>
      <c r="L15" s="198">
        <f t="shared" si="2"/>
        <v>0.35890496803311045</v>
      </c>
      <c r="M15" s="80"/>
      <c r="N15" s="80"/>
      <c r="O15" s="80"/>
      <c r="P15" s="80"/>
      <c r="Q15" s="80"/>
      <c r="R15" s="80"/>
      <c r="S15" s="80"/>
    </row>
    <row r="16" spans="1:19" ht="14.5">
      <c r="A16" s="80"/>
      <c r="B16" s="80"/>
      <c r="C16" s="188" t="s">
        <v>162</v>
      </c>
      <c r="D16" s="79"/>
      <c r="E16" s="199" t="s">
        <v>59</v>
      </c>
      <c r="F16" s="199" t="s">
        <v>63</v>
      </c>
      <c r="G16" s="80"/>
      <c r="H16" s="197">
        <f>H15*H9</f>
        <v>0.3619936510626553</v>
      </c>
      <c r="I16" s="198">
        <f>I15*I9</f>
        <v>0.37465725148378909</v>
      </c>
      <c r="J16" s="198">
        <f>J15*J9</f>
        <v>0.40399974026446511</v>
      </c>
      <c r="K16" s="198">
        <f>K15*K9</f>
        <v>0.42036976032105272</v>
      </c>
      <c r="L16" s="198">
        <f>L15*L9</f>
        <v>0.4329808531306843</v>
      </c>
      <c r="M16" s="80"/>
      <c r="N16" s="80"/>
      <c r="O16" s="80"/>
      <c r="P16" s="80"/>
      <c r="Q16" s="80"/>
      <c r="R16" s="80"/>
      <c r="S16" s="80"/>
    </row>
    <row r="17" spans="1:19" ht="14.5">
      <c r="A17" s="80"/>
      <c r="B17" s="80"/>
      <c r="C17" s="188" t="s">
        <v>98</v>
      </c>
      <c r="D17" s="188"/>
      <c r="E17" s="199"/>
      <c r="F17" s="199"/>
      <c r="G17" s="80"/>
      <c r="H17" s="198"/>
      <c r="I17" s="198">
        <f>$H$16*I$6</f>
        <v>9.3577631130474289E-3</v>
      </c>
      <c r="J17" s="198">
        <f>$H$16*I$9/$H$9*J$6</f>
        <v>9.8690550391695477E-3</v>
      </c>
      <c r="K17" s="198">
        <f>$H$16*J$9/$H$9*K$6</f>
        <v>1.071816363714813E-2</v>
      </c>
      <c r="L17" s="198">
        <f>$H$16*K$9/$H$9*L$6</f>
        <v>1.1347924603989985E-2</v>
      </c>
      <c r="M17" s="80"/>
      <c r="N17" s="80"/>
      <c r="O17" s="80"/>
      <c r="P17" s="80"/>
      <c r="Q17" s="80"/>
      <c r="R17" s="80"/>
      <c r="S17" s="80"/>
    </row>
    <row r="18" spans="1:19" ht="14.5">
      <c r="A18" s="80"/>
      <c r="B18" s="80"/>
      <c r="C18" s="188" t="s">
        <v>99</v>
      </c>
      <c r="D18" s="188"/>
      <c r="E18" s="199"/>
      <c r="F18" s="199"/>
      <c r="G18" s="80"/>
      <c r="H18" s="198"/>
      <c r="I18" s="198"/>
      <c r="J18" s="198">
        <f>$I$16*J$6</f>
        <v>9.8690550391695477E-3</v>
      </c>
      <c r="K18" s="198">
        <f>$I$16*J$9/$I$9*K$6</f>
        <v>1.0718163637148129E-2</v>
      </c>
      <c r="L18" s="198">
        <f>$I$16*K$9/$I$9*L$6</f>
        <v>1.1347924603989984E-2</v>
      </c>
      <c r="M18" s="80"/>
      <c r="N18" s="80"/>
      <c r="O18" s="80"/>
      <c r="P18" s="80"/>
      <c r="Q18" s="80"/>
      <c r="R18" s="80"/>
      <c r="S18" s="80"/>
    </row>
    <row r="19" spans="1:19" ht="14.5">
      <c r="A19" s="80"/>
      <c r="B19" s="80"/>
      <c r="C19" s="188" t="s">
        <v>100</v>
      </c>
      <c r="D19" s="188"/>
      <c r="E19" s="199"/>
      <c r="F19" s="199"/>
      <c r="G19" s="80"/>
      <c r="H19" s="198"/>
      <c r="I19" s="198"/>
      <c r="J19" s="198"/>
      <c r="K19" s="198">
        <f>$J$16*K$6</f>
        <v>1.071816363714813E-2</v>
      </c>
      <c r="L19" s="198">
        <f>$J$16*K$9/$J$9*L$6</f>
        <v>1.1347924603989985E-2</v>
      </c>
      <c r="M19" s="80"/>
      <c r="N19" s="80"/>
      <c r="O19" s="80"/>
      <c r="P19" s="80"/>
      <c r="Q19" s="80"/>
      <c r="R19" s="80"/>
      <c r="S19" s="80"/>
    </row>
    <row r="20" spans="1:19" ht="14.5">
      <c r="A20" s="80"/>
      <c r="B20" s="80"/>
      <c r="C20" s="188" t="s">
        <v>101</v>
      </c>
      <c r="D20" s="188"/>
      <c r="E20" s="199"/>
      <c r="F20" s="199"/>
      <c r="G20" s="80"/>
      <c r="H20" s="198"/>
      <c r="I20" s="198"/>
      <c r="J20" s="198"/>
      <c r="K20" s="198"/>
      <c r="L20" s="198">
        <f>$K$16*L$6</f>
        <v>1.1347924603989985E-2</v>
      </c>
      <c r="M20" s="80"/>
      <c r="N20" s="80"/>
      <c r="O20" s="80"/>
      <c r="P20" s="80"/>
      <c r="Q20" s="80"/>
      <c r="R20" s="80"/>
      <c r="S20" s="80"/>
    </row>
    <row r="21" spans="1:19" ht="14.5">
      <c r="A21" s="80"/>
      <c r="B21" s="80"/>
      <c r="C21" s="188" t="s">
        <v>102</v>
      </c>
      <c r="D21" s="188"/>
      <c r="E21" s="199"/>
      <c r="F21" s="199"/>
      <c r="G21" s="80"/>
      <c r="H21" s="200"/>
      <c r="I21" s="200"/>
      <c r="J21" s="200"/>
      <c r="K21" s="200"/>
      <c r="L21" s="200"/>
      <c r="M21" s="80"/>
      <c r="N21" s="80"/>
      <c r="O21" s="80"/>
      <c r="P21" s="80"/>
      <c r="Q21" s="80"/>
      <c r="R21" s="80"/>
      <c r="S21" s="80"/>
    </row>
    <row r="22" spans="1:19" ht="14.5">
      <c r="A22" s="80"/>
      <c r="B22" s="80"/>
      <c r="C22" s="188" t="s">
        <v>20</v>
      </c>
      <c r="D22" s="79"/>
      <c r="E22" s="199" t="s">
        <v>59</v>
      </c>
      <c r="F22" s="199"/>
      <c r="G22" s="80"/>
      <c r="H22" s="198">
        <f>SUM(H17:H21)</f>
        <v>0</v>
      </c>
      <c r="I22" s="198">
        <f>SUM(I17:I21)</f>
        <v>9.3577631130474289E-3</v>
      </c>
      <c r="J22" s="198">
        <f t="shared" ref="J22:L22" si="3">SUM(J17:J21)</f>
        <v>1.9738110078339095E-2</v>
      </c>
      <c r="K22" s="198">
        <f t="shared" si="3"/>
        <v>3.2154490911444386E-2</v>
      </c>
      <c r="L22" s="198">
        <f t="shared" si="3"/>
        <v>4.5391698415959941E-2</v>
      </c>
      <c r="M22" s="80"/>
      <c r="N22" s="80"/>
      <c r="O22" s="80"/>
      <c r="P22" s="80"/>
      <c r="Q22" s="80"/>
      <c r="R22" s="80"/>
      <c r="S22" s="80"/>
    </row>
    <row r="23" spans="1:19" ht="14.5">
      <c r="A23" s="80"/>
      <c r="B23" s="80"/>
      <c r="C23" s="188"/>
      <c r="D23" s="188"/>
      <c r="E23" s="199"/>
      <c r="F23" s="199"/>
      <c r="G23" s="80"/>
      <c r="H23" s="200"/>
      <c r="I23" s="200"/>
      <c r="J23" s="200"/>
      <c r="K23" s="200"/>
      <c r="L23" s="200"/>
      <c r="M23" s="80"/>
      <c r="N23" s="80"/>
      <c r="O23" s="80"/>
      <c r="P23" s="80"/>
      <c r="Q23" s="80"/>
      <c r="R23" s="80"/>
      <c r="S23" s="80"/>
    </row>
    <row r="24" spans="1:19" ht="14.5">
      <c r="A24" s="80"/>
      <c r="B24" s="80"/>
      <c r="C24" s="188" t="s">
        <v>119</v>
      </c>
      <c r="D24" s="188"/>
      <c r="E24" s="199"/>
      <c r="F24" s="199"/>
      <c r="G24" s="80"/>
      <c r="H24" s="198">
        <f>I24*(1+I10)</f>
        <v>1.3276507702073792</v>
      </c>
      <c r="I24" s="198">
        <f>J24*(1+J10)</f>
        <v>1.250450584902415</v>
      </c>
      <c r="J24" s="198">
        <f>K24*(1+K10)</f>
        <v>1.1298679179221944</v>
      </c>
      <c r="K24" s="201">
        <f>L24*(1+L10)</f>
        <v>1.057804955173709</v>
      </c>
      <c r="L24" s="198">
        <v>1</v>
      </c>
      <c r="M24" s="80"/>
      <c r="N24" s="80"/>
      <c r="O24" s="80"/>
      <c r="P24" s="80"/>
      <c r="Q24" s="80"/>
      <c r="R24" s="80"/>
      <c r="S24" s="80"/>
    </row>
    <row r="25" spans="1:19" ht="14.5">
      <c r="A25" s="80"/>
      <c r="B25" s="80"/>
      <c r="C25" s="188" t="s">
        <v>163</v>
      </c>
      <c r="D25" s="188"/>
      <c r="E25" s="199" t="s">
        <v>59</v>
      </c>
      <c r="F25" s="199"/>
      <c r="G25" s="80"/>
      <c r="H25" s="198">
        <f>H16*H24</f>
        <v>0.48060114964351558</v>
      </c>
      <c r="I25" s="198">
        <f t="shared" ref="I25:L25" si="4">I16*I24</f>
        <v>0.46849037925583525</v>
      </c>
      <c r="J25" s="198">
        <f t="shared" si="4"/>
        <v>0.45646634537371855</v>
      </c>
      <c r="K25" s="198">
        <f t="shared" si="4"/>
        <v>0.44466921547279398</v>
      </c>
      <c r="L25" s="198">
        <f t="shared" si="4"/>
        <v>0.4329808531306843</v>
      </c>
      <c r="M25" s="80"/>
      <c r="N25" s="80"/>
      <c r="O25" s="80"/>
      <c r="P25" s="80"/>
      <c r="Q25" s="80"/>
      <c r="R25" s="80"/>
      <c r="S25" s="80"/>
    </row>
    <row r="26" spans="1:19" ht="14.5">
      <c r="A26" s="80"/>
      <c r="B26" s="80"/>
      <c r="C26" s="188" t="s">
        <v>22</v>
      </c>
      <c r="D26" s="188"/>
      <c r="E26" s="199" t="s">
        <v>59</v>
      </c>
      <c r="F26" s="199"/>
      <c r="G26" s="80"/>
      <c r="H26" s="202">
        <f>H22*H24</f>
        <v>0</v>
      </c>
      <c r="I26" s="202">
        <f t="shared" ref="I26:L26" si="5">I22*I24</f>
        <v>1.1701420358088402E-2</v>
      </c>
      <c r="J26" s="202">
        <f t="shared" si="5"/>
        <v>2.2301457337932075E-2</v>
      </c>
      <c r="K26" s="202">
        <f t="shared" si="5"/>
        <v>3.4013179817213864E-2</v>
      </c>
      <c r="L26" s="202">
        <f t="shared" si="5"/>
        <v>4.5391698415959941E-2</v>
      </c>
      <c r="M26" s="80"/>
      <c r="N26" s="80"/>
      <c r="O26" s="80"/>
      <c r="P26" s="80"/>
      <c r="Q26" s="80"/>
      <c r="R26" s="80"/>
      <c r="S26" s="80"/>
    </row>
    <row r="27" spans="1:19" ht="14.5">
      <c r="A27" s="80"/>
      <c r="B27" s="80"/>
      <c r="C27" s="78" t="s">
        <v>164</v>
      </c>
      <c r="D27" s="203"/>
      <c r="E27" s="204" t="s">
        <v>59</v>
      </c>
      <c r="F27" s="205"/>
      <c r="G27" s="80"/>
      <c r="H27" s="78"/>
      <c r="I27" s="78"/>
      <c r="J27" s="78"/>
      <c r="K27" s="206"/>
      <c r="L27" s="207">
        <f>SUM(H25:L26)</f>
        <v>2.3966156988057423</v>
      </c>
      <c r="M27" s="80"/>
      <c r="N27" s="208"/>
      <c r="O27" s="80"/>
      <c r="P27" s="80"/>
      <c r="Q27" s="80"/>
      <c r="R27" s="80"/>
      <c r="S27" s="80"/>
    </row>
    <row r="28" spans="1:19" ht="14.5">
      <c r="A28" s="80"/>
      <c r="B28" s="80"/>
      <c r="C28" s="80"/>
      <c r="D28" s="80"/>
      <c r="E28" s="80"/>
      <c r="F28" s="80"/>
      <c r="G28" s="80"/>
      <c r="H28" s="209"/>
      <c r="I28" s="209"/>
      <c r="J28" s="209"/>
      <c r="K28" s="209"/>
      <c r="L28" s="80"/>
      <c r="M28" s="80"/>
      <c r="N28" s="80"/>
      <c r="O28" s="80"/>
      <c r="P28" s="80"/>
      <c r="Q28" s="80"/>
      <c r="R28" s="80"/>
      <c r="S28" s="80"/>
    </row>
    <row r="29" spans="1:19" ht="14.5">
      <c r="A29" s="23"/>
      <c r="B29" s="210"/>
      <c r="C29" s="211" t="s">
        <v>80</v>
      </c>
      <c r="D29" s="212"/>
      <c r="E29" s="212"/>
      <c r="F29" s="213" t="s">
        <v>81</v>
      </c>
      <c r="G29" s="213"/>
      <c r="H29" s="210"/>
      <c r="I29" s="210"/>
      <c r="J29" s="210"/>
      <c r="K29" s="214"/>
      <c r="L29" s="214"/>
      <c r="M29" s="214"/>
      <c r="N29" s="212"/>
      <c r="O29" s="215"/>
      <c r="P29" s="212"/>
      <c r="Q29" s="212"/>
      <c r="R29" s="212"/>
      <c r="S29" s="63"/>
    </row>
    <row r="30" spans="1:19" ht="14.5">
      <c r="A30" s="80"/>
      <c r="B30" s="80"/>
      <c r="C30" s="216" t="s">
        <v>165</v>
      </c>
      <c r="D30" s="80"/>
      <c r="E30" s="76" t="s">
        <v>61</v>
      </c>
      <c r="F30" s="76" t="s">
        <v>3</v>
      </c>
      <c r="G30" s="80"/>
      <c r="H30" s="187" t="str">
        <f>M5</f>
        <v>2026-27</v>
      </c>
      <c r="I30" s="187" t="str">
        <f t="shared" ref="I30:L30" si="6">N5</f>
        <v>2027–28</v>
      </c>
      <c r="J30" s="187" t="str">
        <f t="shared" si="6"/>
        <v>2028–29</v>
      </c>
      <c r="K30" s="187" t="str">
        <f t="shared" si="6"/>
        <v>2029–30</v>
      </c>
      <c r="L30" s="187" t="str">
        <f t="shared" si="6"/>
        <v>2030–31</v>
      </c>
      <c r="M30" s="187" t="s">
        <v>112</v>
      </c>
      <c r="N30" s="208"/>
      <c r="O30" s="80"/>
      <c r="P30" s="80"/>
      <c r="Q30" s="80"/>
      <c r="R30" s="80"/>
      <c r="S30" s="80"/>
    </row>
    <row r="31" spans="1:19" ht="14.5">
      <c r="A31" s="80"/>
      <c r="B31" s="80"/>
      <c r="C31" s="188" t="s">
        <v>133</v>
      </c>
      <c r="D31" s="80"/>
      <c r="E31" s="79"/>
      <c r="F31" s="79"/>
      <c r="G31" s="80"/>
      <c r="H31" s="198">
        <f>1/(1+M7)</f>
        <v>0.97077678783420485</v>
      </c>
      <c r="I31" s="198">
        <f>H31/(1+N7)</f>
        <v>0.94187221191632253</v>
      </c>
      <c r="J31" s="198">
        <f>I31/(1+O7)</f>
        <v>0.91331933372377083</v>
      </c>
      <c r="K31" s="198">
        <f>J31/(1+P7)</f>
        <v>0.88472812483371788</v>
      </c>
      <c r="L31" s="198">
        <f>K31/(1+Q7)</f>
        <v>0.8556394321413866</v>
      </c>
      <c r="M31" s="80"/>
      <c r="N31" s="80"/>
      <c r="O31" s="80"/>
      <c r="P31" s="80"/>
      <c r="Q31" s="80"/>
      <c r="R31" s="80"/>
      <c r="S31" s="80"/>
    </row>
    <row r="32" spans="1:19" ht="14.5">
      <c r="A32" s="80"/>
      <c r="B32" s="80"/>
      <c r="C32" s="188"/>
      <c r="D32" s="80"/>
      <c r="E32" s="79"/>
      <c r="F32" s="79"/>
      <c r="G32" s="80"/>
      <c r="H32" s="217"/>
      <c r="I32" s="217"/>
      <c r="J32" s="217"/>
      <c r="K32" s="217"/>
      <c r="L32" s="217"/>
      <c r="M32" s="80"/>
      <c r="N32" s="80"/>
      <c r="O32" s="80"/>
      <c r="P32" s="80"/>
      <c r="Q32" s="80"/>
      <c r="R32" s="80"/>
      <c r="S32" s="80"/>
    </row>
    <row r="33" spans="1:19" ht="14.5">
      <c r="A33" s="80"/>
      <c r="B33" s="80"/>
      <c r="C33" s="188" t="s">
        <v>166</v>
      </c>
      <c r="D33" s="80"/>
      <c r="E33" s="79" t="s">
        <v>59</v>
      </c>
      <c r="F33" s="79" t="s">
        <v>167</v>
      </c>
      <c r="G33" s="80"/>
      <c r="H33" s="206">
        <f>$L$27/SUM($H$31:$L$31)</f>
        <v>0.52484437332311007</v>
      </c>
      <c r="I33" s="206">
        <f>H33</f>
        <v>0.52484437332311007</v>
      </c>
      <c r="J33" s="206">
        <f t="shared" ref="J33:L33" si="7">I33</f>
        <v>0.52484437332311007</v>
      </c>
      <c r="K33" s="206">
        <f t="shared" si="7"/>
        <v>0.52484437332311007</v>
      </c>
      <c r="L33" s="206">
        <f t="shared" si="7"/>
        <v>0.52484437332311007</v>
      </c>
      <c r="M33" s="206">
        <f>SUM(H33:L33)</f>
        <v>2.6242218666155503</v>
      </c>
      <c r="N33" s="80"/>
      <c r="O33" s="80"/>
      <c r="P33" s="80"/>
      <c r="Q33" s="80"/>
      <c r="R33" s="80"/>
      <c r="S33" s="80"/>
    </row>
    <row r="34" spans="1:19" ht="14.5">
      <c r="A34" s="80"/>
      <c r="B34" s="80"/>
      <c r="C34" s="188" t="s">
        <v>168</v>
      </c>
      <c r="D34" s="80"/>
      <c r="E34" s="79" t="s">
        <v>59</v>
      </c>
      <c r="F34" s="79" t="s">
        <v>63</v>
      </c>
      <c r="G34" s="80"/>
      <c r="H34" s="206">
        <f>H33*'Input | Inflation and Disc Rate'!L10/'Input | Inflation and Disc Rate'!$K10</f>
        <v>0.53927679546707241</v>
      </c>
      <c r="I34" s="206">
        <f>I33*'Input | Inflation and Disc Rate'!M10/'Input | Inflation and Disc Rate'!$K10</f>
        <v>0.55410608727284083</v>
      </c>
      <c r="J34" s="206">
        <f>J33*'Input | Inflation and Disc Rate'!N10/'Input | Inflation and Disc Rate'!$K10</f>
        <v>0.5693431620526016</v>
      </c>
      <c r="K34" s="206">
        <f>K33*'Input | Inflation and Disc Rate'!O10/'Input | Inflation and Disc Rate'!$K10</f>
        <v>0.58499923321803038</v>
      </c>
      <c r="L34" s="206">
        <f>L33*'Input | Inflation and Disc Rate'!P10/'Input | Inflation and Disc Rate'!$K10</f>
        <v>0.60108582253257214</v>
      </c>
      <c r="M34" s="206">
        <f>SUM(H34:L34)</f>
        <v>2.8488111005431174</v>
      </c>
      <c r="N34" s="80"/>
      <c r="O34" s="80"/>
      <c r="P34" s="80"/>
      <c r="Q34" s="80"/>
      <c r="R34" s="80"/>
      <c r="S34" s="80"/>
    </row>
    <row r="35" spans="1:19" ht="14.5">
      <c r="A35" s="80"/>
      <c r="B35" s="80"/>
      <c r="C35" s="188"/>
      <c r="D35" s="80"/>
      <c r="E35" s="80"/>
      <c r="F35" s="80"/>
      <c r="G35" s="80"/>
      <c r="H35" s="80"/>
      <c r="I35" s="218"/>
      <c r="J35" s="218"/>
      <c r="K35" s="218"/>
      <c r="L35" s="218"/>
      <c r="M35" s="80"/>
      <c r="N35" s="80"/>
      <c r="O35" s="80"/>
      <c r="P35" s="80"/>
      <c r="Q35" s="80"/>
      <c r="R35" s="80"/>
      <c r="S35" s="80"/>
    </row>
    <row r="36" spans="1:19" ht="14.5">
      <c r="A36" s="80"/>
      <c r="B36" s="80"/>
      <c r="C36" s="80"/>
      <c r="D36" s="80"/>
      <c r="E36" s="80"/>
      <c r="F36" s="80"/>
      <c r="G36" s="80"/>
      <c r="H36" s="80"/>
      <c r="I36" s="209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5">
      <c r="A37" s="23"/>
      <c r="B37" s="23" t="s">
        <v>36</v>
      </c>
      <c r="C37" s="23"/>
      <c r="D37" s="64"/>
      <c r="E37" s="64"/>
      <c r="F37" s="64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CitiPower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67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:O39">
    <cfRule type="expression" dxfId="1" priority="7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Price, Joel</cp:lastModifiedBy>
  <dcterms:created xsi:type="dcterms:W3CDTF">2017-09-22T02:00:05Z</dcterms:created>
  <dcterms:modified xsi:type="dcterms:W3CDTF">2025-01-08T01:13:56Z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