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DA49FD78-4416-457A-B6AF-311AE762EFC1}" xr6:coauthVersionLast="47" xr6:coauthVersionMax="47" xr10:uidLastSave="{00000000-0000-0000-0000-000000000000}"/>
  <bookViews>
    <workbookView xWindow="-120" yWindow="-120" windowWidth="29040" windowHeight="15720" tabRatio="896" activeTab="1" xr2:uid="{00000000-000D-0000-FFFF-FFFF00000000}"/>
  </bookViews>
  <sheets>
    <sheet name="Cover" sheetId="89" r:id="rId1"/>
    <sheet name="CitiPower summary" sheetId="88" r:id="rId2"/>
    <sheet name="Piclo Benefits" sheetId="91" r:id="rId3"/>
    <sheet name="Opex Step Change" sheetId="85" r:id="rId4"/>
    <sheet name="Project Summary" sheetId="82" r:id="rId5"/>
    <sheet name="Assumptions" sheetId="74" r:id="rId6"/>
    <sheet name="Option 1" sheetId="83" r:id="rId7"/>
    <sheet name="Option 2" sheetId="79" r:id="rId8"/>
  </sheets>
  <definedNames>
    <definedName name="Business" localSheetId="0">Assumptions!$B$8</definedName>
    <definedName name="Business">Assumptions!$B$8</definedName>
    <definedName name="business_case_dollars" localSheetId="0">Assumptions!$C$36</definedName>
    <definedName name="business_case_dollars">Assumptions!$C$36</definedName>
    <definedName name="Project_name">Assumptions!$B$6</definedName>
    <definedName name="Real_Discount_rate" localSheetId="0">Assumptions!$B$10</definedName>
    <definedName name="Real_Discount_rate">Assumptions!$B$10</definedName>
    <definedName name="years" localSheetId="6">'Option 1'!$P$8:$T$8</definedName>
    <definedName name="years" localSheetId="7">'Option 2'!$P$8:$T$8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88" l="1"/>
  <c r="K14" i="88" l="1"/>
  <c r="J14" i="88"/>
  <c r="I14" i="88"/>
  <c r="H14" i="88"/>
  <c r="G14" i="88"/>
  <c r="F14" i="88"/>
  <c r="F34" i="88" l="1"/>
  <c r="F33" i="88"/>
  <c r="K25" i="88"/>
  <c r="J25" i="88"/>
  <c r="I25" i="88"/>
  <c r="H25" i="88"/>
  <c r="G25" i="88"/>
  <c r="F25" i="88"/>
  <c r="P62" i="91"/>
  <c r="Q62" i="91"/>
  <c r="R62" i="91"/>
  <c r="S62" i="91" s="1"/>
  <c r="O62" i="91"/>
  <c r="N62" i="91"/>
  <c r="F37" i="82" l="1"/>
  <c r="F22" i="82"/>
  <c r="D85" i="83"/>
  <c r="D70" i="83"/>
  <c r="D85" i="79"/>
  <c r="D70" i="79"/>
  <c r="G12" i="88" l="1"/>
  <c r="H12" i="88"/>
  <c r="I12" i="88"/>
  <c r="J12" i="88"/>
  <c r="F12" i="88"/>
  <c r="J11" i="88"/>
  <c r="I11" i="88"/>
  <c r="H11" i="88"/>
  <c r="G11" i="88"/>
  <c r="F11" i="88"/>
  <c r="K24" i="88"/>
  <c r="G22" i="88"/>
  <c r="H22" i="88"/>
  <c r="I22" i="88"/>
  <c r="J22" i="88"/>
  <c r="G23" i="88"/>
  <c r="H23" i="88"/>
  <c r="I23" i="88"/>
  <c r="J23" i="88"/>
  <c r="F23" i="88"/>
  <c r="F22" i="88"/>
  <c r="F27" i="88" l="1"/>
  <c r="K23" i="88"/>
  <c r="K22" i="88"/>
  <c r="B18" i="85"/>
  <c r="B17" i="85"/>
  <c r="B16" i="85"/>
  <c r="D9" i="85"/>
  <c r="E9" i="85"/>
  <c r="F9" i="85"/>
  <c r="G9" i="85"/>
  <c r="D10" i="85"/>
  <c r="E10" i="85"/>
  <c r="F10" i="85"/>
  <c r="G10" i="85"/>
  <c r="D11" i="85"/>
  <c r="E11" i="85"/>
  <c r="F11" i="85"/>
  <c r="G11" i="85"/>
  <c r="C11" i="85"/>
  <c r="C10" i="85"/>
  <c r="C9" i="85"/>
  <c r="G6" i="85"/>
  <c r="F6" i="85"/>
  <c r="E6" i="85"/>
  <c r="D6" i="85"/>
  <c r="C6" i="85"/>
  <c r="A3" i="85"/>
  <c r="A2" i="85"/>
  <c r="A1" i="85"/>
  <c r="K13" i="88"/>
  <c r="D87" i="91" l="1"/>
  <c r="C87" i="91"/>
  <c r="C79" i="91"/>
  <c r="D79" i="91" s="1"/>
  <c r="M71" i="91"/>
  <c r="L71" i="91"/>
  <c r="K71" i="91"/>
  <c r="J71" i="91"/>
  <c r="F71" i="91"/>
  <c r="I71" i="91"/>
  <c r="H71" i="91"/>
  <c r="G71" i="91"/>
  <c r="E71" i="91"/>
  <c r="F49" i="91"/>
  <c r="F48" i="91"/>
  <c r="F47" i="91"/>
  <c r="F46" i="91"/>
  <c r="F45" i="91"/>
  <c r="F44" i="91"/>
  <c r="F72" i="91" l="1"/>
  <c r="F75" i="91"/>
  <c r="F78" i="91" s="1"/>
  <c r="H72" i="91"/>
  <c r="H83" i="91" s="1"/>
  <c r="H87" i="91" s="1"/>
  <c r="H75" i="91"/>
  <c r="H78" i="91" s="1"/>
  <c r="J72" i="91"/>
  <c r="J83" i="91" s="1"/>
  <c r="J87" i="91" s="1"/>
  <c r="J75" i="91"/>
  <c r="J78" i="91" s="1"/>
  <c r="K72" i="91"/>
  <c r="K83" i="91" s="1"/>
  <c r="K87" i="91" s="1"/>
  <c r="K75" i="91"/>
  <c r="K78" i="91" s="1"/>
  <c r="L72" i="91"/>
  <c r="L83" i="91" s="1"/>
  <c r="L87" i="91" s="1"/>
  <c r="L75" i="91"/>
  <c r="L78" i="91" s="1"/>
  <c r="M72" i="91"/>
  <c r="M83" i="91" s="1"/>
  <c r="M87" i="91" s="1"/>
  <c r="M75" i="91"/>
  <c r="M78" i="91" s="1"/>
  <c r="G72" i="91"/>
  <c r="G83" i="91" s="1"/>
  <c r="G87" i="91" s="1"/>
  <c r="G75" i="91"/>
  <c r="G78" i="91" s="1"/>
  <c r="I72" i="91"/>
  <c r="I83" i="91" s="1"/>
  <c r="I87" i="91" s="1"/>
  <c r="I75" i="91"/>
  <c r="I78" i="91" s="1"/>
  <c r="F83" i="91"/>
  <c r="F87" i="91" s="1"/>
  <c r="A1" i="88"/>
  <c r="A3" i="88"/>
  <c r="D6" i="89" a="1"/>
  <c r="D6" i="89" s="1"/>
  <c r="C5" i="89" a="1"/>
  <c r="C5" i="89" s="1"/>
  <c r="N71" i="91" l="1"/>
  <c r="N72" i="91" s="1"/>
  <c r="E83" i="91"/>
  <c r="E84" i="91" s="1"/>
  <c r="F84" i="91" s="1"/>
  <c r="G84" i="91" s="1"/>
  <c r="H84" i="91" s="1"/>
  <c r="I84" i="91" s="1"/>
  <c r="J84" i="91" s="1"/>
  <c r="K84" i="91" s="1"/>
  <c r="L84" i="91" s="1"/>
  <c r="M84" i="91" s="1"/>
  <c r="E79" i="91"/>
  <c r="N18" i="79"/>
  <c r="M18" i="79"/>
  <c r="L18" i="79"/>
  <c r="K18" i="79"/>
  <c r="N10" i="79"/>
  <c r="M10" i="79"/>
  <c r="L10" i="79"/>
  <c r="K10" i="79"/>
  <c r="N75" i="91" l="1"/>
  <c r="N78" i="91" s="1"/>
  <c r="F79" i="91"/>
  <c r="G79" i="91" s="1"/>
  <c r="H79" i="91" s="1"/>
  <c r="I79" i="91" s="1"/>
  <c r="F37" i="88" s="1"/>
  <c r="E87" i="91"/>
  <c r="O71" i="91"/>
  <c r="O72" i="91" s="1"/>
  <c r="N83" i="91"/>
  <c r="N84" i="91" s="1"/>
  <c r="F19" i="74"/>
  <c r="F18" i="74"/>
  <c r="F21" i="74"/>
  <c r="O75" i="91" l="1"/>
  <c r="O78" i="91" s="1"/>
  <c r="J79" i="91"/>
  <c r="K79" i="91" s="1"/>
  <c r="L79" i="91" s="1"/>
  <c r="M79" i="91" s="1"/>
  <c r="N79" i="91" s="1"/>
  <c r="N87" i="91"/>
  <c r="O83" i="91"/>
  <c r="O84" i="91" s="1"/>
  <c r="P71" i="91"/>
  <c r="P72" i="91" s="1"/>
  <c r="O79" i="91" l="1"/>
  <c r="P75" i="91"/>
  <c r="P78" i="91" s="1"/>
  <c r="O87" i="91"/>
  <c r="Q71" i="91"/>
  <c r="Q72" i="91" s="1"/>
  <c r="P83" i="91"/>
  <c r="P84" i="91" s="1"/>
  <c r="B6" i="85"/>
  <c r="C85" i="83"/>
  <c r="C83" i="83"/>
  <c r="C70" i="83"/>
  <c r="C67" i="83"/>
  <c r="T63" i="83"/>
  <c r="S63" i="83"/>
  <c r="R63" i="83"/>
  <c r="Q63" i="83"/>
  <c r="P63" i="83"/>
  <c r="T60" i="83"/>
  <c r="S60" i="83"/>
  <c r="R60" i="83"/>
  <c r="Q60" i="83"/>
  <c r="P60" i="83"/>
  <c r="T54" i="83"/>
  <c r="S54" i="83"/>
  <c r="R54" i="83"/>
  <c r="Q54" i="83"/>
  <c r="P54" i="83"/>
  <c r="H54" i="83"/>
  <c r="G54" i="83"/>
  <c r="H53" i="83"/>
  <c r="H52" i="83"/>
  <c r="H51" i="83"/>
  <c r="H50" i="83"/>
  <c r="H49" i="83"/>
  <c r="T48" i="83"/>
  <c r="S48" i="83"/>
  <c r="R48" i="83"/>
  <c r="Q48" i="83"/>
  <c r="P48" i="83"/>
  <c r="H48" i="83"/>
  <c r="G48" i="83"/>
  <c r="H47" i="83"/>
  <c r="T46" i="83"/>
  <c r="S46" i="83"/>
  <c r="R46" i="83"/>
  <c r="Q46" i="83"/>
  <c r="P46" i="83"/>
  <c r="H46" i="83"/>
  <c r="G46" i="83"/>
  <c r="H45" i="83"/>
  <c r="T44" i="83"/>
  <c r="S44" i="83"/>
  <c r="R44" i="83"/>
  <c r="Q44" i="83"/>
  <c r="P44" i="83"/>
  <c r="H44" i="83"/>
  <c r="G44" i="83"/>
  <c r="T43" i="83"/>
  <c r="S43" i="83"/>
  <c r="R43" i="83"/>
  <c r="Q43" i="83"/>
  <c r="P43" i="83"/>
  <c r="H43" i="83"/>
  <c r="G43" i="83"/>
  <c r="T42" i="83"/>
  <c r="S42" i="83"/>
  <c r="R42" i="83"/>
  <c r="Q42" i="83"/>
  <c r="P42" i="83"/>
  <c r="H42" i="83"/>
  <c r="G42" i="83"/>
  <c r="H41" i="83"/>
  <c r="H40" i="83"/>
  <c r="T39" i="83"/>
  <c r="S39" i="83"/>
  <c r="R39" i="83"/>
  <c r="Q39" i="83"/>
  <c r="P39" i="83"/>
  <c r="H39" i="83"/>
  <c r="G39" i="83"/>
  <c r="H38" i="83"/>
  <c r="T37" i="83"/>
  <c r="S37" i="83"/>
  <c r="R37" i="83"/>
  <c r="Q37" i="83"/>
  <c r="P37" i="83"/>
  <c r="H37" i="83"/>
  <c r="G37" i="83"/>
  <c r="H36" i="83"/>
  <c r="H35" i="83"/>
  <c r="T34" i="83"/>
  <c r="S34" i="83"/>
  <c r="R34" i="83"/>
  <c r="Q34" i="83"/>
  <c r="P34" i="83"/>
  <c r="H34" i="83"/>
  <c r="G34" i="83"/>
  <c r="T33" i="83"/>
  <c r="S33" i="83"/>
  <c r="R33" i="83"/>
  <c r="Q33" i="83"/>
  <c r="P33" i="83"/>
  <c r="H33" i="83"/>
  <c r="G33" i="83"/>
  <c r="H32" i="83"/>
  <c r="H31" i="83"/>
  <c r="H30" i="83"/>
  <c r="T29" i="83"/>
  <c r="S29" i="83"/>
  <c r="R29" i="83"/>
  <c r="Q29" i="83"/>
  <c r="P29" i="83"/>
  <c r="H29" i="83"/>
  <c r="G29" i="83"/>
  <c r="H28" i="83"/>
  <c r="H27" i="83"/>
  <c r="T26" i="83"/>
  <c r="S26" i="83"/>
  <c r="R26" i="83"/>
  <c r="Q26" i="83"/>
  <c r="P26" i="83"/>
  <c r="H26" i="83"/>
  <c r="G26" i="83"/>
  <c r="H25" i="83"/>
  <c r="T24" i="83"/>
  <c r="S24" i="83"/>
  <c r="R24" i="83"/>
  <c r="Q24" i="83"/>
  <c r="P24" i="83"/>
  <c r="H24" i="83"/>
  <c r="G24" i="83"/>
  <c r="H23" i="83"/>
  <c r="H22" i="83"/>
  <c r="T21" i="83"/>
  <c r="S21" i="83"/>
  <c r="R21" i="83"/>
  <c r="Q21" i="83"/>
  <c r="P21" i="83"/>
  <c r="H21" i="83"/>
  <c r="G21" i="83"/>
  <c r="T20" i="83"/>
  <c r="S20" i="83"/>
  <c r="R20" i="83"/>
  <c r="Q20" i="83"/>
  <c r="P20" i="83"/>
  <c r="H20" i="83"/>
  <c r="G20" i="83"/>
  <c r="H19" i="83"/>
  <c r="H18" i="83"/>
  <c r="H17" i="83"/>
  <c r="H16" i="83"/>
  <c r="H15" i="83"/>
  <c r="H14" i="83"/>
  <c r="T13" i="83"/>
  <c r="S13" i="83"/>
  <c r="R13" i="83"/>
  <c r="Q13" i="83"/>
  <c r="P13" i="83"/>
  <c r="H13" i="83"/>
  <c r="G13" i="83"/>
  <c r="H12" i="83"/>
  <c r="H11" i="83"/>
  <c r="T10" i="83"/>
  <c r="S10" i="83"/>
  <c r="R10" i="83"/>
  <c r="P10" i="83"/>
  <c r="Q10" i="83"/>
  <c r="H10" i="83"/>
  <c r="G10" i="83"/>
  <c r="A5" i="83"/>
  <c r="V3" i="83"/>
  <c r="A2" i="83"/>
  <c r="A1" i="83"/>
  <c r="B19" i="74"/>
  <c r="B18" i="74"/>
  <c r="P79" i="91" l="1"/>
  <c r="Q75" i="91"/>
  <c r="Q78" i="91" s="1"/>
  <c r="P87" i="91"/>
  <c r="R71" i="91"/>
  <c r="R72" i="91" s="1"/>
  <c r="Q83" i="91"/>
  <c r="Q84" i="91" s="1"/>
  <c r="Q64" i="83"/>
  <c r="R59" i="83"/>
  <c r="S59" i="83"/>
  <c r="T59" i="83"/>
  <c r="R64" i="83"/>
  <c r="U60" i="83"/>
  <c r="S64" i="83"/>
  <c r="T64" i="83"/>
  <c r="P59" i="83"/>
  <c r="P64" i="83"/>
  <c r="Q59" i="83"/>
  <c r="U63" i="83"/>
  <c r="Q79" i="91" l="1"/>
  <c r="R75" i="91"/>
  <c r="R78" i="91" s="1"/>
  <c r="Q87" i="91"/>
  <c r="S71" i="91"/>
  <c r="S72" i="91" s="1"/>
  <c r="R83" i="91"/>
  <c r="R84" i="91" s="1"/>
  <c r="U59" i="83"/>
  <c r="U64" i="83"/>
  <c r="B14" i="74"/>
  <c r="R79" i="91" l="1"/>
  <c r="S75" i="91"/>
  <c r="S78" i="91" s="1"/>
  <c r="R87" i="91"/>
  <c r="S83" i="91"/>
  <c r="S84" i="91" s="1"/>
  <c r="G51" i="83"/>
  <c r="G35" i="83"/>
  <c r="G22" i="83"/>
  <c r="G14" i="83"/>
  <c r="G50" i="83"/>
  <c r="G12" i="83"/>
  <c r="G28" i="83"/>
  <c r="G41" i="83"/>
  <c r="G25" i="83"/>
  <c r="G18" i="83"/>
  <c r="G11" i="83"/>
  <c r="G45" i="83"/>
  <c r="G38" i="83"/>
  <c r="G31" i="83"/>
  <c r="G27" i="83"/>
  <c r="G23" i="83"/>
  <c r="G49" i="83"/>
  <c r="G53" i="83"/>
  <c r="G47" i="83"/>
  <c r="G30" i="83"/>
  <c r="G17" i="83"/>
  <c r="G40" i="83"/>
  <c r="G16" i="83"/>
  <c r="G19" i="83"/>
  <c r="G52" i="83"/>
  <c r="G36" i="83"/>
  <c r="G15" i="83"/>
  <c r="G32" i="83"/>
  <c r="D6" i="88"/>
  <c r="C35" i="82"/>
  <c r="C20" i="82"/>
  <c r="A3" i="82"/>
  <c r="S79" i="91" l="1"/>
  <c r="S87" i="91"/>
  <c r="R36" i="83"/>
  <c r="P36" i="83"/>
  <c r="T36" i="83"/>
  <c r="S36" i="83"/>
  <c r="Q36" i="83"/>
  <c r="T38" i="83"/>
  <c r="S38" i="83"/>
  <c r="R38" i="83"/>
  <c r="P38" i="83"/>
  <c r="Q38" i="83"/>
  <c r="P12" i="83"/>
  <c r="T12" i="83"/>
  <c r="S12" i="83"/>
  <c r="R12" i="83"/>
  <c r="Q12" i="83"/>
  <c r="R40" i="83"/>
  <c r="T40" i="83"/>
  <c r="S40" i="83"/>
  <c r="Q40" i="83"/>
  <c r="P40" i="83"/>
  <c r="S45" i="83"/>
  <c r="T45" i="83"/>
  <c r="R45" i="83"/>
  <c r="Q45" i="83"/>
  <c r="P45" i="83"/>
  <c r="T50" i="83"/>
  <c r="S50" i="83"/>
  <c r="R50" i="83"/>
  <c r="Q50" i="83"/>
  <c r="P50" i="83"/>
  <c r="P17" i="83"/>
  <c r="S17" i="83"/>
  <c r="R17" i="83"/>
  <c r="Q17" i="83"/>
  <c r="T17" i="83"/>
  <c r="R11" i="83"/>
  <c r="T11" i="83"/>
  <c r="Q11" i="83"/>
  <c r="S11" i="83"/>
  <c r="P11" i="83"/>
  <c r="P30" i="83"/>
  <c r="T30" i="83"/>
  <c r="S30" i="83"/>
  <c r="R30" i="83"/>
  <c r="Q30" i="83"/>
  <c r="P18" i="83"/>
  <c r="T18" i="83"/>
  <c r="S18" i="83"/>
  <c r="R18" i="83"/>
  <c r="Q18" i="83"/>
  <c r="R52" i="83"/>
  <c r="T52" i="83"/>
  <c r="S52" i="83"/>
  <c r="Q52" i="83"/>
  <c r="P52" i="83"/>
  <c r="Q47" i="83"/>
  <c r="R47" i="83"/>
  <c r="P47" i="83"/>
  <c r="T47" i="83"/>
  <c r="S47" i="83"/>
  <c r="T25" i="83"/>
  <c r="S25" i="83"/>
  <c r="R25" i="83"/>
  <c r="Q25" i="83"/>
  <c r="P25" i="83"/>
  <c r="R53" i="83"/>
  <c r="Q53" i="83"/>
  <c r="T53" i="83"/>
  <c r="P53" i="83"/>
  <c r="S53" i="83"/>
  <c r="S41" i="83"/>
  <c r="Q41" i="83"/>
  <c r="T41" i="83"/>
  <c r="R41" i="83"/>
  <c r="P41" i="83"/>
  <c r="T14" i="83"/>
  <c r="S14" i="83"/>
  <c r="P14" i="83"/>
  <c r="Q14" i="83"/>
  <c r="R14" i="83"/>
  <c r="T19" i="83"/>
  <c r="R19" i="83"/>
  <c r="Q19" i="83"/>
  <c r="P19" i="83"/>
  <c r="S19" i="83"/>
  <c r="T49" i="83"/>
  <c r="S49" i="83"/>
  <c r="P49" i="83"/>
  <c r="R49" i="83"/>
  <c r="Q49" i="83"/>
  <c r="T22" i="83"/>
  <c r="P22" i="83"/>
  <c r="Q22" i="83"/>
  <c r="R22" i="83"/>
  <c r="S22" i="83"/>
  <c r="T32" i="83"/>
  <c r="S32" i="83"/>
  <c r="R32" i="83"/>
  <c r="Q32" i="83"/>
  <c r="P32" i="83"/>
  <c r="S35" i="83"/>
  <c r="R35" i="83"/>
  <c r="Q35" i="83"/>
  <c r="P35" i="83"/>
  <c r="T35" i="83"/>
  <c r="S16" i="83"/>
  <c r="T16" i="83"/>
  <c r="R16" i="83"/>
  <c r="P16" i="83"/>
  <c r="Q16" i="83"/>
  <c r="T23" i="83"/>
  <c r="S23" i="83"/>
  <c r="R23" i="83"/>
  <c r="Q23" i="83"/>
  <c r="P23" i="83"/>
  <c r="R28" i="83"/>
  <c r="T28" i="83"/>
  <c r="S28" i="83"/>
  <c r="P28" i="83"/>
  <c r="Q28" i="83"/>
  <c r="T51" i="83"/>
  <c r="S51" i="83"/>
  <c r="Q51" i="83"/>
  <c r="P51" i="83"/>
  <c r="R51" i="83"/>
  <c r="R15" i="83"/>
  <c r="T15" i="83"/>
  <c r="S15" i="83"/>
  <c r="P15" i="83"/>
  <c r="Q15" i="83"/>
  <c r="T27" i="83"/>
  <c r="S27" i="83"/>
  <c r="P27" i="83"/>
  <c r="Q27" i="83"/>
  <c r="R27" i="83"/>
  <c r="T31" i="83"/>
  <c r="S31" i="83"/>
  <c r="R31" i="83"/>
  <c r="P31" i="83"/>
  <c r="Q31" i="83"/>
  <c r="B21" i="74"/>
  <c r="S58" i="83" l="1"/>
  <c r="Q58" i="83"/>
  <c r="T58" i="83"/>
  <c r="S62" i="83"/>
  <c r="Q62" i="83"/>
  <c r="P62" i="83"/>
  <c r="R62" i="83"/>
  <c r="T62" i="83"/>
  <c r="P58" i="83"/>
  <c r="S61" i="83"/>
  <c r="R58" i="83"/>
  <c r="J25" i="82"/>
  <c r="I25" i="82"/>
  <c r="H25" i="82"/>
  <c r="G25" i="82"/>
  <c r="F25" i="82"/>
  <c r="A2" i="82"/>
  <c r="A1" i="82"/>
  <c r="C85" i="79"/>
  <c r="C83" i="79"/>
  <c r="C35" i="74"/>
  <c r="C36" i="74" s="1"/>
  <c r="T65" i="83" l="1"/>
  <c r="T61" i="83"/>
  <c r="R65" i="83"/>
  <c r="Q61" i="83"/>
  <c r="P65" i="83"/>
  <c r="U62" i="83"/>
  <c r="U65" i="83" s="1"/>
  <c r="R61" i="83"/>
  <c r="Q65" i="83"/>
  <c r="S65" i="83"/>
  <c r="S67" i="83"/>
  <c r="S68" i="83" s="1"/>
  <c r="P61" i="83"/>
  <c r="P67" i="83" s="1"/>
  <c r="U58" i="83"/>
  <c r="U61" i="83" s="1"/>
  <c r="P79" i="83"/>
  <c r="F16" i="82" s="1"/>
  <c r="R75" i="83"/>
  <c r="H12" i="82" s="1"/>
  <c r="P75" i="83"/>
  <c r="F12" i="82" s="1"/>
  <c r="Q79" i="83"/>
  <c r="G16" i="82" s="1"/>
  <c r="Q80" i="83"/>
  <c r="G17" i="82" s="1"/>
  <c r="Q76" i="83"/>
  <c r="G13" i="82" s="1"/>
  <c r="S75" i="83"/>
  <c r="I12" i="82" s="1"/>
  <c r="P80" i="83"/>
  <c r="F17" i="82" s="1"/>
  <c r="R79" i="83"/>
  <c r="H16" i="82" s="1"/>
  <c r="R76" i="83"/>
  <c r="H13" i="82" s="1"/>
  <c r="S79" i="83"/>
  <c r="I16" i="82" s="1"/>
  <c r="S76" i="83"/>
  <c r="I13" i="82" s="1"/>
  <c r="T79" i="83"/>
  <c r="J16" i="82" s="1"/>
  <c r="T76" i="83"/>
  <c r="J13" i="82" s="1"/>
  <c r="P76" i="83"/>
  <c r="F13" i="82" s="1"/>
  <c r="R80" i="83"/>
  <c r="H17" i="82" s="1"/>
  <c r="P78" i="83"/>
  <c r="F15" i="82" s="1"/>
  <c r="T75" i="83"/>
  <c r="J12" i="82" s="1"/>
  <c r="R74" i="83"/>
  <c r="H11" i="82" s="1"/>
  <c r="Q75" i="83"/>
  <c r="G12" i="82" s="1"/>
  <c r="T80" i="83"/>
  <c r="J17" i="82" s="1"/>
  <c r="S80" i="83"/>
  <c r="I17" i="82" s="1"/>
  <c r="S78" i="83"/>
  <c r="I15" i="82" s="1"/>
  <c r="P74" i="83"/>
  <c r="F11" i="82" s="1"/>
  <c r="R78" i="83"/>
  <c r="H15" i="82" s="1"/>
  <c r="Q78" i="83"/>
  <c r="G15" i="82" s="1"/>
  <c r="T74" i="83"/>
  <c r="J11" i="82" s="1"/>
  <c r="Q74" i="83"/>
  <c r="G11" i="82" s="1"/>
  <c r="S74" i="83"/>
  <c r="I11" i="82" s="1"/>
  <c r="T78" i="83"/>
  <c r="J15" i="82" s="1"/>
  <c r="T67" i="83" l="1"/>
  <c r="T68" i="83" s="1"/>
  <c r="Q67" i="83"/>
  <c r="Q68" i="83" s="1"/>
  <c r="R67" i="83"/>
  <c r="R68" i="83" s="1"/>
  <c r="P68" i="83"/>
  <c r="Q77" i="83"/>
  <c r="T77" i="83"/>
  <c r="U76" i="83"/>
  <c r="Q81" i="83"/>
  <c r="U80" i="83"/>
  <c r="R81" i="83"/>
  <c r="R77" i="83"/>
  <c r="U74" i="83"/>
  <c r="P77" i="83"/>
  <c r="U79" i="83"/>
  <c r="T81" i="83"/>
  <c r="S81" i="83"/>
  <c r="P81" i="83"/>
  <c r="U78" i="83"/>
  <c r="S77" i="83"/>
  <c r="U75" i="83"/>
  <c r="C70" i="79"/>
  <c r="U67" i="83" l="1"/>
  <c r="S83" i="83"/>
  <c r="S84" i="83" s="1"/>
  <c r="P83" i="83"/>
  <c r="U68" i="83"/>
  <c r="V68" i="83" s="1"/>
  <c r="Q83" i="83"/>
  <c r="Q84" i="83" s="1"/>
  <c r="U77" i="83"/>
  <c r="U81" i="83"/>
  <c r="T83" i="83"/>
  <c r="T84" i="83" s="1"/>
  <c r="P84" i="83"/>
  <c r="R83" i="83"/>
  <c r="R84" i="83" s="1"/>
  <c r="A2" i="79"/>
  <c r="A1" i="79"/>
  <c r="A2" i="74"/>
  <c r="A1" i="74"/>
  <c r="C67" i="79"/>
  <c r="H54" i="79"/>
  <c r="G54" i="79"/>
  <c r="T54" i="79" s="1"/>
  <c r="H53" i="79"/>
  <c r="G53" i="79"/>
  <c r="T53" i="79" s="1"/>
  <c r="H52" i="79"/>
  <c r="G52" i="79"/>
  <c r="H51" i="79"/>
  <c r="G51" i="79"/>
  <c r="P51" i="79" s="1"/>
  <c r="H50" i="79"/>
  <c r="G50" i="79"/>
  <c r="H49" i="79"/>
  <c r="G49" i="79"/>
  <c r="T49" i="79" s="1"/>
  <c r="T48" i="79"/>
  <c r="S48" i="79"/>
  <c r="R48" i="79"/>
  <c r="Q48" i="79"/>
  <c r="P48" i="79"/>
  <c r="H48" i="79"/>
  <c r="G48" i="79"/>
  <c r="H47" i="79"/>
  <c r="G47" i="79"/>
  <c r="T47" i="79" s="1"/>
  <c r="T46" i="79"/>
  <c r="S46" i="79"/>
  <c r="R46" i="79"/>
  <c r="Q46" i="79"/>
  <c r="P46" i="79"/>
  <c r="H46" i="79"/>
  <c r="G46" i="79"/>
  <c r="H45" i="79"/>
  <c r="G45" i="79"/>
  <c r="S45" i="79" s="1"/>
  <c r="T44" i="79"/>
  <c r="S44" i="79"/>
  <c r="R44" i="79"/>
  <c r="Q44" i="79"/>
  <c r="P44" i="79"/>
  <c r="H44" i="79"/>
  <c r="G44" i="79"/>
  <c r="T43" i="79"/>
  <c r="S43" i="79"/>
  <c r="R43" i="79"/>
  <c r="Q43" i="79"/>
  <c r="P43" i="79"/>
  <c r="H43" i="79"/>
  <c r="G43" i="79"/>
  <c r="H42" i="79"/>
  <c r="G42" i="79"/>
  <c r="S42" i="79" s="1"/>
  <c r="H41" i="79"/>
  <c r="G41" i="79"/>
  <c r="T41" i="79" s="1"/>
  <c r="H40" i="79"/>
  <c r="G40" i="79"/>
  <c r="T40" i="79" s="1"/>
  <c r="H39" i="79"/>
  <c r="G39" i="79"/>
  <c r="S39" i="79" s="1"/>
  <c r="H38" i="79"/>
  <c r="G38" i="79"/>
  <c r="T38" i="79" s="1"/>
  <c r="H37" i="79"/>
  <c r="G37" i="79"/>
  <c r="S37" i="79" s="1"/>
  <c r="H36" i="79"/>
  <c r="G36" i="79"/>
  <c r="H35" i="79"/>
  <c r="G35" i="79"/>
  <c r="R35" i="79" s="1"/>
  <c r="T34" i="79"/>
  <c r="S34" i="79"/>
  <c r="R34" i="79"/>
  <c r="Q34" i="79"/>
  <c r="P34" i="79"/>
  <c r="H34" i="79"/>
  <c r="G34" i="79"/>
  <c r="T33" i="79"/>
  <c r="S33" i="79"/>
  <c r="R33" i="79"/>
  <c r="Q33" i="79"/>
  <c r="P33" i="79"/>
  <c r="H33" i="79"/>
  <c r="G33" i="79"/>
  <c r="H32" i="79"/>
  <c r="G32" i="79"/>
  <c r="P32" i="79" s="1"/>
  <c r="H31" i="79"/>
  <c r="G31" i="79"/>
  <c r="H30" i="79"/>
  <c r="G30" i="79"/>
  <c r="T30" i="79" s="1"/>
  <c r="T29" i="79"/>
  <c r="S29" i="79"/>
  <c r="R29" i="79"/>
  <c r="Q29" i="79"/>
  <c r="P29" i="79"/>
  <c r="H29" i="79"/>
  <c r="G29" i="79"/>
  <c r="H28" i="79"/>
  <c r="G28" i="79"/>
  <c r="R28" i="79" s="1"/>
  <c r="H27" i="79"/>
  <c r="G27" i="79"/>
  <c r="T26" i="79"/>
  <c r="S26" i="79"/>
  <c r="R26" i="79"/>
  <c r="Q26" i="79"/>
  <c r="P26" i="79"/>
  <c r="H26" i="79"/>
  <c r="G26" i="79"/>
  <c r="H25" i="79"/>
  <c r="G25" i="79"/>
  <c r="T25" i="79" s="1"/>
  <c r="H24" i="79"/>
  <c r="G24" i="79"/>
  <c r="P24" i="79" s="1"/>
  <c r="H23" i="79"/>
  <c r="G23" i="79"/>
  <c r="H22" i="79"/>
  <c r="G22" i="79"/>
  <c r="T22" i="79" s="1"/>
  <c r="H21" i="79"/>
  <c r="G21" i="79"/>
  <c r="T21" i="79" s="1"/>
  <c r="H20" i="79"/>
  <c r="G20" i="79"/>
  <c r="T20" i="79" s="1"/>
  <c r="H19" i="79"/>
  <c r="G19" i="79"/>
  <c r="S19" i="79" s="1"/>
  <c r="H18" i="79"/>
  <c r="G18" i="79"/>
  <c r="S18" i="79" s="1"/>
  <c r="H17" i="79"/>
  <c r="G17" i="79"/>
  <c r="S17" i="79" s="1"/>
  <c r="H16" i="79"/>
  <c r="G16" i="79"/>
  <c r="T16" i="79" s="1"/>
  <c r="H15" i="79"/>
  <c r="G15" i="79"/>
  <c r="R15" i="79" s="1"/>
  <c r="H14" i="79"/>
  <c r="G14" i="79"/>
  <c r="R14" i="79" s="1"/>
  <c r="H13" i="79"/>
  <c r="G13" i="79"/>
  <c r="T13" i="79" s="1"/>
  <c r="H12" i="79"/>
  <c r="G12" i="79"/>
  <c r="P12" i="79" s="1"/>
  <c r="H11" i="79"/>
  <c r="G11" i="79"/>
  <c r="S11" i="79" s="1"/>
  <c r="H10" i="79"/>
  <c r="G10" i="79"/>
  <c r="T10" i="79" s="1"/>
  <c r="A5" i="79"/>
  <c r="V3" i="79"/>
  <c r="U83" i="83" l="1"/>
  <c r="P23" i="79"/>
  <c r="S23" i="79"/>
  <c r="R23" i="79"/>
  <c r="Q23" i="79"/>
  <c r="Q27" i="79"/>
  <c r="T27" i="79"/>
  <c r="S27" i="79"/>
  <c r="R27" i="79"/>
  <c r="S31" i="79"/>
  <c r="T31" i="79"/>
  <c r="Q31" i="79"/>
  <c r="P31" i="79"/>
  <c r="R36" i="79"/>
  <c r="Q36" i="79"/>
  <c r="T50" i="79"/>
  <c r="S50" i="79"/>
  <c r="R50" i="79"/>
  <c r="Q50" i="79"/>
  <c r="P50" i="79"/>
  <c r="R52" i="79"/>
  <c r="S52" i="79"/>
  <c r="Q52" i="79"/>
  <c r="Q25" i="79"/>
  <c r="R25" i="79"/>
  <c r="S25" i="79"/>
  <c r="P25" i="79"/>
  <c r="T15" i="79"/>
  <c r="S15" i="79"/>
  <c r="P35" i="79"/>
  <c r="Q35" i="79"/>
  <c r="S35" i="79"/>
  <c r="T35" i="79"/>
  <c r="P20" i="79"/>
  <c r="Q20" i="79"/>
  <c r="R20" i="79"/>
  <c r="S20" i="79"/>
  <c r="P17" i="79"/>
  <c r="Q17" i="79"/>
  <c r="T17" i="79"/>
  <c r="R17" i="79"/>
  <c r="P42" i="79"/>
  <c r="Q42" i="79"/>
  <c r="R42" i="79"/>
  <c r="T42" i="79"/>
  <c r="P54" i="79"/>
  <c r="Q54" i="79"/>
  <c r="R54" i="79"/>
  <c r="S54" i="79"/>
  <c r="P53" i="79"/>
  <c r="Q53" i="79"/>
  <c r="R53" i="79"/>
  <c r="S53" i="79"/>
  <c r="T52" i="79"/>
  <c r="P52" i="79"/>
  <c r="Q51" i="79"/>
  <c r="R51" i="79"/>
  <c r="S51" i="79"/>
  <c r="T51" i="79"/>
  <c r="Q49" i="79"/>
  <c r="R49" i="79"/>
  <c r="P49" i="79"/>
  <c r="S49" i="79"/>
  <c r="P47" i="79"/>
  <c r="Q47" i="79"/>
  <c r="R47" i="79"/>
  <c r="S47" i="79"/>
  <c r="T45" i="79"/>
  <c r="P45" i="79"/>
  <c r="Q45" i="79"/>
  <c r="R45" i="79"/>
  <c r="T39" i="79"/>
  <c r="R39" i="79"/>
  <c r="P39" i="79"/>
  <c r="Q39" i="79"/>
  <c r="Q41" i="79"/>
  <c r="P41" i="79"/>
  <c r="R41" i="79"/>
  <c r="S41" i="79"/>
  <c r="P40" i="79"/>
  <c r="Q40" i="79"/>
  <c r="R40" i="79"/>
  <c r="S40" i="79"/>
  <c r="P38" i="79"/>
  <c r="Q38" i="79"/>
  <c r="S38" i="79"/>
  <c r="R38" i="79"/>
  <c r="T37" i="79"/>
  <c r="P37" i="79"/>
  <c r="Q37" i="79"/>
  <c r="R37" i="79"/>
  <c r="S36" i="79"/>
  <c r="T36" i="79"/>
  <c r="P36" i="79"/>
  <c r="Q32" i="79"/>
  <c r="S32" i="79"/>
  <c r="T32" i="79"/>
  <c r="R32" i="79"/>
  <c r="R31" i="79"/>
  <c r="Q30" i="79"/>
  <c r="P30" i="79"/>
  <c r="R30" i="79"/>
  <c r="S30" i="79"/>
  <c r="Q28" i="79"/>
  <c r="S28" i="79"/>
  <c r="P28" i="79"/>
  <c r="T28" i="79"/>
  <c r="P27" i="79"/>
  <c r="T23" i="79"/>
  <c r="Q22" i="79"/>
  <c r="R22" i="79"/>
  <c r="P22" i="79"/>
  <c r="S22" i="79"/>
  <c r="P19" i="79"/>
  <c r="Q19" i="79"/>
  <c r="T19" i="79"/>
  <c r="R19" i="79"/>
  <c r="Q18" i="79"/>
  <c r="P18" i="79"/>
  <c r="R18" i="79"/>
  <c r="T18" i="79"/>
  <c r="Q16" i="79"/>
  <c r="P16" i="79"/>
  <c r="R16" i="79"/>
  <c r="S16" i="79"/>
  <c r="P15" i="79"/>
  <c r="Q15" i="79"/>
  <c r="S14" i="79"/>
  <c r="T14" i="79"/>
  <c r="P14" i="79"/>
  <c r="Q14" i="79"/>
  <c r="T63" i="79"/>
  <c r="S12" i="79"/>
  <c r="T12" i="79"/>
  <c r="T24" i="79"/>
  <c r="S24" i="79"/>
  <c r="Q24" i="79"/>
  <c r="R24" i="79"/>
  <c r="Q12" i="79"/>
  <c r="R12" i="79"/>
  <c r="R60" i="79"/>
  <c r="Q60" i="79"/>
  <c r="P60" i="79"/>
  <c r="Q21" i="79"/>
  <c r="P21" i="79"/>
  <c r="S21" i="79"/>
  <c r="R21" i="79"/>
  <c r="S60" i="79"/>
  <c r="T60" i="79"/>
  <c r="P10" i="79"/>
  <c r="T11" i="79"/>
  <c r="S10" i="79"/>
  <c r="R11" i="79"/>
  <c r="Q10" i="79"/>
  <c r="R10" i="79"/>
  <c r="Q11" i="79"/>
  <c r="P13" i="79"/>
  <c r="Q13" i="79"/>
  <c r="P11" i="79"/>
  <c r="R13" i="79"/>
  <c r="S13" i="79"/>
  <c r="T59" i="79" l="1"/>
  <c r="S63" i="79"/>
  <c r="P63" i="79"/>
  <c r="G12" i="85"/>
  <c r="R63" i="79"/>
  <c r="Q63" i="79"/>
  <c r="U84" i="83"/>
  <c r="V84" i="83" s="1"/>
  <c r="P62" i="79"/>
  <c r="Q62" i="79"/>
  <c r="T64" i="79"/>
  <c r="T62" i="79"/>
  <c r="S62" i="79"/>
  <c r="R62" i="79"/>
  <c r="P64" i="79"/>
  <c r="S64" i="79"/>
  <c r="R64" i="79"/>
  <c r="Q64" i="79"/>
  <c r="S79" i="79"/>
  <c r="I31" i="82" s="1"/>
  <c r="T79" i="79"/>
  <c r="J31" i="82" s="1"/>
  <c r="U63" i="79"/>
  <c r="P79" i="79"/>
  <c r="F31" i="82" s="1"/>
  <c r="P59" i="79"/>
  <c r="R59" i="79"/>
  <c r="T58" i="79"/>
  <c r="S59" i="79"/>
  <c r="U60" i="79"/>
  <c r="P58" i="79"/>
  <c r="R58" i="79"/>
  <c r="Q58" i="79"/>
  <c r="Q59" i="79"/>
  <c r="S58" i="79"/>
  <c r="P78" i="79" l="1"/>
  <c r="F30" i="82" s="1"/>
  <c r="Q79" i="79"/>
  <c r="G31" i="82" s="1"/>
  <c r="Q78" i="79"/>
  <c r="G30" i="82" s="1"/>
  <c r="R80" i="79"/>
  <c r="H32" i="82" s="1"/>
  <c r="T80" i="79"/>
  <c r="J32" i="82" s="1"/>
  <c r="R78" i="79"/>
  <c r="H30" i="82" s="1"/>
  <c r="T78" i="79"/>
  <c r="J30" i="82" s="1"/>
  <c r="F12" i="85"/>
  <c r="E12" i="85"/>
  <c r="R79" i="79"/>
  <c r="H31" i="82" s="1"/>
  <c r="H9" i="85"/>
  <c r="C12" i="85"/>
  <c r="H10" i="85"/>
  <c r="H11" i="85"/>
  <c r="D12" i="85"/>
  <c r="Q65" i="79"/>
  <c r="T65" i="79"/>
  <c r="S78" i="79"/>
  <c r="U62" i="79"/>
  <c r="S65" i="79"/>
  <c r="P65" i="79"/>
  <c r="S80" i="79"/>
  <c r="I32" i="82" s="1"/>
  <c r="P80" i="79"/>
  <c r="F32" i="82" s="1"/>
  <c r="F33" i="82" s="1"/>
  <c r="R65" i="79"/>
  <c r="U64" i="79"/>
  <c r="Q80" i="79"/>
  <c r="G32" i="82" s="1"/>
  <c r="H18" i="82"/>
  <c r="J18" i="82"/>
  <c r="P61" i="79"/>
  <c r="S61" i="79"/>
  <c r="T61" i="79"/>
  <c r="Q61" i="79"/>
  <c r="R61" i="79"/>
  <c r="U59" i="79"/>
  <c r="U58" i="79"/>
  <c r="J33" i="82" l="1"/>
  <c r="G17" i="85" s="1"/>
  <c r="T81" i="79"/>
  <c r="G33" i="82"/>
  <c r="U79" i="79"/>
  <c r="H33" i="82"/>
  <c r="E17" i="85" s="1"/>
  <c r="K15" i="82"/>
  <c r="I30" i="82"/>
  <c r="K31" i="82"/>
  <c r="K32" i="82"/>
  <c r="R81" i="79"/>
  <c r="H12" i="85"/>
  <c r="G16" i="85"/>
  <c r="G18" i="85"/>
  <c r="Q67" i="79"/>
  <c r="Q68" i="79" s="1"/>
  <c r="T67" i="79"/>
  <c r="T68" i="79" s="1"/>
  <c r="U78" i="79"/>
  <c r="U65" i="79"/>
  <c r="R67" i="79"/>
  <c r="R68" i="79" s="1"/>
  <c r="P67" i="79"/>
  <c r="P68" i="79" s="1"/>
  <c r="S67" i="79"/>
  <c r="S68" i="79" s="1"/>
  <c r="S81" i="79"/>
  <c r="P81" i="79"/>
  <c r="K17" i="82"/>
  <c r="I18" i="82"/>
  <c r="U80" i="79"/>
  <c r="G18" i="82"/>
  <c r="Q81" i="79"/>
  <c r="K16" i="82"/>
  <c r="F18" i="82"/>
  <c r="C17" i="85" s="1"/>
  <c r="U61" i="79"/>
  <c r="E16" i="85" l="1"/>
  <c r="E18" i="85"/>
  <c r="I33" i="82"/>
  <c r="F16" i="85" s="1"/>
  <c r="K30" i="82"/>
  <c r="K33" i="82" s="1"/>
  <c r="D17" i="85"/>
  <c r="D18" i="85"/>
  <c r="D16" i="85"/>
  <c r="C16" i="85"/>
  <c r="C18" i="85"/>
  <c r="G19" i="85"/>
  <c r="U81" i="79"/>
  <c r="U67" i="79"/>
  <c r="U68" i="79" s="1"/>
  <c r="V68" i="79" s="1"/>
  <c r="K18" i="82"/>
  <c r="H6" i="85" l="1"/>
  <c r="K12" i="88"/>
  <c r="E19" i="85"/>
  <c r="F17" i="85"/>
  <c r="F18" i="85"/>
  <c r="H18" i="85" s="1"/>
  <c r="D19" i="85"/>
  <c r="C19" i="85"/>
  <c r="H16" i="85"/>
  <c r="F19" i="85" l="1"/>
  <c r="H17" i="85"/>
  <c r="H19" i="85" s="1"/>
  <c r="T76" i="79" l="1"/>
  <c r="J28" i="82" s="1"/>
  <c r="P76" i="79"/>
  <c r="F28" i="82" s="1"/>
  <c r="Q76" i="79"/>
  <c r="G28" i="82" s="1"/>
  <c r="R76" i="79"/>
  <c r="H28" i="82" s="1"/>
  <c r="S76" i="79"/>
  <c r="I28" i="82" s="1"/>
  <c r="T75" i="79"/>
  <c r="J27" i="82" s="1"/>
  <c r="T74" i="79"/>
  <c r="J26" i="82" s="1"/>
  <c r="S75" i="79"/>
  <c r="I27" i="82" s="1"/>
  <c r="P75" i="79"/>
  <c r="F27" i="82" s="1"/>
  <c r="R75" i="79"/>
  <c r="H27" i="82" s="1"/>
  <c r="S74" i="79"/>
  <c r="I26" i="82" s="1"/>
  <c r="Q74" i="79"/>
  <c r="G26" i="82" s="1"/>
  <c r="R74" i="79"/>
  <c r="H26" i="82" s="1"/>
  <c r="P74" i="79"/>
  <c r="F26" i="82" s="1"/>
  <c r="Q75" i="79"/>
  <c r="G27" i="82" s="1"/>
  <c r="F29" i="82" l="1"/>
  <c r="J14" i="82"/>
  <c r="T77" i="79"/>
  <c r="T83" i="79" s="1"/>
  <c r="T84" i="79" s="1"/>
  <c r="F14" i="82"/>
  <c r="P77" i="79"/>
  <c r="P83" i="79" s="1"/>
  <c r="P84" i="79" s="1"/>
  <c r="H14" i="82"/>
  <c r="R77" i="79"/>
  <c r="R83" i="79" s="1"/>
  <c r="R84" i="79" s="1"/>
  <c r="G14" i="82"/>
  <c r="Q77" i="79"/>
  <c r="Q83" i="79" s="1"/>
  <c r="Q84" i="79" s="1"/>
  <c r="I14" i="82"/>
  <c r="S77" i="79"/>
  <c r="S83" i="79" s="1"/>
  <c r="S84" i="79" s="1"/>
  <c r="U76" i="79"/>
  <c r="U75" i="79"/>
  <c r="U74" i="79"/>
  <c r="F35" i="82" l="1"/>
  <c r="F20" i="82"/>
  <c r="J20" i="82"/>
  <c r="G20" i="82"/>
  <c r="H20" i="82"/>
  <c r="I20" i="82"/>
  <c r="H29" i="82"/>
  <c r="J29" i="82"/>
  <c r="I29" i="82"/>
  <c r="G29" i="82"/>
  <c r="U77" i="79"/>
  <c r="K11" i="82"/>
  <c r="K12" i="82"/>
  <c r="K13" i="82"/>
  <c r="U83" i="79"/>
  <c r="F16" i="88" l="1"/>
  <c r="J35" i="82"/>
  <c r="H35" i="82"/>
  <c r="I35" i="82"/>
  <c r="K11" i="88"/>
  <c r="G35" i="82"/>
  <c r="U84" i="79"/>
  <c r="V84" i="79" s="1"/>
  <c r="K14" i="82"/>
  <c r="K20" i="82" s="1"/>
  <c r="L20" i="82" s="1"/>
  <c r="K26" i="82" l="1"/>
  <c r="K27" i="82" l="1"/>
  <c r="K28" i="82" l="1"/>
  <c r="K29" i="82" l="1"/>
  <c r="K35" i="82" l="1"/>
  <c r="L35" i="8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<sst xmlns="http://schemas.openxmlformats.org/spreadsheetml/2006/main" count="545" uniqueCount="171">
  <si>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</si>
  <si>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</si>
  <si>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</si>
  <si>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</si>
  <si>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</si>
  <si>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</si>
  <si>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</si>
  <si>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</si>
  <si>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Total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</si>
  <si>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</si>
  <si>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</si>
  <si>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</si>
  <si>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</si>
  <si>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</si>
  <si>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</si>
  <si>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</si>
  <si>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</si>
  <si>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</si>
  <si>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</si>
  <si>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</si>
  <si>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</si>
  <si>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</si>
  <si>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</si>
  <si>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</si>
  <si>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</si>
  <si>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</si>
  <si>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</si>
  <si>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</si>
  <si>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</si>
  <si>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Powercor</t>
  </si>
  <si>
    <t>CitiPower</t>
  </si>
  <si>
    <t>United Energy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</si>
  <si>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</si>
  <si>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</si>
  <si>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</si>
  <si>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</si>
  <si>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</si>
  <si>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</si>
  <si>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$ 2018 (2021-26 reset)</t>
  </si>
  <si>
    <t>$ 2022/23</t>
  </si>
  <si>
    <t>$ 2023/24</t>
  </si>
  <si>
    <t>Description</t>
  </si>
  <si>
    <t>Capex /</t>
  </si>
  <si>
    <t>L / M / C</t>
  </si>
  <si>
    <t>Units</t>
  </si>
  <si>
    <t>Quantity of units</t>
  </si>
  <si>
    <t>Cost ($)</t>
  </si>
  <si>
    <t>Opex</t>
  </si>
  <si>
    <t>unit rate</t>
  </si>
  <si>
    <t xml:space="preserve">Procurement platform - Hosted Vendor Solution (1 x VPN license and 1 x UE license) </t>
  </si>
  <si>
    <t>Procurement Platform - Procurement, Requirements, High Level Design</t>
  </si>
  <si>
    <t>Capex</t>
  </si>
  <si>
    <t>Procurement Platform - Detailed Design and Implementation - Internal</t>
  </si>
  <si>
    <t>Procurement Platform - Detailed Design and Implementation - Vendor</t>
  </si>
  <si>
    <t>Procurement Platform - Systems and Data Integration</t>
  </si>
  <si>
    <t>Procurement Platform - Project Management</t>
  </si>
  <si>
    <t>Procurement Platform - IT Support</t>
  </si>
  <si>
    <t>Procurement Platform - Program Development</t>
  </si>
  <si>
    <t>Procurement Platform - Program Operation</t>
  </si>
  <si>
    <t>DRS Platform - On Prem Solution Perpetual License (Vendor) (500MW)</t>
  </si>
  <si>
    <t xml:space="preserve">DRS Platform - On Prem Solution Annual Support 25% (Vendor) </t>
  </si>
  <si>
    <t>DRS Platform - Procurement, Requirements, High Level Design</t>
  </si>
  <si>
    <t>DRS Platform -Detailed Design and Implementation -Internal</t>
  </si>
  <si>
    <t>DRS Platform -Detailed Design and Implementation - Vendor</t>
  </si>
  <si>
    <t>DRS Platform - Systems and Data Integration</t>
  </si>
  <si>
    <t>DRS Platform - IT Infrastructure</t>
  </si>
  <si>
    <t>DRS Platform - Project Management</t>
  </si>
  <si>
    <t>DRS Platform - IT Support</t>
  </si>
  <si>
    <t>Summary</t>
  </si>
  <si>
    <t>Capex &amp; Opex</t>
  </si>
  <si>
    <t>Check</t>
  </si>
  <si>
    <t>Summary for Regulation - for Business Case</t>
  </si>
  <si>
    <t>2026-27</t>
  </si>
  <si>
    <t>2027-28</t>
  </si>
  <si>
    <t>2028-29</t>
  </si>
  <si>
    <t>2029-30</t>
  </si>
  <si>
    <t>2030-31</t>
  </si>
  <si>
    <t>License fee - CP - 15%</t>
  </si>
  <si>
    <t>License fee - PAL - 35%</t>
  </si>
  <si>
    <t>License fee - UE - 50%</t>
  </si>
  <si>
    <t>2024-25</t>
  </si>
  <si>
    <t>2025-26</t>
  </si>
  <si>
    <t>Lagged conversion to Jun 26</t>
  </si>
  <si>
    <t>Allocations (%) for licence costs only</t>
  </si>
  <si>
    <t>Regulatory proposal 2026-31</t>
  </si>
  <si>
    <t>Model number:</t>
  </si>
  <si>
    <t>June 2026</t>
  </si>
  <si>
    <t>June 2023</t>
  </si>
  <si>
    <t>June 2024</t>
  </si>
  <si>
    <t>June 2025</t>
  </si>
  <si>
    <t xml:space="preserve">Establish Piclo Flex </t>
  </si>
  <si>
    <t xml:space="preserve">Maintain Service levels with Non-network platform </t>
  </si>
  <si>
    <t xml:space="preserve">Deferred augmentation due to non-network adoption </t>
  </si>
  <si>
    <t>The following assumptions were used in the modelling:</t>
  </si>
  <si>
    <t>Augex Deferral Benefit</t>
  </si>
  <si>
    <t>Establish conversion of tendered MW to contracted MW for Great Britain</t>
  </si>
  <si>
    <t>Flex initiation</t>
  </si>
  <si>
    <t>Year</t>
  </si>
  <si>
    <t>Contracted (MW)</t>
  </si>
  <si>
    <t>Tendered (MW)</t>
  </si>
  <si>
    <t>Conversion rate</t>
  </si>
  <si>
    <t>Year 1</t>
  </si>
  <si>
    <t>Year 2</t>
  </si>
  <si>
    <t>Year 3</t>
  </si>
  <si>
    <t>Year 4</t>
  </si>
  <si>
    <t>Year 5</t>
  </si>
  <si>
    <t>Year 6</t>
  </si>
  <si>
    <t>Year 7</t>
  </si>
  <si>
    <t># Reporting cycle moved from calendar year to regulatory year</t>
  </si>
  <si>
    <t>*As on date figure</t>
  </si>
  <si>
    <r>
      <t>Source:</t>
    </r>
    <r>
      <rPr>
        <sz val="11"/>
        <color theme="1"/>
        <rFont val="Calibri"/>
        <family val="2"/>
      </rPr>
      <t>¹</t>
    </r>
    <r>
      <rPr>
        <sz val="11"/>
        <color theme="1"/>
        <rFont val="Calibri"/>
        <family val="2"/>
        <scheme val="minor"/>
      </rPr>
      <t>4th July 2024, https://www.energynetworks.org/publications/open-networks-2024-flexibility-figures</t>
    </r>
  </si>
  <si>
    <t>² National Grid: Live, All time demand, https://grid.iamkate.com/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</si>
  <si>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</si>
  <si>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</si>
  <si>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</si>
  <si>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</si>
  <si>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</si>
  <si>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</si>
  <si>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</si>
  <si>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</si>
  <si>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</si>
  <si>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</si>
  <si>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Tender to Contracted Conversion</t>
  </si>
  <si>
    <t># years deferred</t>
  </si>
  <si>
    <t>Deferred augex</t>
  </si>
  <si>
    <t>Non-network platform</t>
  </si>
  <si>
    <t xml:space="preserve">Piclo Flex enables a reduction in augmentation based on an adoption of non-network solutions. The adoption rate of non-network solutions is informed by the take up observed by UK Power Networks. </t>
  </si>
  <si>
    <t>Base augmentation forecast</t>
  </si>
  <si>
    <t>Proportion of constraints deferred</t>
  </si>
  <si>
    <t>Number of years each deferred constraint is deferred for</t>
  </si>
  <si>
    <t>Deferral value (valued at the WACC)</t>
  </si>
  <si>
    <t>Annual augex deferral</t>
  </si>
  <si>
    <t>Post-deferral augex expenditure profile</t>
  </si>
  <si>
    <t>Non-network solution payment proportion of deferral value</t>
  </si>
  <si>
    <t>Non-network solution annual payment</t>
  </si>
  <si>
    <t>Cumulative augex deferred</t>
  </si>
  <si>
    <t>Financial transactions</t>
  </si>
  <si>
    <t>Net benefits</t>
  </si>
  <si>
    <t>Post-deferral augex profile</t>
  </si>
  <si>
    <t>Net annual augex deferred (after re-including deferred expenditure in later years)</t>
  </si>
  <si>
    <t>Annual net benefits of augex deferral</t>
  </si>
  <si>
    <t>Improve service level</t>
  </si>
  <si>
    <t>Values are in $June 2026 unless otherwise stated</t>
  </si>
  <si>
    <t>The benefit stream for our non-network platform is the value delivered to customers from the net deferral of augmentation in our customer electrification business case less the cost of fees to third-parties to support non-network service provision</t>
  </si>
  <si>
    <t>Tender to contracted conversion rates are informed by UK experiences, including slow initial market development and then roughly 10 per cent per annum increases following maturity</t>
  </si>
  <si>
    <t>The number of years that augex is deferred is assumed to increase year on year as market maturity scales up and non-network service providers become capable of guaranteeing available services over longer time periods</t>
  </si>
  <si>
    <t>The payment to non-network service providers is assumed to decrease over time as the market matures</t>
  </si>
  <si>
    <t xml:space="preserve">CitiPower tender position and take up. </t>
  </si>
  <si>
    <t>Opex (excl real price escalation)</t>
  </si>
  <si>
    <t>Opex (incl real price escalation) *</t>
  </si>
  <si>
    <t>Totex ($ June 2026)</t>
  </si>
  <si>
    <t xml:space="preserve">Unescalated direct OPEX costs </t>
  </si>
  <si>
    <t>Total license fee</t>
  </si>
  <si>
    <t>Unescalated direct OPEX costs</t>
  </si>
  <si>
    <t>Reallocate license fee</t>
  </si>
  <si>
    <t>Non-network solution cumulative payment</t>
  </si>
  <si>
    <r>
      <t xml:space="preserve">ENA Great Britain Flexibility experience </t>
    </r>
    <r>
      <rPr>
        <b/>
        <sz val="11"/>
        <color theme="1"/>
        <rFont val="Calibri"/>
        <family val="2"/>
      </rPr>
      <t>¹</t>
    </r>
  </si>
  <si>
    <t>Total Opex</t>
  </si>
  <si>
    <t>Escalation:</t>
  </si>
  <si>
    <t>Opex (incl real price escalation) **</t>
  </si>
  <si>
    <t>Totex</t>
  </si>
  <si>
    <t>($ June 2026)</t>
  </si>
  <si>
    <t>* refer to CP MOD 8.03 - Opex step changes - Jan2025 - Public for the Real price escalation</t>
  </si>
  <si>
    <t>** refer to CP MOD 8.03 - Opex step changes - Jan 2025</t>
  </si>
  <si>
    <t>CP, PAL &amp; UE</t>
  </si>
  <si>
    <t>Maintain status quo</t>
  </si>
  <si>
    <t>Invest in a non-network marketplace</t>
  </si>
  <si>
    <t>PV</t>
  </si>
  <si>
    <t>CitiPower NPV summary</t>
  </si>
  <si>
    <t>PV costs</t>
  </si>
  <si>
    <t>PV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</si>
</sst>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  <numFmt numFmtId="174" formatCode="#,##0;\(#,##0\);\-"/>
    <numFmt numFmtId="175" formatCode="_-&quot;$&quot;* #,##0_-;\-&quot;$&quot;* #,##0_-;_-&quot;$&quot;* &quot;-&quot;??_-;_-@_-"/>
    <numFmt numFmtId="176" formatCode="0.00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color theme="1" tint="0.499984740745262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theme="0"/>
      </top>
      <bottom style="thin">
        <color indexed="64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</borders>
  <cellStyleXfs count="36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172" fontId="42" fillId="0" borderId="0">
      <alignment horizontal="center" vertical="center"/>
    </xf>
    <xf numFmtId="9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0" fontId="57" fillId="10" borderId="0" applyNumberFormat="0" applyBorder="0" applyAlignment="0" applyProtection="0"/>
  </cellStyleXfs>
  <cellXfs count="199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7" fillId="0" borderId="0" xfId="13" applyFont="1" applyAlignment="1">
      <alignment horizontal="left" vertical="center"/>
    </xf>
    <xf numFmtId="1" fontId="28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9" fillId="6" borderId="0" xfId="0" applyFont="1" applyFill="1"/>
    <xf numFmtId="167" fontId="30" fillId="6" borderId="0" xfId="0" applyNumberFormat="1" applyFont="1" applyFill="1"/>
    <xf numFmtId="0" fontId="34" fillId="5" borderId="0" xfId="14" applyFont="1" applyFill="1"/>
    <xf numFmtId="0" fontId="35" fillId="0" borderId="0" xfId="0" applyFont="1"/>
    <xf numFmtId="0" fontId="36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6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7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5" fillId="0" borderId="0" xfId="0" applyFont="1" applyAlignment="1">
      <alignment horizontal="right"/>
    </xf>
    <xf numFmtId="171" fontId="33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7" fillId="0" borderId="2" xfId="0" applyFont="1" applyBorder="1"/>
    <xf numFmtId="0" fontId="12" fillId="0" borderId="2" xfId="0" applyFont="1" applyBorder="1" applyAlignment="1">
      <alignment horizontal="center"/>
    </xf>
    <xf numFmtId="0" fontId="37" fillId="0" borderId="0" xfId="0" applyFont="1"/>
    <xf numFmtId="0" fontId="13" fillId="0" borderId="0" xfId="0" applyFont="1" applyAlignment="1">
      <alignment horizontal="center"/>
    </xf>
    <xf numFmtId="10" fontId="31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8" fillId="0" borderId="3" xfId="0" applyFont="1" applyBorder="1"/>
    <xf numFmtId="10" fontId="31" fillId="2" borderId="1" xfId="26" applyNumberFormat="1" applyFont="1" applyFill="1" applyBorder="1" applyProtection="1">
      <protection locked="0"/>
    </xf>
    <xf numFmtId="10" fontId="31" fillId="2" borderId="1" xfId="26" applyNumberFormat="1" applyFont="1" applyFill="1" applyBorder="1" applyAlignment="1" applyProtection="1">
      <alignment horizontal="right"/>
      <protection locked="0"/>
    </xf>
    <xf numFmtId="1" fontId="31" fillId="2" borderId="1" xfId="26" applyNumberFormat="1" applyFont="1" applyFill="1" applyBorder="1" applyAlignment="1" applyProtection="1">
      <alignment horizontal="right"/>
      <protection locked="0"/>
    </xf>
    <xf numFmtId="0" fontId="33" fillId="2" borderId="7" xfId="0" applyFont="1" applyFill="1" applyBorder="1" applyAlignment="1" applyProtection="1">
      <alignment vertical="center"/>
      <protection locked="0"/>
    </xf>
    <xf numFmtId="0" fontId="33" fillId="2" borderId="6" xfId="0" applyFont="1" applyFill="1" applyBorder="1" applyAlignment="1" applyProtection="1">
      <alignment vertical="center"/>
      <protection locked="0"/>
    </xf>
    <xf numFmtId="0" fontId="33" fillId="2" borderId="5" xfId="0" applyFont="1" applyFill="1" applyBorder="1" applyAlignment="1" applyProtection="1">
      <alignment vertical="center"/>
      <protection locked="0"/>
    </xf>
    <xf numFmtId="168" fontId="33" fillId="2" borderId="1" xfId="0" applyNumberFormat="1" applyFont="1" applyFill="1" applyBorder="1" applyAlignment="1" applyProtection="1">
      <alignment horizontal="right" vertical="top"/>
      <protection locked="0"/>
    </xf>
    <xf numFmtId="0" fontId="40" fillId="0" borderId="0" xfId="0" applyFont="1" applyAlignment="1">
      <alignment horizontal="left"/>
    </xf>
    <xf numFmtId="10" fontId="31" fillId="2" borderId="13" xfId="26" applyNumberFormat="1" applyFont="1" applyFill="1" applyBorder="1" applyProtection="1">
      <protection locked="0"/>
    </xf>
    <xf numFmtId="10" fontId="31" fillId="2" borderId="2" xfId="26" applyNumberFormat="1" applyFont="1" applyFill="1" applyBorder="1" applyProtection="1">
      <protection locked="0"/>
    </xf>
    <xf numFmtId="10" fontId="31" fillId="2" borderId="12" xfId="26" applyNumberFormat="1" applyFont="1" applyFill="1" applyBorder="1" applyProtection="1">
      <protection locked="0"/>
    </xf>
    <xf numFmtId="10" fontId="31" fillId="2" borderId="6" xfId="26" applyNumberFormat="1" applyFont="1" applyFill="1" applyBorder="1" applyProtection="1">
      <protection locked="0"/>
    </xf>
    <xf numFmtId="10" fontId="31" fillId="2" borderId="5" xfId="26" applyNumberFormat="1" applyFont="1" applyFill="1" applyBorder="1" applyProtection="1">
      <protection locked="0"/>
    </xf>
    <xf numFmtId="10" fontId="31" fillId="2" borderId="7" xfId="26" applyNumberFormat="1" applyFont="1" applyFill="1" applyBorder="1" applyProtection="1">
      <protection locked="0"/>
    </xf>
    <xf numFmtId="10" fontId="31" fillId="0" borderId="0" xfId="26" applyNumberFormat="1" applyFont="1" applyFill="1" applyBorder="1" applyProtection="1">
      <protection locked="0"/>
    </xf>
    <xf numFmtId="9" fontId="31" fillId="2" borderId="1" xfId="26" applyFont="1" applyFill="1" applyBorder="1" applyProtection="1">
      <protection locked="0"/>
    </xf>
    <xf numFmtId="9" fontId="31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8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7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3" fillId="0" borderId="0" xfId="0" applyFont="1"/>
    <xf numFmtId="0" fontId="36" fillId="0" borderId="5" xfId="0" applyFont="1" applyBorder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44" fillId="0" borderId="5" xfId="0" applyFont="1" applyBorder="1"/>
    <xf numFmtId="0" fontId="45" fillId="0" borderId="0" xfId="0" applyFont="1"/>
    <xf numFmtId="0" fontId="28" fillId="0" borderId="2" xfId="0" applyFont="1" applyBorder="1" applyAlignment="1">
      <alignment horizontal="left"/>
    </xf>
    <xf numFmtId="0" fontId="39" fillId="0" borderId="2" xfId="0" applyFont="1" applyBorder="1"/>
    <xf numFmtId="0" fontId="46" fillId="0" borderId="2" xfId="0" applyFont="1" applyBorder="1"/>
    <xf numFmtId="0" fontId="28" fillId="0" borderId="2" xfId="0" applyFont="1" applyBorder="1" applyAlignment="1">
      <alignment horizontal="right"/>
    </xf>
    <xf numFmtId="169" fontId="28" fillId="0" borderId="2" xfId="0" applyNumberFormat="1" applyFont="1" applyBorder="1" applyAlignment="1">
      <alignment horizontal="right"/>
    </xf>
    <xf numFmtId="10" fontId="28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7" fillId="0" borderId="0" xfId="33" applyFont="1"/>
    <xf numFmtId="0" fontId="48" fillId="0" borderId="0" xfId="33" applyFont="1"/>
    <xf numFmtId="0" fontId="49" fillId="0" borderId="0" xfId="33" applyFont="1"/>
    <xf numFmtId="0" fontId="50" fillId="0" borderId="0" xfId="33" applyFont="1"/>
    <xf numFmtId="0" fontId="51" fillId="0" borderId="0" xfId="33" applyFont="1"/>
    <xf numFmtId="0" fontId="52" fillId="0" borderId="0" xfId="33" applyFont="1"/>
    <xf numFmtId="173" fontId="53" fillId="0" borderId="0" xfId="33" applyNumberFormat="1" applyFont="1" applyAlignment="1">
      <alignment horizontal="left"/>
    </xf>
    <xf numFmtId="0" fontId="54" fillId="0" borderId="0" xfId="33" applyFont="1"/>
    <xf numFmtId="0" fontId="55" fillId="0" borderId="5" xfId="0" applyFont="1" applyBorder="1"/>
    <xf numFmtId="2" fontId="51" fillId="0" borderId="0" xfId="33" applyNumberFormat="1" applyFont="1" applyAlignment="1">
      <alignment horizontal="left"/>
    </xf>
    <xf numFmtId="49" fontId="23" fillId="0" borderId="0" xfId="0" applyNumberFormat="1" applyFont="1" applyAlignment="1">
      <alignment horizontal="right"/>
    </xf>
    <xf numFmtId="0" fontId="16" fillId="3" borderId="0" xfId="6" applyFont="1" applyFill="1"/>
    <xf numFmtId="0" fontId="59" fillId="3" borderId="0" xfId="6" applyFont="1" applyFill="1"/>
    <xf numFmtId="0" fontId="15" fillId="3" borderId="0" xfId="6" applyFont="1" applyFill="1"/>
    <xf numFmtId="0" fontId="56" fillId="3" borderId="0" xfId="0" applyFont="1" applyFill="1"/>
    <xf numFmtId="0" fontId="14" fillId="3" borderId="0" xfId="35" applyFont="1" applyFill="1"/>
    <xf numFmtId="0" fontId="0" fillId="0" borderId="0" xfId="0" applyAlignment="1">
      <alignment horizontal="center" vertical="top"/>
    </xf>
    <xf numFmtId="0" fontId="0" fillId="5" borderId="17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right"/>
    </xf>
    <xf numFmtId="1" fontId="0" fillId="5" borderId="17" xfId="0" applyNumberFormat="1" applyFill="1" applyBorder="1"/>
    <xf numFmtId="9" fontId="0" fillId="11" borderId="17" xfId="26" applyFont="1" applyFill="1" applyBorder="1" applyAlignment="1">
      <alignment horizontal="center" vertical="center"/>
    </xf>
    <xf numFmtId="0" fontId="61" fillId="5" borderId="0" xfId="0" applyFont="1" applyFill="1"/>
    <xf numFmtId="0" fontId="0" fillId="5" borderId="0" xfId="0" applyFill="1"/>
    <xf numFmtId="0" fontId="61" fillId="5" borderId="0" xfId="0" applyFont="1" applyFill="1" applyAlignment="1">
      <alignment horizontal="left"/>
    </xf>
    <xf numFmtId="0" fontId="58" fillId="0" borderId="0" xfId="0" applyFont="1"/>
    <xf numFmtId="0" fontId="55" fillId="0" borderId="3" xfId="0" applyFont="1" applyBorder="1" applyAlignment="1">
      <alignment horizontal="right"/>
    </xf>
    <xf numFmtId="0" fontId="55" fillId="0" borderId="0" xfId="0" applyFont="1"/>
    <xf numFmtId="1" fontId="55" fillId="5" borderId="0" xfId="0" applyNumberFormat="1" applyFont="1" applyFill="1"/>
    <xf numFmtId="174" fontId="55" fillId="0" borderId="0" xfId="0" applyNumberFormat="1" applyFont="1"/>
    <xf numFmtId="0" fontId="61" fillId="0" borderId="0" xfId="0" applyFont="1"/>
    <xf numFmtId="9" fontId="61" fillId="0" borderId="0" xfId="0" applyNumberFormat="1" applyFont="1"/>
    <xf numFmtId="9" fontId="55" fillId="0" borderId="0" xfId="26" applyFont="1"/>
    <xf numFmtId="1" fontId="61" fillId="0" borderId="0" xfId="0" applyNumberFormat="1" applyFont="1"/>
    <xf numFmtId="9" fontId="55" fillId="0" borderId="0" xfId="0" applyNumberFormat="1" applyFont="1"/>
    <xf numFmtId="175" fontId="55" fillId="0" borderId="0" xfId="32" applyNumberFormat="1" applyFont="1"/>
    <xf numFmtId="6" fontId="55" fillId="0" borderId="0" xfId="0" applyNumberFormat="1" applyFont="1"/>
    <xf numFmtId="175" fontId="0" fillId="0" borderId="0" xfId="0" applyNumberFormat="1"/>
    <xf numFmtId="44" fontId="0" fillId="0" borderId="0" xfId="0" applyNumberFormat="1"/>
    <xf numFmtId="0" fontId="13" fillId="4" borderId="12" xfId="0" applyFont="1" applyFill="1" applyBorder="1" applyAlignment="1">
      <alignment vertical="center"/>
    </xf>
    <xf numFmtId="0" fontId="13" fillId="4" borderId="18" xfId="0" applyFont="1" applyFill="1" applyBorder="1" applyAlignment="1">
      <alignment vertical="center"/>
    </xf>
    <xf numFmtId="0" fontId="12" fillId="0" borderId="18" xfId="0" applyFont="1" applyBorder="1"/>
    <xf numFmtId="175" fontId="55" fillId="0" borderId="0" xfId="0" applyNumberFormat="1" applyFont="1"/>
    <xf numFmtId="176" fontId="55" fillId="0" borderId="0" xfId="26" applyNumberFormat="1" applyFont="1"/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13" fillId="0" borderId="1" xfId="0" applyFont="1" applyBorder="1" applyProtection="1">
      <protection locked="0"/>
    </xf>
    <xf numFmtId="0" fontId="62" fillId="0" borderId="0" xfId="0" applyFont="1"/>
    <xf numFmtId="0" fontId="16" fillId="0" borderId="0" xfId="0" applyFont="1"/>
    <xf numFmtId="0" fontId="39" fillId="0" borderId="15" xfId="28" applyFont="1" applyBorder="1" applyAlignment="1" applyProtection="1">
      <alignment horizontal="center"/>
      <protection locked="0"/>
    </xf>
    <xf numFmtId="0" fontId="39" fillId="0" borderId="20" xfId="28" applyFont="1" applyBorder="1" applyAlignment="1" applyProtection="1">
      <alignment horizontal="center"/>
      <protection locked="0"/>
    </xf>
    <xf numFmtId="0" fontId="40" fillId="0" borderId="19" xfId="28" applyFont="1" applyBorder="1" applyAlignment="1">
      <alignment vertical="center"/>
    </xf>
    <xf numFmtId="0" fontId="40" fillId="0" borderId="21" xfId="28" applyFont="1" applyBorder="1" applyAlignment="1" applyProtection="1">
      <alignment horizontal="center"/>
      <protection locked="0"/>
    </xf>
    <xf numFmtId="0" fontId="40" fillId="0" borderId="22" xfId="28" applyFont="1" applyBorder="1" applyAlignment="1">
      <alignment vertical="center"/>
    </xf>
    <xf numFmtId="175" fontId="13" fillId="0" borderId="21" xfId="32" applyNumberFormat="1" applyFont="1" applyFill="1" applyBorder="1" applyAlignment="1" applyProtection="1">
      <alignment horizontal="center"/>
      <protection locked="0"/>
    </xf>
    <xf numFmtId="175" fontId="13" fillId="0" borderId="24" xfId="32" applyNumberFormat="1" applyFont="1" applyFill="1" applyBorder="1" applyAlignment="1" applyProtection="1">
      <alignment horizontal="center"/>
      <protection locked="0"/>
    </xf>
    <xf numFmtId="175" fontId="13" fillId="0" borderId="23" xfId="32" applyNumberFormat="1" applyFont="1" applyFill="1" applyBorder="1" applyAlignment="1" applyProtection="1">
      <alignment horizontal="center"/>
      <protection locked="0"/>
    </xf>
    <xf numFmtId="0" fontId="40" fillId="0" borderId="16" xfId="28" applyFont="1" applyBorder="1" applyAlignment="1" applyProtection="1">
      <alignment horizontal="center"/>
      <protection locked="0"/>
    </xf>
    <xf numFmtId="175" fontId="13" fillId="0" borderId="16" xfId="32" applyNumberFormat="1" applyFont="1" applyFill="1" applyBorder="1" applyAlignment="1" applyProtection="1">
      <alignment horizontal="center"/>
      <protection locked="0"/>
    </xf>
    <xf numFmtId="175" fontId="13" fillId="0" borderId="26" xfId="32" applyNumberFormat="1" applyFont="1" applyFill="1" applyBorder="1" applyAlignment="1" applyProtection="1">
      <alignment horizontal="center"/>
      <protection locked="0"/>
    </xf>
    <xf numFmtId="175" fontId="13" fillId="0" borderId="25" xfId="32" applyNumberFormat="1" applyFont="1" applyFill="1" applyBorder="1" applyAlignment="1" applyProtection="1">
      <alignment horizontal="center"/>
      <protection locked="0"/>
    </xf>
    <xf numFmtId="174" fontId="55" fillId="2" borderId="0" xfId="0" applyNumberFormat="1" applyFont="1" applyFill="1"/>
    <xf numFmtId="9" fontId="61" fillId="2" borderId="0" xfId="0" applyNumberFormat="1" applyFont="1" applyFill="1"/>
    <xf numFmtId="9" fontId="55" fillId="2" borderId="0" xfId="26" applyFont="1" applyFill="1"/>
    <xf numFmtId="1" fontId="61" fillId="2" borderId="0" xfId="0" applyNumberFormat="1" applyFont="1" applyFill="1"/>
    <xf numFmtId="175" fontId="63" fillId="0" borderId="0" xfId="32" applyNumberFormat="1" applyFont="1" applyFill="1"/>
    <xf numFmtId="10" fontId="31" fillId="2" borderId="1" xfId="26" applyNumberFormat="1" applyFont="1" applyFill="1" applyBorder="1" applyAlignment="1">
      <alignment horizontal="right"/>
    </xf>
    <xf numFmtId="8" fontId="33" fillId="2" borderId="1" xfId="0" applyNumberFormat="1" applyFont="1" applyFill="1" applyBorder="1" applyAlignment="1">
      <alignment horizontal="right"/>
    </xf>
    <xf numFmtId="49" fontId="31" fillId="0" borderId="0" xfId="26" applyNumberFormat="1" applyFont="1" applyFill="1" applyAlignment="1">
      <alignment horizontal="right"/>
    </xf>
    <xf numFmtId="7" fontId="31" fillId="0" borderId="0" xfId="26" applyNumberFormat="1" applyFont="1" applyFill="1" applyAlignment="1">
      <alignment horizontal="right"/>
    </xf>
    <xf numFmtId="6" fontId="55" fillId="0" borderId="5" xfId="0" applyNumberFormat="1" applyFont="1" applyBorder="1"/>
    <xf numFmtId="0" fontId="0" fillId="0" borderId="0" xfId="0" applyAlignment="1">
      <alignment horizontal="left" vertical="top" wrapText="1"/>
    </xf>
    <xf numFmtId="166" fontId="12" fillId="0" borderId="0" xfId="0" applyNumberFormat="1" applyFont="1"/>
    <xf numFmtId="8" fontId="12" fillId="0" borderId="0" xfId="0" applyNumberFormat="1" applyFont="1"/>
  </cellXfs>
  <cellStyles count="36">
    <cellStyle name="Accent1" xfId="35" builtinId="29"/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38821C44-AF1E-4FF6-A372-5FF81E930ED9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FCAD2781-6C6E-43BD-A9D5-4219CA35499A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16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Flexibility Services in GB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400" b="0" i="0" baseline="0">
                <a:effectLst/>
              </a:rPr>
              <a:t>(Tendered and Contracted Services for delivery in the reporting year)</a:t>
            </a:r>
            <a:endParaRPr lang="en-GB" sz="1100">
              <a:effectLst/>
            </a:endParaRPr>
          </a:p>
        </c:rich>
      </c:tx>
      <c:layout>
        <c:manualLayout>
          <c:xMode val="edge"/>
          <c:yMode val="edge"/>
          <c:x val="0.14033641512721329"/>
          <c:y val="2.9649646816091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Contracted (MW)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'Piclo Benefits'!$C$43:$C$49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Lit>
              <c:formatCode>General</c:formatCode>
              <c:ptCount val="7"/>
              <c:pt idx="0">
                <c:v>116.1</c:v>
              </c:pt>
              <c:pt idx="1">
                <c:v>256.14999999999998</c:v>
              </c:pt>
              <c:pt idx="2">
                <c:v>1165.547</c:v>
              </c:pt>
              <c:pt idx="3">
                <c:v>1869.01</c:v>
              </c:pt>
              <c:pt idx="4">
                <c:v>2349</c:v>
              </c:pt>
              <c:pt idx="5">
                <c:v>3236.64</c:v>
              </c:pt>
              <c:pt idx="6">
                <c:v>3992</c:v>
              </c:pt>
            </c:numLit>
          </c:val>
          <c:extLst>
            <c:ext xmlns:c16="http://schemas.microsoft.com/office/drawing/2014/chart" uri="{C3380CC4-5D6E-409C-BE32-E72D297353CC}">
              <c16:uniqueId val="{00000000-656F-4E9A-9039-D9BAEF1AE93B}"/>
            </c:ext>
          </c:extLst>
        </c:ser>
        <c:ser>
          <c:idx val="1"/>
          <c:order val="1"/>
          <c:tx>
            <c:v>Tendered (MW)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'Piclo Benefits'!$C$43:$C$49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Lit>
              <c:formatCode>General</c:formatCode>
              <c:ptCount val="7"/>
              <c:pt idx="0">
                <c:v>0</c:v>
              </c:pt>
              <c:pt idx="1">
                <c:v>1306.3491215751517</c:v>
              </c:pt>
              <c:pt idx="2">
                <c:v>2064.52</c:v>
              </c:pt>
              <c:pt idx="3">
                <c:v>3259.54</c:v>
              </c:pt>
              <c:pt idx="4">
                <c:v>4628.26</c:v>
              </c:pt>
              <c:pt idx="5">
                <c:v>6441</c:v>
              </c:pt>
              <c:pt idx="6">
                <c:v>5150.67</c:v>
              </c:pt>
            </c:numLit>
          </c:val>
          <c:extLst>
            <c:ext xmlns:c16="http://schemas.microsoft.com/office/drawing/2014/chart" uri="{C3380CC4-5D6E-409C-BE32-E72D297353CC}">
              <c16:uniqueId val="{00000001-656F-4E9A-9039-D9BAEF1A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203215"/>
        <c:axId val="503203631"/>
      </c:barChart>
      <c:catAx>
        <c:axId val="50320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03631"/>
        <c:crosses val="autoZero"/>
        <c:auto val="1"/>
        <c:lblAlgn val="ctr"/>
        <c:lblOffset val="100"/>
        <c:noMultiLvlLbl val="0"/>
      </c:catAx>
      <c:valAx>
        <c:axId val="50320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 MW of flexibility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03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Flex tender</a:t>
            </a:r>
            <a:r>
              <a:rPr lang="en-US" b="1" baseline="0"/>
              <a:t> to contract conversion ratio in GB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'Piclo Benefits'!$F$42</c:f>
              <c:strCache>
                <c:ptCount val="1"/>
                <c:pt idx="0">
                  <c:v>Conversion rate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'Piclo Benefits'!$C$43:$C$49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'Piclo Benefits'!$F$43:$F$49</c:f>
              <c:numCache>
                <c:formatCode>0%</c:formatCode>
                <c:ptCount val="7"/>
                <c:pt idx="0">
                  <c:v>0</c:v>
                </c:pt>
                <c:pt idx="1">
                  <c:v>0.19608081466854968</c:v>
                </c:pt>
                <c:pt idx="2">
                  <c:v>0.56456076957355705</c:v>
                </c:pt>
                <c:pt idx="3">
                  <c:v>0.57339685967958665</c:v>
                </c:pt>
                <c:pt idx="4">
                  <c:v>0.50753414890261128</c:v>
                </c:pt>
                <c:pt idx="5">
                  <c:v>0.5025058220773172</c:v>
                </c:pt>
                <c:pt idx="6">
                  <c:v>0.77504479999689357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4F0-4FDB-B67B-7053A326D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304608"/>
        <c:axId val="1995525712"/>
      </c:lineChart>
      <c:catAx>
        <c:axId val="189730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525712"/>
        <c:crosses val="autoZero"/>
        <c:auto val="1"/>
        <c:lblAlgn val="ctr"/>
        <c:lblOffset val="100"/>
        <c:tickMarkSkip val="1"/>
        <c:noMultiLvlLbl val="0"/>
      </c:catAx>
      <c:valAx>
        <c:axId val="199552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30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Annual Augex deferred through</a:t>
            </a:r>
            <a:r>
              <a:rPr lang="en-US" b="1" baseline="0"/>
              <a:t> Flex</a:t>
            </a:r>
            <a:r>
              <a:rPr lang="en-US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'Piclo Benefits'!$B$71</c:f>
              <c:strCache>
                <c:ptCount val="1"/>
                <c:pt idx="0">
                  <c:v>Annual augex deferral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</c:numLit>
          </c:xVal>
          <c:yVal>
            <c:numRef>
              <c:f>'Piclo Benefits'!$C$71:$S$71</c:f>
              <c:numCache>
                <c:formatCode>0%</c:formatCode>
                <c:ptCount val="17"/>
                <c:pt idx="2" formatCode="_-&quot;$&quot;* #,##0_-;\-&quot;$&quot;* #,##0_-;_-&quot;$&quot;* &quot;-&quot;??_-;_-@_-">
                  <c:v>0</c:v>
                </c:pt>
                <c:pt idx="3" formatCode="_-&quot;$&quot;* #,##0_-;\-&quot;$&quot;* #,##0_-;_-&quot;$&quot;* &quot;-&quot;??_-;_-@_-">
                  <c:v>10086.341040000001</c:v>
                </c:pt>
                <c:pt idx="4" formatCode="_-&quot;$&quot;* #,##0_-;\-&quot;$&quot;* #,##0_-;_-&quot;$&quot;* &quot;-&quot;??_-;_-@_-">
                  <c:v>113891.60091000004</c:v>
                </c:pt>
                <c:pt idx="5" formatCode="_-&quot;$&quot;* #,##0_-;\-&quot;$&quot;* #,##0_-;_-&quot;$&quot;* &quot;-&quot;??_-;_-@_-">
                  <c:v>205509.19869000011</c:v>
                </c:pt>
                <c:pt idx="6" formatCode="_-&quot;$&quot;* #,##0_-;\-&quot;$&quot;* #,##0_-;_-&quot;$&quot;* &quot;-&quot;??_-;_-@_-">
                  <c:v>328646.61222000053</c:v>
                </c:pt>
                <c:pt idx="7" formatCode="_-&quot;$&quot;* #,##0_-;\-&quot;$&quot;* #,##0_-;_-&quot;$&quot;* &quot;-&quot;??_-;_-@_-">
                  <c:v>234822.62733749996</c:v>
                </c:pt>
                <c:pt idx="8" formatCode="_-&quot;$&quot;* #,##0_-;\-&quot;$&quot;* #,##0_-;_-&quot;$&quot;* &quot;-&quot;??_-;_-@_-">
                  <c:v>452834.68627499999</c:v>
                </c:pt>
                <c:pt idx="9" formatCode="_-&quot;$&quot;* #,##0_-;\-&quot;$&quot;* #,##0_-;_-&quot;$&quot;* &quot;-&quot;??_-;_-@_-">
                  <c:v>935087.86725000001</c:v>
                </c:pt>
                <c:pt idx="10" formatCode="_-&quot;$&quot;* #,##0_-;\-&quot;$&quot;* #,##0_-;_-&quot;$&quot;* &quot;-&quot;??_-;_-@_-">
                  <c:v>1604358.6216750003</c:v>
                </c:pt>
                <c:pt idx="11" formatCode="_-&quot;$&quot;* #,##0_-;\-&quot;$&quot;* #,##0_-;_-&quot;$&quot;* &quot;-&quot;??_-;_-@_-">
                  <c:v>1924810.0818</c:v>
                </c:pt>
                <c:pt idx="12" formatCode="_-&quot;$&quot;* #,##0_-;\-&quot;$&quot;* #,##0_-;_-&quot;$&quot;* &quot;-&quot;??_-;_-@_-">
                  <c:v>2406012.60225</c:v>
                </c:pt>
                <c:pt idx="13" formatCode="_-&quot;$&quot;* #,##0_-;\-&quot;$&quot;* #,##0_-;_-&quot;$&quot;* &quot;-&quot;??_-;_-@_-">
                  <c:v>2887215.1226999997</c:v>
                </c:pt>
                <c:pt idx="14" formatCode="_-&quot;$&quot;* #,##0_-;\-&quot;$&quot;* #,##0_-;_-&quot;$&quot;* &quot;-&quot;??_-;_-@_-">
                  <c:v>3368417.6431499999</c:v>
                </c:pt>
                <c:pt idx="15" formatCode="_-&quot;$&quot;* #,##0_-;\-&quot;$&quot;* #,##0_-;_-&quot;$&quot;* &quot;-&quot;??_-;_-@_-">
                  <c:v>3849620.1636000001</c:v>
                </c:pt>
                <c:pt idx="16" formatCode="_-&quot;$&quot;* #,##0_-;\-&quot;$&quot;* #,##0_-;_-&quot;$&quot;* &quot;-&quot;??_-;_-@_-">
                  <c:v>3849620.1636000001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55-4E8E-B0CC-36352A937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266192"/>
        <c:axId val="1889453952"/>
      </c:scatterChart>
      <c:valAx>
        <c:axId val="2025266192"/>
        <c:scaling>
          <c:orientation val="minMax"/>
          <c:max val="2040"/>
          <c:min val="20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453952"/>
        <c:crosses val="autoZero"/>
        <c:crossBetween val="midCat"/>
      </c:valAx>
      <c:valAx>
        <c:axId val="18894539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266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Flex tender to contract conversion ratio in PC</a:t>
            </a:r>
          </a:p>
        </c:rich>
      </c:tx>
      <c:layout>
        <c:manualLayout>
          <c:xMode val="edge"/>
          <c:yMode val="edge"/>
          <c:x val="0.1410175768845221"/>
          <c:y val="5.5478502080443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'Piclo Benefits'!$B$65</c:f>
              <c:strCache>
                <c:ptCount val="1"/>
                <c:pt idx="0">
                  <c:v>Tender to Contracted Conversion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</c:numLit>
          </c:xVal>
          <c:yVal>
            <c:numRef>
              <c:f>'Piclo Benefits'!$C$65:$S$65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0.4</c:v>
                </c:pt>
                <c:pt idx="12">
                  <c:v>0.5</c:v>
                </c:pt>
                <c:pt idx="13">
                  <c:v>0.6</c:v>
                </c:pt>
                <c:pt idx="14">
                  <c:v>0.7</c:v>
                </c:pt>
                <c:pt idx="15">
                  <c:v>0.8</c:v>
                </c:pt>
                <c:pt idx="16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D6-45F1-BEC0-F83530388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170064"/>
        <c:axId val="1992823088"/>
      </c:scatterChart>
      <c:valAx>
        <c:axId val="544170064"/>
        <c:scaling>
          <c:orientation val="minMax"/>
          <c:max val="2040"/>
          <c:min val="20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823088"/>
        <c:crosses val="autoZero"/>
        <c:crossBetween val="midCat"/>
      </c:valAx>
      <c:valAx>
        <c:axId val="199282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170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Cumulative Augex deferred through</a:t>
            </a:r>
            <a:r>
              <a:rPr lang="en-US" b="1" baseline="0"/>
              <a:t> Flex</a:t>
            </a:r>
            <a:r>
              <a:rPr lang="en-US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'Piclo Benefits'!$B$79</c:f>
              <c:strCache>
                <c:ptCount val="1"/>
                <c:pt idx="0">
                  <c:v>Cumulative augex deferred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</c:numLit>
          </c:xVal>
          <c:yVal>
            <c:numRef>
              <c:f>'Piclo Benefits'!$C$79:$S$79</c:f>
              <c:numCache>
                <c:formatCode>_-"$"* #,##0_-;\-"$"* #,##0_-;_-"$"* "-"??_-;_-@_-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10086.34103999997</c:v>
                </c:pt>
                <c:pt idx="4">
                  <c:v>113891.60090999922</c:v>
                </c:pt>
                <c:pt idx="5">
                  <c:v>319400.79959999921</c:v>
                </c:pt>
                <c:pt idx="6">
                  <c:v>534155.81090999919</c:v>
                </c:pt>
                <c:pt idx="7">
                  <c:v>563469.23955749872</c:v>
                </c:pt>
                <c:pt idx="8">
                  <c:v>1016303.9258324985</c:v>
                </c:pt>
                <c:pt idx="9">
                  <c:v>1622745.180862498</c:v>
                </c:pt>
                <c:pt idx="10">
                  <c:v>2992281.1751999985</c:v>
                </c:pt>
                <c:pt idx="11">
                  <c:v>4917091.2569999984</c:v>
                </c:pt>
                <c:pt idx="12">
                  <c:v>6870269.1729749981</c:v>
                </c:pt>
                <c:pt idx="13">
                  <c:v>8822396.4284249973</c:v>
                </c:pt>
                <c:pt idx="14">
                  <c:v>12190814.071574997</c:v>
                </c:pt>
                <c:pt idx="15">
                  <c:v>16040434.235174997</c:v>
                </c:pt>
                <c:pt idx="16">
                  <c:v>19890054.398774996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EE-496E-8663-6EED4977CC0A}"/>
            </c:ext>
          </c:extLst>
        </c:ser>
        <c:ser>
          <c:idx val="1"/>
          <c:order val="1"/>
          <c:tx>
            <c:strRef>
              <c:f>'Piclo Benefits'!$B$62</c:f>
              <c:strCache>
                <c:ptCount val="1"/>
                <c:pt idx="0">
                  <c:v>Improve service level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8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</c:numLit>
          </c:xVal>
          <c:yVal>
            <c:numRef>
              <c:f>'Piclo Benefits'!$C$62:$S$62</c:f>
              <c:numCache>
                <c:formatCode>0</c:formatCode>
                <c:ptCount val="17"/>
                <c:pt idx="2" formatCode="#,##0;\(#,##0\);\-">
                  <c:v>168105.68400000001</c:v>
                </c:pt>
                <c:pt idx="3" formatCode="#,##0;\(#,##0\);\-">
                  <c:v>1008634.1040000001</c:v>
                </c:pt>
                <c:pt idx="4" formatCode="#,##0;\(#,##0\);\-">
                  <c:v>5694580.0455000019</c:v>
                </c:pt>
                <c:pt idx="5" formatCode="#,##0;\(#,##0\);\-">
                  <c:v>6850306.6230000034</c:v>
                </c:pt>
                <c:pt idx="6" formatCode="#,##0;\(#,##0\);\-">
                  <c:v>8216165.3055000138</c:v>
                </c:pt>
                <c:pt idx="7" formatCode="#,##0;\(#,##0\);\-">
                  <c:v>4696452.5467499988</c:v>
                </c:pt>
                <c:pt idx="8" formatCode="#,##0;\(#,##0\);\-">
                  <c:v>4528346.8627499994</c:v>
                </c:pt>
                <c:pt idx="9" formatCode="#,##0;\(#,##0\);\-">
                  <c:v>4675439.3362499997</c:v>
                </c:pt>
                <c:pt idx="10" formatCode="#,##0;\(#,##0\);\-">
                  <c:v>5347862.0722500011</c:v>
                </c:pt>
                <c:pt idx="11" formatCode="#,##0;\(#,##0\);\-">
                  <c:v>4812025.2045</c:v>
                </c:pt>
                <c:pt idx="12" formatCode="#,##0;\(#,##0\);\-">
                  <c:v>4812025.2045</c:v>
                </c:pt>
                <c:pt idx="13" formatCode="#,##0;\(#,##0\);\-">
                  <c:v>4812025.2045</c:v>
                </c:pt>
                <c:pt idx="14" formatCode="#,##0;\(#,##0\);\-">
                  <c:v>4812025.2045</c:v>
                </c:pt>
                <c:pt idx="15" formatCode="#,##0;\(#,##0\);\-">
                  <c:v>4812025.2045</c:v>
                </c:pt>
                <c:pt idx="16" formatCode="#,##0;\(#,##0\);\-">
                  <c:v>4812025.2045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EE-496E-8663-6EED4977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266192"/>
        <c:axId val="1889453952"/>
      </c:scatterChart>
      <c:valAx>
        <c:axId val="2025266192"/>
        <c:scaling>
          <c:orientation val="minMax"/>
          <c:max val="2040"/>
          <c:min val="20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453952"/>
        <c:crosses val="autoZero"/>
        <c:crossBetween val="midCat"/>
      </c:valAx>
      <c:valAx>
        <c:axId val="1889453952"/>
        <c:scaling>
          <c:orientation val="minMax"/>
          <c:max val="1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266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AF608A36-E374-40B2-92EC-843AE45E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321" y="18097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880957</xdr:colOff>
      <xdr:row>19</xdr:row>
      <xdr:rowOff>93558</xdr:rowOff>
    </xdr:from>
    <xdr:to>
      <xdr:col>7</xdr:col>
      <xdr:colOff>831874</xdr:colOff>
      <xdr:row>39</xdr:row>
      <xdr:rowOff>169756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D52451-F2F5-42CE-99DD-462A81B3B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316548</xdr:colOff>
      <xdr:row>19</xdr:row>
      <xdr:rowOff>68471</xdr:rowOff>
    </xdr:from>
    <xdr:to>
      <xdr:col>13</xdr:col>
      <xdr:colOff>240032</xdr:colOff>
      <xdr:row>39</xdr:row>
      <xdr:rowOff>146471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016D1A-9C48-42F7-B60C-6746D220A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358668</xdr:colOff>
      <xdr:row>89</xdr:row>
      <xdr:rowOff>38099</xdr:rowOff>
    </xdr:from>
    <xdr:to>
      <xdr:col>8</xdr:col>
      <xdr:colOff>900068</xdr:colOff>
      <xdr:row>104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E72F04-B069-4191-B07A-CA2D081DC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13015</xdr:colOff>
      <xdr:row>89</xdr:row>
      <xdr:rowOff>40533</xdr:rowOff>
    </xdr:from>
    <xdr:to>
      <xdr:col>4</xdr:col>
      <xdr:colOff>4082</xdr:colOff>
      <xdr:row>104</xdr:row>
      <xdr:rowOff>117033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59FB9C-9A2C-4D51-8B75-ACBCF9453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268815</xdr:colOff>
      <xdr:row>89</xdr:row>
      <xdr:rowOff>57149</xdr:rowOff>
    </xdr:from>
    <xdr:to>
      <xdr:col>13</xdr:col>
      <xdr:colOff>809943</xdr:colOff>
      <xdr:row>104</xdr:row>
      <xdr:rowOff>134302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52328B4-68A7-42C7-800B-6DD9A7C40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598E"/>
    </a:accent1>
    <a:accent2>
      <a:srgbClr val="FF7232"/>
    </a:accent2>
    <a:accent3>
      <a:srgbClr val="A6ACA9"/>
    </a:accent3>
    <a:accent4>
      <a:srgbClr val="FFE600"/>
    </a:accent4>
    <a:accent5>
      <a:srgbClr val="009FE3"/>
    </a:accent5>
    <a:accent6>
      <a:srgbClr val="BECC00"/>
    </a:accent6>
    <a:hlink>
      <a:srgbClr val="009FE3"/>
    </a:hlink>
    <a:folHlink>
      <a:srgbClr val="FF723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BC2B-92F6-4FF3-8683-0E269EBBB8F1}">
  <dimension ref="A1:K43"/>
  <sheetViews>
    <sheetView showGridLines="0" workbookViewId="0">
      <selection activeCell="G29" sqref="G29"/>
    </sheetView>
  </sheetViews>
  <sheetFormatPr defaultColWidth="0" defaultRowHeight="12.95" customHeight="1" zeroHeight="1" x14ac:dyDescent="0.2"/>
  <cols>
    <col min="1" max="1" width="12.85546875" style="123" customWidth="1"/>
    <col min="2" max="2" width="2.5703125" style="123" customWidth="1"/>
    <col min="3" max="3" width="16.85546875" style="123" customWidth="1"/>
    <col min="4" max="11" width="10.5703125" style="123" customWidth="1"/>
    <col min="12" max="16384" width="10.5703125" style="123" hidden="1"/>
  </cols>
  <sheetData>
    <row r="1" spans="1:11" ht="15" x14ac:dyDescent="0.2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23.25" x14ac:dyDescent="0.35">
      <c r="A2" s="121"/>
      <c r="B2" s="122"/>
      <c r="C2" s="124" t="s">
        <v>30</v>
      </c>
      <c r="D2" s="125"/>
      <c r="E2" s="125"/>
      <c r="F2" s="122"/>
      <c r="G2" s="122"/>
      <c r="H2" s="122"/>
      <c r="I2" s="122"/>
      <c r="J2" s="122"/>
      <c r="K2" s="122"/>
    </row>
    <row r="3" spans="1:11" ht="15.75" x14ac:dyDescent="0.25">
      <c r="A3" s="121"/>
      <c r="B3" s="122"/>
      <c r="C3" s="126" t="s">
        <v>84</v>
      </c>
      <c r="D3" s="125"/>
      <c r="E3" s="125"/>
      <c r="F3" s="122"/>
      <c r="G3" s="122"/>
      <c r="H3" s="122"/>
      <c r="I3" s="122"/>
      <c r="J3" s="122"/>
      <c r="K3" s="122"/>
    </row>
    <row r="4" spans="1:11" ht="15" x14ac:dyDescent="0.25">
      <c r="A4" s="121"/>
      <c r="B4" s="122"/>
      <c r="C4" s="122"/>
      <c r="D4" s="125"/>
      <c r="E4" s="125"/>
      <c r="F4" s="122"/>
      <c r="G4" s="122"/>
      <c r="H4" s="122"/>
      <c r="I4" s="122"/>
      <c r="J4" s="122"/>
      <c r="K4" s="122"/>
    </row>
    <row r="5" spans="1:11" ht="15" x14ac:dyDescent="0.25">
      <c r="A5" s="121"/>
      <c r="B5" s="122"/>
      <c r="C5" s="127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Non-network platform</v>
      </c>
      <c r="D5" s="122"/>
      <c r="E5" s="122"/>
      <c r="F5" s="122"/>
      <c r="G5" s="122"/>
      <c r="H5" s="122"/>
      <c r="I5" s="122"/>
      <c r="J5" s="122"/>
      <c r="K5" s="122"/>
    </row>
    <row r="6" spans="1:11" ht="15" x14ac:dyDescent="0.25">
      <c r="A6" s="121"/>
      <c r="B6" s="122"/>
      <c r="C6" s="128" t="s">
        <v>85</v>
      </c>
      <c r="D6" s="133" t="str" cm="1">
        <f t="array" aca="1" ref="D6" ca="1">LEFT(_xlfn.TEXTAFTER(CELL("filename")," MOD "),FIND(" - ",_xlfn.TEXTAFTER(CELL("filename")," MOD "),1)-1)</f>
        <v>2.02</v>
      </c>
      <c r="E6" s="128"/>
      <c r="F6" s="122"/>
      <c r="G6" s="122"/>
      <c r="H6" s="122"/>
      <c r="I6" s="122"/>
      <c r="J6" s="122"/>
      <c r="K6" s="122"/>
    </row>
    <row r="7" spans="1:11" ht="15" x14ac:dyDescent="0.25">
      <c r="A7" s="121"/>
      <c r="B7" s="122"/>
      <c r="C7" s="122"/>
      <c r="D7" s="122"/>
      <c r="E7" s="122"/>
      <c r="F7" s="129"/>
      <c r="G7" s="129"/>
      <c r="H7" s="129"/>
      <c r="I7" s="122"/>
      <c r="J7" s="129"/>
      <c r="K7" s="129"/>
    </row>
    <row r="8" spans="1:11" ht="15" x14ac:dyDescent="0.25">
      <c r="A8" s="121"/>
      <c r="B8" s="122"/>
      <c r="C8" s="130">
        <v>45688</v>
      </c>
      <c r="D8" s="122"/>
      <c r="E8" s="122"/>
      <c r="F8" s="129"/>
      <c r="G8" s="129"/>
      <c r="H8" s="129"/>
      <c r="I8" s="122"/>
      <c r="J8" s="129"/>
      <c r="K8" s="129"/>
    </row>
    <row r="9" spans="1:11" ht="15" x14ac:dyDescent="0.25">
      <c r="A9" s="121"/>
      <c r="B9" s="122"/>
      <c r="C9" s="131"/>
      <c r="D9" s="131"/>
      <c r="E9" s="122"/>
      <c r="F9" s="129"/>
      <c r="G9" s="129"/>
      <c r="H9" s="129"/>
      <c r="I9" s="129"/>
      <c r="J9" s="129"/>
      <c r="K9" s="129"/>
    </row>
    <row r="10" spans="1:11" ht="15" x14ac:dyDescent="0.25">
      <c r="A10" s="121"/>
      <c r="B10" s="122"/>
      <c r="C10" s="131"/>
      <c r="D10" s="131"/>
      <c r="E10" s="122"/>
      <c r="F10" s="129"/>
      <c r="G10" s="129"/>
      <c r="H10" s="129"/>
      <c r="I10" s="129"/>
      <c r="J10" s="129"/>
      <c r="K10" s="129"/>
    </row>
    <row r="11" spans="1:11" ht="15" x14ac:dyDescent="0.25">
      <c r="A11" s="121"/>
      <c r="B11" s="122"/>
      <c r="C11" s="131"/>
      <c r="D11" s="131"/>
      <c r="E11" s="122"/>
      <c r="F11" s="129"/>
      <c r="G11" s="129"/>
      <c r="H11" s="129"/>
      <c r="I11" s="129"/>
      <c r="J11" s="129"/>
      <c r="K11" s="129"/>
    </row>
    <row r="12" spans="1:11" ht="15" x14ac:dyDescent="0.25">
      <c r="A12" s="121"/>
      <c r="B12" s="122"/>
      <c r="C12" s="131"/>
      <c r="D12" s="131"/>
      <c r="E12" s="122"/>
      <c r="F12" s="129"/>
      <c r="G12" s="129"/>
      <c r="H12" s="129"/>
      <c r="I12" s="129"/>
      <c r="J12" s="129"/>
      <c r="K12" s="129"/>
    </row>
    <row r="13" spans="1:11" ht="15" x14ac:dyDescent="0.25">
      <c r="A13" s="121"/>
      <c r="B13" s="122"/>
      <c r="C13" s="131"/>
      <c r="D13" s="131"/>
      <c r="E13" s="122"/>
      <c r="F13" s="129"/>
      <c r="G13" s="129"/>
      <c r="H13" s="129"/>
      <c r="I13" s="129"/>
      <c r="J13" s="129"/>
      <c r="K13" s="129"/>
    </row>
    <row r="14" spans="1:11" ht="15" x14ac:dyDescent="0.25">
      <c r="A14" s="121"/>
      <c r="B14" s="122"/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ht="15" x14ac:dyDescent="0.25">
      <c r="A15" s="121"/>
      <c r="B15" s="122"/>
      <c r="C15" s="127"/>
      <c r="D15" s="129"/>
      <c r="E15" s="129"/>
      <c r="F15" s="129"/>
      <c r="G15" s="129"/>
      <c r="H15" s="129"/>
      <c r="I15" s="129"/>
      <c r="J15" s="129"/>
      <c r="K15" s="129"/>
    </row>
    <row r="16" spans="1:11" ht="15" x14ac:dyDescent="0.25">
      <c r="A16" s="121"/>
      <c r="B16" s="122"/>
      <c r="C16" s="127"/>
      <c r="D16" s="129"/>
      <c r="E16" s="129"/>
      <c r="F16" s="129"/>
      <c r="G16" s="129"/>
      <c r="H16" s="129"/>
      <c r="I16" s="129"/>
      <c r="J16" s="129"/>
      <c r="K16" s="129"/>
    </row>
    <row r="17" spans="1:11" ht="15" x14ac:dyDescent="0.25">
      <c r="A17" s="121"/>
      <c r="B17" s="122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ht="15" x14ac:dyDescent="0.25">
      <c r="A18" s="121"/>
      <c r="B18" s="122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ht="15" x14ac:dyDescent="0.25">
      <c r="A19" s="121"/>
      <c r="B19" s="122"/>
      <c r="C19" s="129"/>
      <c r="D19" s="129"/>
      <c r="E19" s="129"/>
      <c r="F19" s="129"/>
      <c r="H19" s="129"/>
      <c r="I19" s="129"/>
      <c r="J19" s="129"/>
      <c r="K19" s="129"/>
    </row>
    <row r="20" spans="1:11" ht="15" x14ac:dyDescent="0.25">
      <c r="A20" s="121"/>
      <c r="B20" s="122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ht="15" x14ac:dyDescent="0.25">
      <c r="A21" s="121"/>
      <c r="B21" s="122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15" x14ac:dyDescent="0.25">
      <c r="A22" s="121"/>
      <c r="B22" s="122"/>
      <c r="C22" s="129"/>
      <c r="D22" s="129"/>
      <c r="E22" s="129"/>
      <c r="F22" s="129"/>
      <c r="G22" s="129"/>
      <c r="H22" s="129"/>
      <c r="I22" s="129"/>
      <c r="J22" s="129"/>
      <c r="K22" s="129"/>
    </row>
    <row r="23" spans="1:11" ht="15" x14ac:dyDescent="0.25">
      <c r="A23" s="121"/>
      <c r="B23" s="122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ht="15" x14ac:dyDescent="0.25">
      <c r="A24" s="121"/>
      <c r="B24" s="122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 ht="15" x14ac:dyDescent="0.25">
      <c r="A25" s="121"/>
      <c r="B25" s="122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 ht="15" x14ac:dyDescent="0.25">
      <c r="A26" s="121"/>
      <c r="B26" s="122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ht="15" x14ac:dyDescent="0.25">
      <c r="A27" s="121"/>
      <c r="B27" s="122"/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11" ht="15" x14ac:dyDescent="0.25">
      <c r="A28" s="121"/>
      <c r="B28" s="122"/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 ht="15" x14ac:dyDescent="0.25">
      <c r="A29" s="121"/>
      <c r="B29" s="122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15" x14ac:dyDescent="0.25">
      <c r="A30" s="121"/>
      <c r="B30" s="122"/>
      <c r="C30" s="129"/>
      <c r="D30" s="122"/>
      <c r="E30" s="129"/>
      <c r="F30" s="129"/>
      <c r="G30" s="129"/>
      <c r="H30" s="129"/>
      <c r="I30" s="129"/>
      <c r="J30" s="129"/>
      <c r="K30" s="129"/>
    </row>
    <row r="31" spans="1:11" ht="15" x14ac:dyDescent="0.25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1" ht="15" x14ac:dyDescent="0.25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1" ht="15" x14ac:dyDescent="0.2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1:11" ht="15" x14ac:dyDescent="0.25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ht="15" x14ac:dyDescent="0.25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spans="1:11" ht="15" x14ac:dyDescent="0.2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spans="1:11" ht="15" x14ac:dyDescent="0.25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1:11" ht="15" x14ac:dyDescent="0.25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1:11" ht="15" x14ac:dyDescent="0.25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1" ht="15" x14ac:dyDescent="0.25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1:11" ht="15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1:11" ht="15" x14ac:dyDescent="0.25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1:11" ht="15" x14ac:dyDescent="0.25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</sheetData>
  <conditionalFormatting sqref="C5">
    <cfRule type="expression" dxfId="15" priority="1">
      <formula>LEFT(C5,1)="&lt;"</formula>
    </cfRule>
  </conditionalFormatting>
  <conditionalFormatting sqref="D6">
    <cfRule type="expression" dxfId="14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04FB-9760-43DA-B1E4-867009138951}">
  <dimension ref="A1:P37"/>
  <sheetViews>
    <sheetView showGridLines="0" tabSelected="1" workbookViewId="0">
      <selection activeCell="F35" sqref="F35"/>
    </sheetView>
  </sheetViews>
  <sheetFormatPr defaultColWidth="9.140625" defaultRowHeight="12.75" x14ac:dyDescent="0.2"/>
  <cols>
    <col min="1" max="1" width="7.8554687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Non-network platform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30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"&amp;Assumptions!$C$34&amp;")"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0</v>
      </c>
      <c r="D6" s="97" t="str">
        <f>'Project Summary'!$D$6</f>
        <v>Option 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1</v>
      </c>
      <c r="C10" s="36"/>
      <c r="D10" s="36"/>
      <c r="E10" s="37"/>
      <c r="F10" s="38" t="s">
        <v>3</v>
      </c>
      <c r="G10" s="38" t="s">
        <v>4</v>
      </c>
      <c r="H10" s="38" t="s">
        <v>5</v>
      </c>
      <c r="I10" s="38" t="s">
        <v>6</v>
      </c>
      <c r="J10" s="38" t="s">
        <v>7</v>
      </c>
      <c r="K10" s="75" t="s">
        <v>8</v>
      </c>
      <c r="P10"/>
    </row>
    <row r="11" spans="1:16" ht="12.75" customHeight="1" x14ac:dyDescent="0.25">
      <c r="C11" s="1" t="s">
        <v>51</v>
      </c>
      <c r="D11" s="109"/>
      <c r="E11" s="2"/>
      <c r="F11" s="6">
        <f>'Project Summary'!F14*Assumptions!$B$19</f>
        <v>0</v>
      </c>
      <c r="G11" s="6">
        <f>'Project Summary'!G14*Assumptions!$B$19</f>
        <v>0</v>
      </c>
      <c r="H11" s="6">
        <f>'Project Summary'!H14*Assumptions!$B$19</f>
        <v>0</v>
      </c>
      <c r="I11" s="6">
        <f>'Project Summary'!I14*Assumptions!$B$19</f>
        <v>0</v>
      </c>
      <c r="J11" s="6">
        <f>'Project Summary'!J14*Assumptions!$B$19</f>
        <v>0</v>
      </c>
      <c r="K11" s="6">
        <f>SUM(F11:J11)</f>
        <v>0</v>
      </c>
      <c r="M11" s="100"/>
      <c r="P11"/>
    </row>
    <row r="12" spans="1:16" ht="12.75" customHeight="1" x14ac:dyDescent="0.25">
      <c r="C12" s="1" t="s">
        <v>148</v>
      </c>
      <c r="D12" s="109"/>
      <c r="E12" s="2"/>
      <c r="F12" s="6">
        <f>'Project Summary'!F18*Assumptions!$B$19</f>
        <v>0</v>
      </c>
      <c r="G12" s="6">
        <f>'Project Summary'!G18*Assumptions!$B$19</f>
        <v>0</v>
      </c>
      <c r="H12" s="6">
        <f>'Project Summary'!H18*Assumptions!$B$19</f>
        <v>0</v>
      </c>
      <c r="I12" s="6">
        <f>'Project Summary'!I18*Assumptions!$B$19</f>
        <v>0</v>
      </c>
      <c r="J12" s="6">
        <f>'Project Summary'!J18*Assumptions!$B$19</f>
        <v>0</v>
      </c>
      <c r="K12" s="6">
        <f>SUM(F12:J12)</f>
        <v>0</v>
      </c>
      <c r="M12" s="100"/>
      <c r="P12"/>
    </row>
    <row r="13" spans="1:16" ht="12.75" customHeight="1" x14ac:dyDescent="0.2">
      <c r="C13" s="1" t="s">
        <v>149</v>
      </c>
      <c r="D13" s="109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100"/>
    </row>
    <row r="14" spans="1:16" ht="12.75" customHeight="1" x14ac:dyDescent="0.2">
      <c r="C14" s="103" t="s">
        <v>150</v>
      </c>
      <c r="D14" s="132"/>
      <c r="E14" s="103"/>
      <c r="F14" s="107">
        <f t="shared" ref="F14:K14" si="0">SUM(F11:F12)</f>
        <v>0</v>
      </c>
      <c r="G14" s="107">
        <f t="shared" si="0"/>
        <v>0</v>
      </c>
      <c r="H14" s="107">
        <f t="shared" si="0"/>
        <v>0</v>
      </c>
      <c r="I14" s="107">
        <f t="shared" si="0"/>
        <v>0</v>
      </c>
      <c r="J14" s="107">
        <f t="shared" si="0"/>
        <v>0</v>
      </c>
      <c r="K14" s="107">
        <f t="shared" si="0"/>
        <v>0</v>
      </c>
      <c r="M14" s="100"/>
    </row>
    <row r="15" spans="1:16" ht="12.75" customHeight="1" x14ac:dyDescent="0.2">
      <c r="D15" s="109"/>
      <c r="F15" s="6"/>
      <c r="G15" s="6"/>
      <c r="H15" s="6"/>
      <c r="I15" s="6"/>
      <c r="J15" s="6"/>
      <c r="K15" s="6"/>
      <c r="M15" s="100"/>
    </row>
    <row r="16" spans="1:16" ht="12.75" customHeight="1" x14ac:dyDescent="0.2">
      <c r="C16" s="103" t="s">
        <v>167</v>
      </c>
      <c r="D16" s="132"/>
      <c r="E16" s="132"/>
      <c r="F16" s="195">
        <f>NPV(Real_Discount_rate,F14:J14)</f>
        <v>0</v>
      </c>
      <c r="G16" s="6"/>
      <c r="H16" s="6"/>
      <c r="I16" s="6"/>
      <c r="J16" s="6"/>
      <c r="K16" s="6"/>
      <c r="M16" s="100"/>
    </row>
    <row r="17" spans="2:13" ht="12.75" customHeight="1" x14ac:dyDescent="0.2">
      <c r="D17" s="109"/>
      <c r="F17" s="6"/>
      <c r="G17" s="6"/>
      <c r="H17" s="6"/>
      <c r="I17" s="6"/>
      <c r="J17" s="6"/>
      <c r="K17" s="6"/>
      <c r="M17" s="100"/>
    </row>
    <row r="18" spans="2:13" x14ac:dyDescent="0.2">
      <c r="C18" s="172" t="s">
        <v>162</v>
      </c>
    </row>
    <row r="21" spans="2:13" x14ac:dyDescent="0.2">
      <c r="B21" s="36" t="s">
        <v>17</v>
      </c>
      <c r="C21" s="36"/>
      <c r="D21" s="36"/>
      <c r="E21" s="37"/>
      <c r="F21" s="38" t="s">
        <v>3</v>
      </c>
      <c r="G21" s="38" t="s">
        <v>4</v>
      </c>
      <c r="H21" s="38" t="s">
        <v>5</v>
      </c>
      <c r="I21" s="38" t="s">
        <v>6</v>
      </c>
      <c r="J21" s="38" t="s">
        <v>7</v>
      </c>
      <c r="K21" s="75" t="s">
        <v>8</v>
      </c>
    </row>
    <row r="22" spans="2:13" x14ac:dyDescent="0.2">
      <c r="C22" s="1" t="s">
        <v>51</v>
      </c>
      <c r="D22" s="109"/>
      <c r="E22" s="2"/>
      <c r="F22" s="6">
        <f>'Project Summary'!F29*Assumptions!$B$19</f>
        <v>1234872.9294983966</v>
      </c>
      <c r="G22" s="6">
        <f>'Project Summary'!G29*Assumptions!$B$19</f>
        <v>0</v>
      </c>
      <c r="H22" s="6">
        <f>'Project Summary'!H29*Assumptions!$B$19</f>
        <v>0</v>
      </c>
      <c r="I22" s="6">
        <f>'Project Summary'!I29*Assumptions!$B$19</f>
        <v>0</v>
      </c>
      <c r="J22" s="6">
        <f>'Project Summary'!J29*Assumptions!$B$19</f>
        <v>0</v>
      </c>
      <c r="K22" s="6">
        <f>SUM(F22:J22)</f>
        <v>1234872.9294983966</v>
      </c>
    </row>
    <row r="23" spans="2:13" x14ac:dyDescent="0.2">
      <c r="C23" s="1" t="s">
        <v>148</v>
      </c>
      <c r="D23" s="109"/>
      <c r="E23" s="2"/>
      <c r="F23" s="6">
        <f>'Opex Step Change'!C16</f>
        <v>0</v>
      </c>
      <c r="G23" s="6">
        <f>'Opex Step Change'!D16</f>
        <v>371556.73473281099</v>
      </c>
      <c r="H23" s="6">
        <f>'Opex Step Change'!E16</f>
        <v>371556.73473281099</v>
      </c>
      <c r="I23" s="6">
        <f>'Opex Step Change'!F16</f>
        <v>371556.73473281099</v>
      </c>
      <c r="J23" s="6">
        <f>'Opex Step Change'!G16</f>
        <v>371556.73473281099</v>
      </c>
      <c r="K23" s="6">
        <f>SUM(F23:J23)</f>
        <v>1486226.938931244</v>
      </c>
    </row>
    <row r="24" spans="2:13" x14ac:dyDescent="0.2">
      <c r="C24" s="1" t="s">
        <v>159</v>
      </c>
      <c r="D24" s="109"/>
      <c r="F24" s="6">
        <v>0</v>
      </c>
      <c r="G24" s="6">
        <v>389443.046327374</v>
      </c>
      <c r="H24" s="6">
        <v>393016.10100461391</v>
      </c>
      <c r="I24" s="6">
        <v>396998.77355207101</v>
      </c>
      <c r="J24" s="6">
        <v>400843.69608421222</v>
      </c>
      <c r="K24" s="6">
        <f>SUM(F24:J24)</f>
        <v>1580301.6169682713</v>
      </c>
    </row>
    <row r="25" spans="2:13" x14ac:dyDescent="0.2">
      <c r="C25" s="103" t="s">
        <v>160</v>
      </c>
      <c r="D25" s="132" t="s">
        <v>161</v>
      </c>
      <c r="E25" s="103"/>
      <c r="F25" s="107">
        <f>SUM(F22:F23)</f>
        <v>1234872.9294983966</v>
      </c>
      <c r="G25" s="107">
        <f t="shared" ref="G25:K25" si="1">SUM(G22:G23)</f>
        <v>371556.73473281099</v>
      </c>
      <c r="H25" s="107">
        <f t="shared" si="1"/>
        <v>371556.73473281099</v>
      </c>
      <c r="I25" s="107">
        <f t="shared" si="1"/>
        <v>371556.73473281099</v>
      </c>
      <c r="J25" s="107">
        <f t="shared" si="1"/>
        <v>371556.73473281099</v>
      </c>
      <c r="K25" s="107">
        <f t="shared" si="1"/>
        <v>2721099.8684296403</v>
      </c>
    </row>
    <row r="27" spans="2:13" x14ac:dyDescent="0.2">
      <c r="C27" s="103" t="s">
        <v>167</v>
      </c>
      <c r="D27" s="132"/>
      <c r="E27" s="132"/>
      <c r="F27" s="195">
        <f>NPV(Real_Discount_rate,F25:J25)</f>
        <v>2511720.0450872774</v>
      </c>
    </row>
    <row r="29" spans="2:13" x14ac:dyDescent="0.2">
      <c r="C29" s="1" t="s">
        <v>163</v>
      </c>
    </row>
    <row r="30" spans="2:13" x14ac:dyDescent="0.2">
      <c r="F30" s="197"/>
      <c r="G30" s="197"/>
      <c r="H30" s="197"/>
      <c r="I30" s="197"/>
      <c r="J30" s="197"/>
    </row>
    <row r="32" spans="2:13" x14ac:dyDescent="0.2">
      <c r="B32" s="36" t="s">
        <v>168</v>
      </c>
      <c r="C32" s="36"/>
      <c r="D32" s="36"/>
      <c r="E32" s="37"/>
      <c r="F32" s="38" t="s">
        <v>8</v>
      </c>
    </row>
    <row r="33" spans="3:8" x14ac:dyDescent="0.2">
      <c r="C33" s="1" t="s">
        <v>169</v>
      </c>
      <c r="D33" s="109"/>
      <c r="E33" s="2"/>
      <c r="F33" s="6">
        <f>F27</f>
        <v>2511720.0450872774</v>
      </c>
      <c r="G33" s="108"/>
    </row>
    <row r="34" spans="3:8" x14ac:dyDescent="0.2">
      <c r="C34" s="1" t="s">
        <v>170</v>
      </c>
      <c r="D34" s="109"/>
      <c r="E34" s="2"/>
      <c r="F34" s="6">
        <f>NPV(Real_Discount_rate,SUM('Piclo Benefits'!E87:S87))</f>
        <v>2668437.7819235786</v>
      </c>
    </row>
    <row r="35" spans="3:8" x14ac:dyDescent="0.2">
      <c r="C35" s="1" t="s">
        <v>16</v>
      </c>
      <c r="D35" s="109"/>
      <c r="E35" s="2"/>
      <c r="F35" s="6">
        <f>F34-F33</f>
        <v>156717.73683630116</v>
      </c>
      <c r="G35" s="197"/>
      <c r="H35" s="198"/>
    </row>
    <row r="36" spans="3:8" x14ac:dyDescent="0.2">
      <c r="D36" s="109"/>
      <c r="E36" s="2"/>
      <c r="F36" s="6"/>
      <c r="G36" s="198"/>
    </row>
    <row r="37" spans="3:8" x14ac:dyDescent="0.2">
      <c r="C37" s="1" t="s">
        <v>124</v>
      </c>
      <c r="D37" s="109"/>
      <c r="F37" s="6">
        <f>'Piclo Benefits'!I79</f>
        <v>534155.81090999919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9069-FB5E-4E0D-BAE5-123E5C4ADC20}">
  <dimension ref="A1:XFD92"/>
  <sheetViews>
    <sheetView showGridLines="0" zoomScale="90" zoomScaleNormal="90" workbookViewId="0">
      <pane xSplit="1" ySplit="5" topLeftCell="B55" activePane="bottomRight" state="frozen"/>
      <selection pane="topRight" activeCell="B1" sqref="B1"/>
      <selection pane="bottomLeft" activeCell="A6" sqref="A6"/>
      <selection pane="bottomRight" activeCell="E87" sqref="E87:S87"/>
    </sheetView>
  </sheetViews>
  <sheetFormatPr defaultRowHeight="15" x14ac:dyDescent="0.25"/>
  <cols>
    <col min="1" max="1" width="13.28515625" customWidth="1"/>
    <col min="2" max="2" width="28.85546875" customWidth="1"/>
    <col min="3" max="3" width="22.7109375" customWidth="1"/>
    <col min="4" max="4" width="15.7109375" customWidth="1"/>
    <col min="5" max="5" width="14.7109375" customWidth="1"/>
    <col min="6" max="6" width="14.7109375" bestFit="1" customWidth="1"/>
    <col min="7" max="19" width="14.7109375" customWidth="1"/>
  </cols>
  <sheetData>
    <row r="1" spans="1:22" ht="21" x14ac:dyDescent="0.35">
      <c r="A1" s="135" t="s">
        <v>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22" ht="15.75" customHeight="1" x14ac:dyDescent="0.3">
      <c r="A2" s="137" t="s">
        <v>90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22" ht="15.75" customHeight="1" x14ac:dyDescent="0.3">
      <c r="A3" s="11" t="s">
        <v>91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6"/>
      <c r="N3" s="136"/>
      <c r="O3" s="136"/>
      <c r="P3" s="136"/>
      <c r="Q3" s="136"/>
      <c r="R3" s="136"/>
      <c r="S3" s="136"/>
    </row>
    <row r="5" spans="1:22" s="1" customFormat="1" ht="12.75" x14ac:dyDescent="0.2">
      <c r="A5" s="1" t="s">
        <v>142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7" spans="1:22" ht="15" customHeight="1" x14ac:dyDescent="0.3">
      <c r="A7" s="139"/>
      <c r="B7" s="139" t="s">
        <v>92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6"/>
      <c r="N7" s="136"/>
      <c r="O7" s="136"/>
      <c r="P7" s="136"/>
      <c r="Q7" s="136"/>
      <c r="R7" s="136"/>
      <c r="S7" s="136"/>
    </row>
    <row r="9" spans="1:22" x14ac:dyDescent="0.25">
      <c r="B9" t="s">
        <v>143</v>
      </c>
    </row>
    <row r="11" spans="1:22" x14ac:dyDescent="0.25">
      <c r="B11" t="s">
        <v>93</v>
      </c>
    </row>
    <row r="12" spans="1:22" ht="15" customHeight="1" x14ac:dyDescent="0.25">
      <c r="B12" s="140">
        <v>1</v>
      </c>
      <c r="C12" s="196" t="s">
        <v>126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</row>
    <row r="13" spans="1:22" ht="15" customHeight="1" x14ac:dyDescent="0.25">
      <c r="B13" s="140">
        <v>2</v>
      </c>
      <c r="C13" s="170" t="s">
        <v>144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</row>
    <row r="14" spans="1:22" ht="15" customHeight="1" x14ac:dyDescent="0.25">
      <c r="B14" s="140">
        <v>3</v>
      </c>
      <c r="C14" s="170" t="s">
        <v>145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</row>
    <row r="15" spans="1:22" ht="15" customHeight="1" x14ac:dyDescent="0.25">
      <c r="B15" s="140">
        <v>4</v>
      </c>
      <c r="C15" s="170" t="s">
        <v>146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</row>
    <row r="17" spans="2:16384" s="139" customFormat="1" ht="14.25" customHeight="1" x14ac:dyDescent="0.3">
      <c r="B17" s="139" t="s">
        <v>94</v>
      </c>
      <c r="M17" s="136"/>
      <c r="N17" s="136"/>
      <c r="O17" s="136"/>
      <c r="P17" s="136"/>
      <c r="Q17" s="136"/>
      <c r="R17" s="136"/>
      <c r="S17" s="136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9" spans="2:16384" x14ac:dyDescent="0.25">
      <c r="B19" t="s">
        <v>95</v>
      </c>
    </row>
    <row r="41" spans="2:6" x14ac:dyDescent="0.25">
      <c r="B41" s="114" t="s">
        <v>156</v>
      </c>
    </row>
    <row r="42" spans="2:6" x14ac:dyDescent="0.25">
      <c r="B42" s="141" t="s">
        <v>96</v>
      </c>
      <c r="C42" s="141" t="s">
        <v>97</v>
      </c>
      <c r="D42" s="141" t="s">
        <v>98</v>
      </c>
      <c r="E42" s="141" t="s">
        <v>99</v>
      </c>
      <c r="F42" s="142" t="s">
        <v>100</v>
      </c>
    </row>
    <row r="43" spans="2:6" x14ac:dyDescent="0.25">
      <c r="B43" s="143" t="s">
        <v>101</v>
      </c>
      <c r="C43" s="143">
        <v>2018</v>
      </c>
      <c r="D43" s="144">
        <v>116.1</v>
      </c>
      <c r="E43" s="144">
        <v>0</v>
      </c>
      <c r="F43" s="145">
        <v>0</v>
      </c>
    </row>
    <row r="44" spans="2:6" x14ac:dyDescent="0.25">
      <c r="B44" s="143" t="s">
        <v>102</v>
      </c>
      <c r="C44" s="143">
        <v>2019</v>
      </c>
      <c r="D44" s="144">
        <v>256.14999999999998</v>
      </c>
      <c r="E44" s="144">
        <v>1306.3491215751517</v>
      </c>
      <c r="F44" s="145">
        <f>D44/E44</f>
        <v>0.19608081466854968</v>
      </c>
    </row>
    <row r="45" spans="2:6" x14ac:dyDescent="0.25">
      <c r="B45" s="143" t="s">
        <v>103</v>
      </c>
      <c r="C45" s="143">
        <v>2020</v>
      </c>
      <c r="D45" s="144">
        <v>1165.547</v>
      </c>
      <c r="E45" s="144">
        <v>2064.52</v>
      </c>
      <c r="F45" s="145">
        <f t="shared" ref="F45:F49" si="0">D45/E45</f>
        <v>0.56456076957355705</v>
      </c>
    </row>
    <row r="46" spans="2:6" x14ac:dyDescent="0.25">
      <c r="B46" s="143" t="s">
        <v>104</v>
      </c>
      <c r="C46" s="143">
        <v>2021</v>
      </c>
      <c r="D46" s="144">
        <v>1869.01</v>
      </c>
      <c r="E46" s="144">
        <v>3259.54</v>
      </c>
      <c r="F46" s="145">
        <f t="shared" si="0"/>
        <v>0.57339685967958665</v>
      </c>
    </row>
    <row r="47" spans="2:6" x14ac:dyDescent="0.25">
      <c r="B47" s="143" t="s">
        <v>105</v>
      </c>
      <c r="C47" s="143">
        <v>2022</v>
      </c>
      <c r="D47" s="144">
        <v>2349</v>
      </c>
      <c r="E47" s="144">
        <v>4628.26</v>
      </c>
      <c r="F47" s="145">
        <f t="shared" si="0"/>
        <v>0.50753414890261128</v>
      </c>
    </row>
    <row r="48" spans="2:6" x14ac:dyDescent="0.25">
      <c r="B48" s="143" t="s">
        <v>106</v>
      </c>
      <c r="C48" s="143">
        <v>2023</v>
      </c>
      <c r="D48" s="144">
        <v>3236.64</v>
      </c>
      <c r="E48" s="144">
        <v>6441</v>
      </c>
      <c r="F48" s="145">
        <f t="shared" si="0"/>
        <v>0.5025058220773172</v>
      </c>
    </row>
    <row r="49" spans="1:19" x14ac:dyDescent="0.25">
      <c r="B49" s="143" t="s">
        <v>107</v>
      </c>
      <c r="C49" s="143">
        <v>2024</v>
      </c>
      <c r="D49" s="144">
        <v>3992</v>
      </c>
      <c r="E49" s="144">
        <v>5150.67</v>
      </c>
      <c r="F49" s="145">
        <f t="shared" si="0"/>
        <v>0.77504479999689357</v>
      </c>
    </row>
    <row r="50" spans="1:19" x14ac:dyDescent="0.25">
      <c r="B50" s="146" t="s">
        <v>108</v>
      </c>
      <c r="C50" s="147"/>
      <c r="D50" s="147"/>
    </row>
    <row r="51" spans="1:19" x14ac:dyDescent="0.25">
      <c r="B51" s="148" t="s">
        <v>109</v>
      </c>
      <c r="C51" s="147"/>
      <c r="D51" s="147"/>
    </row>
    <row r="53" spans="1:19" x14ac:dyDescent="0.25">
      <c r="B53" t="s">
        <v>110</v>
      </c>
    </row>
    <row r="54" spans="1:19" x14ac:dyDescent="0.25">
      <c r="B54" s="149" t="s">
        <v>111</v>
      </c>
    </row>
    <row r="56" spans="1:19" ht="18.75" x14ac:dyDescent="0.3">
      <c r="A56" s="136"/>
      <c r="B56" s="136" t="s">
        <v>147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</row>
    <row r="59" spans="1:19" x14ac:dyDescent="0.25">
      <c r="B59" s="76" t="s">
        <v>97</v>
      </c>
      <c r="C59" s="150" t="s">
        <v>80</v>
      </c>
      <c r="D59" s="150" t="s">
        <v>81</v>
      </c>
      <c r="E59" s="150" t="s">
        <v>72</v>
      </c>
      <c r="F59" s="150" t="s">
        <v>73</v>
      </c>
      <c r="G59" s="150" t="s">
        <v>74</v>
      </c>
      <c r="H59" s="150" t="s">
        <v>75</v>
      </c>
      <c r="I59" s="150" t="s">
        <v>76</v>
      </c>
      <c r="J59" s="150" t="s">
        <v>112</v>
      </c>
      <c r="K59" s="150" t="s">
        <v>113</v>
      </c>
      <c r="L59" s="150" t="s">
        <v>114</v>
      </c>
      <c r="M59" s="150" t="s">
        <v>115</v>
      </c>
      <c r="N59" s="150" t="s">
        <v>116</v>
      </c>
      <c r="O59" s="150" t="s">
        <v>117</v>
      </c>
      <c r="P59" s="150" t="s">
        <v>118</v>
      </c>
      <c r="Q59" s="150" t="s">
        <v>119</v>
      </c>
      <c r="R59" s="150" t="s">
        <v>120</v>
      </c>
      <c r="S59" s="150" t="s">
        <v>121</v>
      </c>
    </row>
    <row r="60" spans="1:19" x14ac:dyDescent="0.25"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</row>
    <row r="61" spans="1:19" x14ac:dyDescent="0.25">
      <c r="B61" s="4" t="s">
        <v>127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</row>
    <row r="62" spans="1:19" x14ac:dyDescent="0.25">
      <c r="B62" s="151" t="s">
        <v>141</v>
      </c>
      <c r="C62" s="151"/>
      <c r="D62" s="152"/>
      <c r="E62" s="186">
        <v>168105.68400000001</v>
      </c>
      <c r="F62" s="186">
        <v>1008634.1040000001</v>
      </c>
      <c r="G62" s="186">
        <v>5694580.0455000019</v>
      </c>
      <c r="H62" s="186">
        <v>6850306.6230000034</v>
      </c>
      <c r="I62" s="186">
        <v>8216165.3055000138</v>
      </c>
      <c r="J62" s="186">
        <v>4696452.5467499988</v>
      </c>
      <c r="K62" s="186">
        <v>4528346.8627499994</v>
      </c>
      <c r="L62" s="186">
        <v>4675439.3362499997</v>
      </c>
      <c r="M62" s="186">
        <v>5347862.0722500011</v>
      </c>
      <c r="N62" s="186">
        <f>AVERAGE(J62:M62)</f>
        <v>4812025.2045</v>
      </c>
      <c r="O62" s="186">
        <f>N62</f>
        <v>4812025.2045</v>
      </c>
      <c r="P62" s="186">
        <f t="shared" ref="P62:S62" si="1">O62</f>
        <v>4812025.2045</v>
      </c>
      <c r="Q62" s="186">
        <f t="shared" si="1"/>
        <v>4812025.2045</v>
      </c>
      <c r="R62" s="186">
        <f t="shared" si="1"/>
        <v>4812025.2045</v>
      </c>
      <c r="S62" s="186">
        <f t="shared" si="1"/>
        <v>4812025.2045</v>
      </c>
    </row>
    <row r="63" spans="1:19" x14ac:dyDescent="0.25">
      <c r="B63" s="151"/>
      <c r="C63" s="151"/>
      <c r="D63" s="152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</row>
    <row r="64" spans="1:19" x14ac:dyDescent="0.25">
      <c r="B64" s="4" t="s">
        <v>128</v>
      </c>
      <c r="C64" s="151"/>
      <c r="D64" s="152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</row>
    <row r="65" spans="2:19" x14ac:dyDescent="0.25">
      <c r="B65" s="151" t="s">
        <v>122</v>
      </c>
      <c r="C65" s="187">
        <v>0</v>
      </c>
      <c r="D65" s="187">
        <v>0</v>
      </c>
      <c r="E65" s="187">
        <v>0</v>
      </c>
      <c r="F65" s="187">
        <v>0.01</v>
      </c>
      <c r="G65" s="187">
        <v>0.02</v>
      </c>
      <c r="H65" s="187">
        <v>0.03</v>
      </c>
      <c r="I65" s="187">
        <v>0.04</v>
      </c>
      <c r="J65" s="188">
        <v>0.05</v>
      </c>
      <c r="K65" s="188">
        <v>0.1</v>
      </c>
      <c r="L65" s="188">
        <v>0.2</v>
      </c>
      <c r="M65" s="188">
        <v>0.3</v>
      </c>
      <c r="N65" s="188">
        <v>0.4</v>
      </c>
      <c r="O65" s="188">
        <v>0.5</v>
      </c>
      <c r="P65" s="188">
        <v>0.6</v>
      </c>
      <c r="Q65" s="188">
        <v>0.7</v>
      </c>
      <c r="R65" s="188">
        <v>0.8</v>
      </c>
      <c r="S65" s="188">
        <v>0.8</v>
      </c>
    </row>
    <row r="66" spans="2:19" x14ac:dyDescent="0.25">
      <c r="B66" s="151"/>
      <c r="C66" s="154"/>
      <c r="D66" s="155"/>
      <c r="E66" s="155"/>
      <c r="F66" s="155"/>
      <c r="G66" s="155"/>
      <c r="H66" s="155"/>
      <c r="I66" s="155"/>
      <c r="J66" s="156"/>
      <c r="K66" s="156"/>
      <c r="L66" s="156"/>
      <c r="M66" s="156"/>
      <c r="N66" s="156"/>
      <c r="O66" s="156"/>
      <c r="P66" s="156"/>
      <c r="Q66" s="156"/>
      <c r="R66" s="156"/>
      <c r="S66" s="156"/>
    </row>
    <row r="67" spans="2:19" x14ac:dyDescent="0.25">
      <c r="B67" s="4" t="s">
        <v>129</v>
      </c>
      <c r="C67" s="154"/>
      <c r="D67" s="155"/>
      <c r="E67" s="155"/>
      <c r="F67" s="155"/>
      <c r="G67" s="155"/>
      <c r="H67" s="155"/>
      <c r="I67" s="155"/>
      <c r="J67" s="156"/>
      <c r="K67" s="156"/>
      <c r="L67" s="156"/>
      <c r="M67" s="156"/>
      <c r="N67" s="156"/>
      <c r="O67" s="156"/>
      <c r="P67" s="156"/>
      <c r="Q67" s="156"/>
      <c r="R67" s="156"/>
      <c r="S67" s="156"/>
    </row>
    <row r="68" spans="2:19" x14ac:dyDescent="0.25">
      <c r="B68" s="151" t="s">
        <v>123</v>
      </c>
      <c r="C68" s="154"/>
      <c r="D68" s="157"/>
      <c r="E68" s="189">
        <v>1</v>
      </c>
      <c r="F68" s="189">
        <v>1</v>
      </c>
      <c r="G68" s="189">
        <v>2</v>
      </c>
      <c r="H68" s="189">
        <v>2</v>
      </c>
      <c r="I68" s="189">
        <v>3</v>
      </c>
      <c r="J68" s="189">
        <v>3</v>
      </c>
      <c r="K68" s="189">
        <v>4</v>
      </c>
      <c r="L68" s="189">
        <v>4</v>
      </c>
      <c r="M68" s="189">
        <v>5</v>
      </c>
      <c r="N68" s="189">
        <v>5</v>
      </c>
      <c r="O68" s="189">
        <v>5</v>
      </c>
      <c r="P68" s="189">
        <v>5</v>
      </c>
      <c r="Q68" s="189">
        <v>5</v>
      </c>
      <c r="R68" s="189">
        <v>5</v>
      </c>
      <c r="S68" s="189">
        <v>5</v>
      </c>
    </row>
    <row r="69" spans="2:19" x14ac:dyDescent="0.25">
      <c r="B69" s="151"/>
      <c r="C69" s="154"/>
      <c r="D69" s="155"/>
      <c r="E69" s="155"/>
      <c r="F69" s="155"/>
      <c r="G69" s="155"/>
      <c r="H69" s="155"/>
      <c r="I69" s="155"/>
      <c r="J69" s="156"/>
      <c r="K69" s="156"/>
      <c r="L69" s="156"/>
      <c r="M69" s="156"/>
      <c r="N69" s="156"/>
      <c r="O69" s="156"/>
      <c r="P69" s="156"/>
      <c r="Q69" s="156"/>
      <c r="R69" s="156"/>
      <c r="S69" s="156"/>
    </row>
    <row r="70" spans="2:19" x14ac:dyDescent="0.25">
      <c r="B70" s="4" t="s">
        <v>131</v>
      </c>
      <c r="C70" s="154"/>
      <c r="D70" s="155"/>
      <c r="E70" s="155"/>
      <c r="F70" s="155"/>
      <c r="G70" s="155"/>
      <c r="H70" s="155"/>
      <c r="I70" s="155"/>
      <c r="J70" s="156"/>
      <c r="K70" s="156"/>
      <c r="L70" s="156"/>
      <c r="M70" s="156"/>
      <c r="N70" s="156"/>
      <c r="O70" s="156"/>
      <c r="P70" s="156"/>
      <c r="Q70" s="156"/>
      <c r="R70" s="156"/>
      <c r="S70" s="156"/>
    </row>
    <row r="71" spans="2:19" x14ac:dyDescent="0.25">
      <c r="B71" s="151" t="s">
        <v>131</v>
      </c>
      <c r="C71" s="151"/>
      <c r="D71" s="158"/>
      <c r="E71" s="159">
        <f t="shared" ref="E71:S71" si="2">E62*E65</f>
        <v>0</v>
      </c>
      <c r="F71" s="159">
        <f t="shared" si="2"/>
        <v>10086.341040000001</v>
      </c>
      <c r="G71" s="159">
        <f t="shared" si="2"/>
        <v>113891.60091000004</v>
      </c>
      <c r="H71" s="159">
        <f t="shared" si="2"/>
        <v>205509.19869000011</v>
      </c>
      <c r="I71" s="159">
        <f t="shared" si="2"/>
        <v>328646.61222000053</v>
      </c>
      <c r="J71" s="159">
        <f t="shared" si="2"/>
        <v>234822.62733749996</v>
      </c>
      <c r="K71" s="159">
        <f t="shared" si="2"/>
        <v>452834.68627499999</v>
      </c>
      <c r="L71" s="159">
        <f t="shared" si="2"/>
        <v>935087.86725000001</v>
      </c>
      <c r="M71" s="159">
        <f t="shared" si="2"/>
        <v>1604358.6216750003</v>
      </c>
      <c r="N71" s="159">
        <f t="shared" si="2"/>
        <v>1924810.0818</v>
      </c>
      <c r="O71" s="159">
        <f t="shared" si="2"/>
        <v>2406012.60225</v>
      </c>
      <c r="P71" s="159">
        <f t="shared" si="2"/>
        <v>2887215.1226999997</v>
      </c>
      <c r="Q71" s="159">
        <f t="shared" si="2"/>
        <v>3368417.6431499999</v>
      </c>
      <c r="R71" s="159">
        <f t="shared" si="2"/>
        <v>3849620.1636000001</v>
      </c>
      <c r="S71" s="159">
        <f t="shared" si="2"/>
        <v>3849620.1636000001</v>
      </c>
    </row>
    <row r="72" spans="2:19" x14ac:dyDescent="0.25">
      <c r="B72" s="151" t="s">
        <v>130</v>
      </c>
      <c r="C72" s="151"/>
      <c r="D72" s="151"/>
      <c r="E72" s="160">
        <v>0</v>
      </c>
      <c r="F72" s="166">
        <f t="shared" ref="F72:S72" si="3">F71*Real_Discount_rate*F68</f>
        <v>353.02193640000007</v>
      </c>
      <c r="G72" s="166">
        <f t="shared" si="3"/>
        <v>7972.4120637000033</v>
      </c>
      <c r="H72" s="166">
        <f t="shared" si="3"/>
        <v>14385.64390830001</v>
      </c>
      <c r="I72" s="166">
        <f t="shared" si="3"/>
        <v>34507.89428310006</v>
      </c>
      <c r="J72" s="166">
        <f t="shared" si="3"/>
        <v>24656.3758704375</v>
      </c>
      <c r="K72" s="166">
        <f t="shared" si="3"/>
        <v>63396.856078500001</v>
      </c>
      <c r="L72" s="166">
        <f t="shared" si="3"/>
        <v>130912.30141500001</v>
      </c>
      <c r="M72" s="166">
        <f t="shared" si="3"/>
        <v>280762.75879312505</v>
      </c>
      <c r="N72" s="166">
        <f t="shared" si="3"/>
        <v>336841.76431500004</v>
      </c>
      <c r="O72" s="166">
        <f t="shared" si="3"/>
        <v>421052.20539375005</v>
      </c>
      <c r="P72" s="166">
        <f t="shared" si="3"/>
        <v>505262.6464725</v>
      </c>
      <c r="Q72" s="166">
        <f t="shared" si="3"/>
        <v>589473.08755125012</v>
      </c>
      <c r="R72" s="166">
        <f t="shared" si="3"/>
        <v>673683.52863000007</v>
      </c>
      <c r="S72" s="166">
        <f t="shared" si="3"/>
        <v>673683.52863000007</v>
      </c>
    </row>
    <row r="73" spans="2:19" x14ac:dyDescent="0.25">
      <c r="B73" s="151"/>
      <c r="C73" s="151"/>
      <c r="D73" s="151"/>
      <c r="E73" s="160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</row>
    <row r="74" spans="2:19" x14ac:dyDescent="0.25">
      <c r="B74" s="4" t="s">
        <v>138</v>
      </c>
      <c r="C74" s="151"/>
      <c r="D74" s="151"/>
      <c r="E74" s="160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</row>
    <row r="75" spans="2:19" x14ac:dyDescent="0.25">
      <c r="B75" s="151" t="s">
        <v>132</v>
      </c>
      <c r="C75" s="151"/>
      <c r="D75" s="151"/>
      <c r="E75" s="160"/>
      <c r="F75" s="160">
        <f>F62-F71+IF(RIGHT(F59,2)-RIGHT(E59,2)=1,E71,0)+IF(RIGHT(F59,2)-RIGHT(D59,2)=2,D71,0)</f>
        <v>998547.76296000008</v>
      </c>
      <c r="G75" s="160">
        <f>G62-G71+IF(RIGHT(G59,2)-RIGHT(F59,2)=1,F71,0)+IF(RIGHT(G59,2)-RIGHT(E59,2)=2,E71,0)</f>
        <v>5590774.7856300026</v>
      </c>
      <c r="H75" s="160">
        <f>H62-H71+IF(G68=1,G71,0)+IF(F68=2,F71,0)+IF(E68=3,E71,0)+IF(D68=4,D71)</f>
        <v>6644797.4243100034</v>
      </c>
      <c r="I75" s="160">
        <f t="shared" ref="I75:S75" si="4">I62-I71+IF(H68=1,H71,0)+IF(G68=2,G71,0)+IF(F68=3,F71,0)+IF(E68=4,E71)+IF(D68=D71,0)</f>
        <v>8001410.2941900138</v>
      </c>
      <c r="J75" s="160">
        <f t="shared" si="4"/>
        <v>4667139.1181024993</v>
      </c>
      <c r="K75" s="160">
        <f t="shared" si="4"/>
        <v>4075512.1764749996</v>
      </c>
      <c r="L75" s="160">
        <f t="shared" si="4"/>
        <v>4068998.0812200001</v>
      </c>
      <c r="M75" s="160">
        <f t="shared" si="4"/>
        <v>3978326.0779125006</v>
      </c>
      <c r="N75" s="160">
        <f t="shared" si="4"/>
        <v>2887215.1227000002</v>
      </c>
      <c r="O75" s="160">
        <f t="shared" si="4"/>
        <v>2858847.2885250002</v>
      </c>
      <c r="P75" s="160">
        <f t="shared" si="4"/>
        <v>2859897.9490500004</v>
      </c>
      <c r="Q75" s="160">
        <f t="shared" si="4"/>
        <v>1443607.5613500001</v>
      </c>
      <c r="R75" s="160">
        <f t="shared" si="4"/>
        <v>962405.04089999991</v>
      </c>
      <c r="S75" s="160">
        <f t="shared" si="4"/>
        <v>962405.04089999991</v>
      </c>
    </row>
    <row r="76" spans="2:19" x14ac:dyDescent="0.25">
      <c r="B76" s="151"/>
      <c r="C76" s="151"/>
      <c r="D76" s="151"/>
      <c r="E76" s="160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</row>
    <row r="77" spans="2:19" x14ac:dyDescent="0.25">
      <c r="B77" s="4" t="s">
        <v>135</v>
      </c>
      <c r="C77" s="151"/>
      <c r="D77" s="151"/>
      <c r="E77" s="160"/>
      <c r="F77" s="167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</row>
    <row r="78" spans="2:19" x14ac:dyDescent="0.25">
      <c r="B78" s="151" t="s">
        <v>139</v>
      </c>
      <c r="C78" s="151"/>
      <c r="D78" s="151"/>
      <c r="E78" s="160"/>
      <c r="F78" s="160">
        <f t="shared" ref="F78:S78" si="5">F62-F75</f>
        <v>10086.34103999997</v>
      </c>
      <c r="G78" s="160">
        <f t="shared" si="5"/>
        <v>103805.25986999925</v>
      </c>
      <c r="H78" s="160">
        <f t="shared" si="5"/>
        <v>205509.19868999999</v>
      </c>
      <c r="I78" s="160">
        <f t="shared" si="5"/>
        <v>214755.01130999997</v>
      </c>
      <c r="J78" s="160">
        <f t="shared" si="5"/>
        <v>29313.428647499532</v>
      </c>
      <c r="K78" s="160">
        <f t="shared" si="5"/>
        <v>452834.68627499975</v>
      </c>
      <c r="L78" s="160">
        <f t="shared" si="5"/>
        <v>606441.25502999965</v>
      </c>
      <c r="M78" s="160">
        <f t="shared" si="5"/>
        <v>1369535.9943375005</v>
      </c>
      <c r="N78" s="160">
        <f t="shared" si="5"/>
        <v>1924810.0817999998</v>
      </c>
      <c r="O78" s="160">
        <f t="shared" si="5"/>
        <v>1953177.9159749998</v>
      </c>
      <c r="P78" s="160">
        <f t="shared" si="5"/>
        <v>1952127.2554499996</v>
      </c>
      <c r="Q78" s="160">
        <f t="shared" si="5"/>
        <v>3368417.6431499999</v>
      </c>
      <c r="R78" s="160">
        <f t="shared" si="5"/>
        <v>3849620.1636000001</v>
      </c>
      <c r="S78" s="160">
        <f t="shared" si="5"/>
        <v>3849620.1636000001</v>
      </c>
    </row>
    <row r="79" spans="2:19" x14ac:dyDescent="0.25">
      <c r="B79" s="151" t="s">
        <v>135</v>
      </c>
      <c r="C79" s="159">
        <f>C71</f>
        <v>0</v>
      </c>
      <c r="D79" s="159">
        <f>C79+D71</f>
        <v>0</v>
      </c>
      <c r="E79" s="159">
        <f>D79+E72</f>
        <v>0</v>
      </c>
      <c r="F79" s="159">
        <f>E79+F78</f>
        <v>10086.34103999997</v>
      </c>
      <c r="G79" s="159">
        <f t="shared" ref="G79:S79" si="6">F79+G78</f>
        <v>113891.60090999922</v>
      </c>
      <c r="H79" s="159">
        <f t="shared" si="6"/>
        <v>319400.79959999921</v>
      </c>
      <c r="I79" s="159">
        <f>H79+I78</f>
        <v>534155.81090999919</v>
      </c>
      <c r="J79" s="159">
        <f t="shared" si="6"/>
        <v>563469.23955749872</v>
      </c>
      <c r="K79" s="159">
        <f t="shared" si="6"/>
        <v>1016303.9258324985</v>
      </c>
      <c r="L79" s="159">
        <f t="shared" si="6"/>
        <v>1622745.180862498</v>
      </c>
      <c r="M79" s="159">
        <f t="shared" si="6"/>
        <v>2992281.1751999985</v>
      </c>
      <c r="N79" s="159">
        <f t="shared" si="6"/>
        <v>4917091.2569999984</v>
      </c>
      <c r="O79" s="159">
        <f t="shared" si="6"/>
        <v>6870269.1729749981</v>
      </c>
      <c r="P79" s="159">
        <f t="shared" si="6"/>
        <v>8822396.4284249973</v>
      </c>
      <c r="Q79" s="159">
        <f t="shared" si="6"/>
        <v>12190814.071574997</v>
      </c>
      <c r="R79" s="159">
        <f t="shared" si="6"/>
        <v>16040434.235174997</v>
      </c>
      <c r="S79" s="159">
        <f t="shared" si="6"/>
        <v>19890054.398774996</v>
      </c>
    </row>
    <row r="80" spans="2:19" x14ac:dyDescent="0.25">
      <c r="B80" s="151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</row>
    <row r="81" spans="2:19" x14ac:dyDescent="0.25">
      <c r="B81" s="4" t="s">
        <v>136</v>
      </c>
    </row>
    <row r="82" spans="2:19" x14ac:dyDescent="0.25">
      <c r="B82" s="151" t="s">
        <v>133</v>
      </c>
      <c r="D82" s="155">
        <v>0.5</v>
      </c>
      <c r="E82" s="155">
        <v>0.5</v>
      </c>
      <c r="F82" s="155">
        <v>0.5</v>
      </c>
      <c r="G82" s="155">
        <v>0.5</v>
      </c>
      <c r="H82" s="155">
        <v>0.5</v>
      </c>
      <c r="I82" s="155">
        <v>0.5</v>
      </c>
      <c r="J82" s="155">
        <v>0.45</v>
      </c>
      <c r="K82" s="155">
        <v>0.4</v>
      </c>
      <c r="L82" s="155">
        <v>0.35</v>
      </c>
      <c r="M82" s="155">
        <v>0.3</v>
      </c>
      <c r="N82" s="155">
        <v>0.25</v>
      </c>
      <c r="O82" s="155">
        <v>0.25</v>
      </c>
      <c r="P82" s="155">
        <v>0.25</v>
      </c>
      <c r="Q82" s="155">
        <v>0.25</v>
      </c>
      <c r="R82" s="155">
        <v>0.25</v>
      </c>
      <c r="S82" s="155">
        <v>0.25</v>
      </c>
    </row>
    <row r="83" spans="2:19" x14ac:dyDescent="0.25">
      <c r="B83" s="151" t="s">
        <v>134</v>
      </c>
      <c r="D83" s="160"/>
      <c r="E83" s="160">
        <f t="shared" ref="E83:S83" si="7">E82*-E72</f>
        <v>0</v>
      </c>
      <c r="F83" s="160">
        <f t="shared" si="7"/>
        <v>-176.51096820000004</v>
      </c>
      <c r="G83" s="160">
        <f t="shared" si="7"/>
        <v>-3986.2060318500016</v>
      </c>
      <c r="H83" s="160">
        <f t="shared" si="7"/>
        <v>-7192.8219541500048</v>
      </c>
      <c r="I83" s="160">
        <f t="shared" si="7"/>
        <v>-17253.94714155003</v>
      </c>
      <c r="J83" s="160">
        <f t="shared" si="7"/>
        <v>-11095.369141696876</v>
      </c>
      <c r="K83" s="160">
        <f t="shared" si="7"/>
        <v>-25358.742431400002</v>
      </c>
      <c r="L83" s="160">
        <f t="shared" si="7"/>
        <v>-45819.305495250002</v>
      </c>
      <c r="M83" s="160">
        <f t="shared" si="7"/>
        <v>-84228.827637937517</v>
      </c>
      <c r="N83" s="160">
        <f t="shared" si="7"/>
        <v>-84210.441078750009</v>
      </c>
      <c r="O83" s="160">
        <f t="shared" si="7"/>
        <v>-105263.05134843751</v>
      </c>
      <c r="P83" s="160">
        <f t="shared" si="7"/>
        <v>-126315.661618125</v>
      </c>
      <c r="Q83" s="160">
        <f t="shared" si="7"/>
        <v>-147368.27188781253</v>
      </c>
      <c r="R83" s="160">
        <f t="shared" si="7"/>
        <v>-168420.88215750002</v>
      </c>
      <c r="S83" s="160">
        <f t="shared" si="7"/>
        <v>-168420.88215750002</v>
      </c>
    </row>
    <row r="84" spans="2:19" x14ac:dyDescent="0.25">
      <c r="B84" s="151" t="s">
        <v>155</v>
      </c>
      <c r="E84" s="160">
        <f>D84+E83</f>
        <v>0</v>
      </c>
      <c r="F84" s="160">
        <f t="shared" ref="F84:S84" si="8">E84+F83</f>
        <v>-176.51096820000004</v>
      </c>
      <c r="G84" s="160">
        <f t="shared" si="8"/>
        <v>-4162.7170000500018</v>
      </c>
      <c r="H84" s="160">
        <f t="shared" si="8"/>
        <v>-11355.538954200007</v>
      </c>
      <c r="I84" s="160">
        <f t="shared" si="8"/>
        <v>-28609.486095750035</v>
      </c>
      <c r="J84" s="160">
        <f t="shared" si="8"/>
        <v>-39704.855237446915</v>
      </c>
      <c r="K84" s="160">
        <f t="shared" si="8"/>
        <v>-65063.597668846916</v>
      </c>
      <c r="L84" s="160">
        <f t="shared" si="8"/>
        <v>-110882.90316409692</v>
      </c>
      <c r="M84" s="160">
        <f t="shared" si="8"/>
        <v>-195111.73080203444</v>
      </c>
      <c r="N84" s="160">
        <f t="shared" si="8"/>
        <v>-279322.17188078444</v>
      </c>
      <c r="O84" s="160">
        <f t="shared" si="8"/>
        <v>-384585.22322922194</v>
      </c>
      <c r="P84" s="160">
        <f t="shared" si="8"/>
        <v>-510900.88484734693</v>
      </c>
      <c r="Q84" s="160">
        <f t="shared" si="8"/>
        <v>-658269.15673515946</v>
      </c>
      <c r="R84" s="160">
        <f t="shared" si="8"/>
        <v>-826690.03889265948</v>
      </c>
      <c r="S84" s="160">
        <f t="shared" si="8"/>
        <v>-995110.92105015949</v>
      </c>
    </row>
    <row r="85" spans="2:19" x14ac:dyDescent="0.25">
      <c r="B85" s="151"/>
    </row>
    <row r="86" spans="2:19" x14ac:dyDescent="0.25">
      <c r="B86" s="4" t="s">
        <v>137</v>
      </c>
    </row>
    <row r="87" spans="2:19" s="151" customFormat="1" ht="12" x14ac:dyDescent="0.2">
      <c r="B87" s="151" t="s">
        <v>140</v>
      </c>
      <c r="C87" s="190">
        <f>C71+C72</f>
        <v>0</v>
      </c>
      <c r="D87" s="190">
        <f>D71+D72</f>
        <v>0</v>
      </c>
      <c r="E87" s="190">
        <f t="shared" ref="E87:S87" si="9">E72+E83</f>
        <v>0</v>
      </c>
      <c r="F87" s="190">
        <f t="shared" si="9"/>
        <v>176.51096820000004</v>
      </c>
      <c r="G87" s="190">
        <f t="shared" si="9"/>
        <v>3986.2060318500016</v>
      </c>
      <c r="H87" s="190">
        <f t="shared" si="9"/>
        <v>7192.8219541500048</v>
      </c>
      <c r="I87" s="190">
        <f t="shared" si="9"/>
        <v>17253.94714155003</v>
      </c>
      <c r="J87" s="190">
        <f t="shared" si="9"/>
        <v>13561.006728740624</v>
      </c>
      <c r="K87" s="190">
        <f t="shared" si="9"/>
        <v>38038.113647099999</v>
      </c>
      <c r="L87" s="190">
        <f t="shared" si="9"/>
        <v>85092.995919750014</v>
      </c>
      <c r="M87" s="190">
        <f t="shared" si="9"/>
        <v>196533.93115518754</v>
      </c>
      <c r="N87" s="190">
        <f t="shared" si="9"/>
        <v>252631.32323625003</v>
      </c>
      <c r="O87" s="190">
        <f t="shared" si="9"/>
        <v>315789.15404531255</v>
      </c>
      <c r="P87" s="190">
        <f t="shared" si="9"/>
        <v>378946.98485437501</v>
      </c>
      <c r="Q87" s="190">
        <f t="shared" si="9"/>
        <v>442104.81566343759</v>
      </c>
      <c r="R87" s="190">
        <f t="shared" si="9"/>
        <v>505262.64647250006</v>
      </c>
      <c r="S87" s="190">
        <f t="shared" si="9"/>
        <v>505262.64647250006</v>
      </c>
    </row>
    <row r="88" spans="2:19" x14ac:dyDescent="0.25">
      <c r="B88" s="151"/>
    </row>
    <row r="89" spans="2:19" x14ac:dyDescent="0.25">
      <c r="B89" s="114"/>
      <c r="I89" s="161"/>
      <c r="J89" s="162"/>
    </row>
    <row r="90" spans="2:19" x14ac:dyDescent="0.25">
      <c r="C90" s="160"/>
    </row>
    <row r="91" spans="2:19" x14ac:dyDescent="0.25">
      <c r="C91" s="160"/>
    </row>
    <row r="92" spans="2:19" x14ac:dyDescent="0.25">
      <c r="C92" s="160"/>
    </row>
  </sheetData>
  <mergeCells count="1">
    <mergeCell ref="C12:O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36E5-2643-47EE-B9FD-06E1FE3763A7}">
  <dimension ref="A1:L20"/>
  <sheetViews>
    <sheetView showGridLines="0" workbookViewId="0">
      <selection activeCell="C18" sqref="C18"/>
    </sheetView>
  </sheetViews>
  <sheetFormatPr defaultColWidth="9.140625" defaultRowHeight="12.75" x14ac:dyDescent="0.2"/>
  <cols>
    <col min="1" max="1" width="9" style="1" customWidth="1"/>
    <col min="2" max="2" width="27" style="1" customWidth="1"/>
    <col min="3" max="8" width="12.140625" style="1" customWidth="1"/>
    <col min="9" max="9" width="15.28515625" style="1" customWidth="1"/>
    <col min="10" max="16384" width="9.140625" style="1"/>
  </cols>
  <sheetData>
    <row r="1" spans="1:12" ht="21" x14ac:dyDescent="0.35">
      <c r="A1" s="14" t="str">
        <f>Project_name</f>
        <v>Non-network platform</v>
      </c>
      <c r="B1" s="14"/>
      <c r="C1" s="11"/>
      <c r="D1" s="11"/>
      <c r="E1" s="11"/>
      <c r="F1" s="11"/>
      <c r="G1" s="11"/>
      <c r="H1" s="11"/>
    </row>
    <row r="2" spans="1:12" ht="15.75" x14ac:dyDescent="0.25">
      <c r="A2" s="13" t="str">
        <f>Business</f>
        <v>CP, PAL &amp; UE</v>
      </c>
      <c r="B2" s="13"/>
      <c r="C2" s="11"/>
      <c r="D2" s="11"/>
      <c r="E2" s="11"/>
      <c r="F2" s="11"/>
      <c r="G2" s="11"/>
      <c r="H2" s="11"/>
    </row>
    <row r="3" spans="1:12" s="18" customFormat="1" ht="15.75" x14ac:dyDescent="0.25">
      <c r="A3" s="30" t="str">
        <f>"Summary ($ "&amp;Assumptions!$C$34&amp;")"</f>
        <v>Summary ($ June 2026)</v>
      </c>
      <c r="B3" s="28"/>
      <c r="C3" s="29"/>
      <c r="D3" s="29"/>
      <c r="E3" s="29"/>
      <c r="F3" s="29"/>
      <c r="G3" s="29"/>
      <c r="H3" s="29"/>
      <c r="I3" s="1"/>
      <c r="J3" s="1"/>
      <c r="K3" s="1"/>
      <c r="L3" s="1"/>
    </row>
    <row r="4" spans="1:12" ht="21" x14ac:dyDescent="0.35">
      <c r="A4" s="173"/>
      <c r="B4" s="173"/>
      <c r="C4" s="16"/>
      <c r="D4" s="16"/>
      <c r="E4" s="16"/>
      <c r="F4" s="16"/>
      <c r="G4" s="16"/>
      <c r="H4" s="16"/>
    </row>
    <row r="5" spans="1:12" x14ac:dyDescent="0.2">
      <c r="B5" s="36" t="s">
        <v>151</v>
      </c>
      <c r="C5" s="38" t="s">
        <v>3</v>
      </c>
      <c r="D5" s="38" t="s">
        <v>4</v>
      </c>
      <c r="E5" s="38" t="s">
        <v>5</v>
      </c>
      <c r="F5" s="38" t="s">
        <v>6</v>
      </c>
      <c r="G5" s="38" t="s">
        <v>7</v>
      </c>
      <c r="H5" s="75" t="s">
        <v>8</v>
      </c>
    </row>
    <row r="6" spans="1:12" x14ac:dyDescent="0.2">
      <c r="B6" s="174" t="str">
        <f>Project_name</f>
        <v>Non-network platform</v>
      </c>
      <c r="C6" s="6">
        <f>IF('Project Summary'!$D$6="Option 1",'Project Summary'!F$18,IF('Project Summary'!$D$6="Option 2",'Project Summary'!F$33))</f>
        <v>0</v>
      </c>
      <c r="D6" s="6">
        <f>IF('Project Summary'!$D$6="Option 1",'Project Summary'!G$18,IF('Project Summary'!$D$6="Option 2",'Project Summary'!G$33))</f>
        <v>2087292.8262752704</v>
      </c>
      <c r="E6" s="6">
        <f>IF('Project Summary'!$D$6="Option 1",'Project Summary'!H$18,IF('Project Summary'!$D$6="Option 2",'Project Summary'!H$33))</f>
        <v>2087292.8262752704</v>
      </c>
      <c r="F6" s="6">
        <f>IF('Project Summary'!$D$6="Option 1",'Project Summary'!I$18,IF('Project Summary'!$D$6="Option 2",'Project Summary'!I$33))</f>
        <v>2087292.8262752704</v>
      </c>
      <c r="G6" s="6">
        <f>IF('Project Summary'!$D$6="Option 1",'Project Summary'!J$18,IF('Project Summary'!$D$6="Option 2",'Project Summary'!J$33))</f>
        <v>2087292.8262752704</v>
      </c>
      <c r="H6" s="6">
        <f>SUM(C6:G6)</f>
        <v>8349171.3051010817</v>
      </c>
    </row>
    <row r="8" spans="1:12" x14ac:dyDescent="0.2">
      <c r="B8" s="176" t="s">
        <v>154</v>
      </c>
      <c r="C8" s="176"/>
      <c r="D8" s="176"/>
      <c r="E8" s="176"/>
      <c r="F8" s="176"/>
      <c r="G8" s="176"/>
      <c r="H8" s="178"/>
    </row>
    <row r="9" spans="1:12" x14ac:dyDescent="0.2">
      <c r="B9" s="175" t="s">
        <v>77</v>
      </c>
      <c r="C9" s="6">
        <f>'Option 2'!P$10*business_case_dollars*Assumptions!$F$19</f>
        <v>0</v>
      </c>
      <c r="D9" s="6">
        <f>'Option 2'!Q$10*business_case_dollars*Assumptions!$F$19</f>
        <v>166936.8969624895</v>
      </c>
      <c r="E9" s="6">
        <f>'Option 2'!R$10*business_case_dollars*Assumptions!$F$19</f>
        <v>166936.8969624895</v>
      </c>
      <c r="F9" s="6">
        <f>'Option 2'!S$10*business_case_dollars*Assumptions!$F$19</f>
        <v>166936.8969624895</v>
      </c>
      <c r="G9" s="6">
        <f>'Option 2'!T$10*business_case_dollars*Assumptions!$F$19</f>
        <v>166936.8969624895</v>
      </c>
      <c r="H9" s="6">
        <f t="shared" ref="H9:H11" si="0">SUM(C9:G9)</f>
        <v>667747.58784995798</v>
      </c>
    </row>
    <row r="10" spans="1:12" x14ac:dyDescent="0.2">
      <c r="B10" s="174" t="s">
        <v>78</v>
      </c>
      <c r="C10" s="6">
        <f>'Option 2'!P$10*business_case_dollars*Assumptions!$F$18</f>
        <v>0</v>
      </c>
      <c r="D10" s="6">
        <f>'Option 2'!Q$10*business_case_dollars*Assumptions!$F$18</f>
        <v>389519.42624580878</v>
      </c>
      <c r="E10" s="6">
        <f>'Option 2'!R$10*business_case_dollars*Assumptions!$F$18</f>
        <v>389519.42624580878</v>
      </c>
      <c r="F10" s="6">
        <f>'Option 2'!S$10*business_case_dollars*Assumptions!$F$18</f>
        <v>389519.42624580878</v>
      </c>
      <c r="G10" s="6">
        <f>'Option 2'!T$10*business_case_dollars*Assumptions!$F$18</f>
        <v>389519.42624580878</v>
      </c>
      <c r="H10" s="6">
        <f t="shared" si="0"/>
        <v>1558077.7049832351</v>
      </c>
    </row>
    <row r="11" spans="1:12" x14ac:dyDescent="0.2">
      <c r="B11" s="174" t="s">
        <v>79</v>
      </c>
      <c r="C11" s="6">
        <f>'Option 2'!P$10*business_case_dollars*Assumptions!$F$20</f>
        <v>0</v>
      </c>
      <c r="D11" s="6">
        <f>'Option 2'!Q$10*business_case_dollars*Assumptions!$F$20</f>
        <v>556456.3232082983</v>
      </c>
      <c r="E11" s="6">
        <f>'Option 2'!R$10*business_case_dollars*Assumptions!$F$20</f>
        <v>556456.3232082983</v>
      </c>
      <c r="F11" s="6">
        <f>'Option 2'!S$10*business_case_dollars*Assumptions!$F$20</f>
        <v>556456.3232082983</v>
      </c>
      <c r="G11" s="6">
        <f>'Option 2'!T$10*business_case_dollars*Assumptions!$F$20</f>
        <v>556456.3232082983</v>
      </c>
      <c r="H11" s="6">
        <f t="shared" si="0"/>
        <v>2225825.2928331932</v>
      </c>
    </row>
    <row r="12" spans="1:12" x14ac:dyDescent="0.2">
      <c r="B12" s="177" t="s">
        <v>152</v>
      </c>
      <c r="C12" s="179">
        <f>SUM(C9:C11)</f>
        <v>0</v>
      </c>
      <c r="D12" s="179">
        <f>SUM(D9:D11)</f>
        <v>1112912.6464165966</v>
      </c>
      <c r="E12" s="179">
        <f t="shared" ref="E12:H12" si="1">SUM(E9:E11)</f>
        <v>1112912.6464165966</v>
      </c>
      <c r="F12" s="179">
        <f t="shared" si="1"/>
        <v>1112912.6464165966</v>
      </c>
      <c r="G12" s="180">
        <f t="shared" si="1"/>
        <v>1112912.6464165966</v>
      </c>
      <c r="H12" s="181">
        <f t="shared" si="1"/>
        <v>4451650.5856663864</v>
      </c>
    </row>
    <row r="15" spans="1:12" x14ac:dyDescent="0.2">
      <c r="B15" s="176" t="s">
        <v>153</v>
      </c>
      <c r="C15" s="176"/>
      <c r="D15" s="176"/>
      <c r="E15" s="176"/>
      <c r="F15" s="176"/>
      <c r="G15" s="176"/>
      <c r="H15" s="178"/>
    </row>
    <row r="16" spans="1:12" x14ac:dyDescent="0.2">
      <c r="B16" s="175" t="str">
        <f>Project_name&amp;" - CP"</f>
        <v>Non-network platform - CP</v>
      </c>
      <c r="C16" s="6">
        <f>(C$6-C$12)*Assumptions!$B$19+C9</f>
        <v>0</v>
      </c>
      <c r="D16" s="6">
        <f>(D$6-D$12)*Assumptions!$B$19+D9</f>
        <v>371556.73473281099</v>
      </c>
      <c r="E16" s="6">
        <f>(E$6-E$12)*Assumptions!$B$19+E9</f>
        <v>371556.73473281099</v>
      </c>
      <c r="F16" s="6">
        <f>(F$6-F$12)*Assumptions!$B$19+F9</f>
        <v>371556.73473281099</v>
      </c>
      <c r="G16" s="6">
        <f>(G$6-G$12)*Assumptions!$B$19+G9</f>
        <v>371556.73473281099</v>
      </c>
      <c r="H16" s="6">
        <f t="shared" ref="H16:H18" si="2">SUM(C16:G16)</f>
        <v>1486226.938931244</v>
      </c>
    </row>
    <row r="17" spans="2:8" x14ac:dyDescent="0.2">
      <c r="B17" s="175" t="str">
        <f>Project_name&amp;" - PAL"</f>
        <v>Non-network platform - PAL</v>
      </c>
      <c r="C17" s="6">
        <f>(C$6-C$12)*Assumptions!$B$18+C10</f>
        <v>0</v>
      </c>
      <c r="D17" s="6">
        <f>(D$6-D$12)*Assumptions!$B$18+D10</f>
        <v>866965.7143765589</v>
      </c>
      <c r="E17" s="6">
        <f>(E$6-E$12)*Assumptions!$B$18+E10</f>
        <v>866965.7143765589</v>
      </c>
      <c r="F17" s="6">
        <f>(F$6-F$12)*Assumptions!$B$18+F10</f>
        <v>866965.7143765589</v>
      </c>
      <c r="G17" s="6">
        <f>(G$6-G$12)*Assumptions!$B$18+G10</f>
        <v>866965.7143765589</v>
      </c>
      <c r="H17" s="6">
        <f t="shared" si="2"/>
        <v>3467862.8575062356</v>
      </c>
    </row>
    <row r="18" spans="2:8" x14ac:dyDescent="0.2">
      <c r="B18" s="175" t="str">
        <f>Project_name&amp;" - UE"</f>
        <v>Non-network platform - UE</v>
      </c>
      <c r="C18" s="6">
        <f>(C$6-C$12)*Assumptions!$B$20+C11</f>
        <v>0</v>
      </c>
      <c r="D18" s="6">
        <f>(D$6-D$12)*Assumptions!$B$20+D11</f>
        <v>848770.37716590043</v>
      </c>
      <c r="E18" s="6">
        <f>(E$6-E$12)*Assumptions!$B$20+E11</f>
        <v>848770.37716590043</v>
      </c>
      <c r="F18" s="6">
        <f>(F$6-F$12)*Assumptions!$B$20+F11</f>
        <v>848770.37716590043</v>
      </c>
      <c r="G18" s="6">
        <f>(G$6-G$12)*Assumptions!$B$20+G11</f>
        <v>848770.37716590043</v>
      </c>
      <c r="H18" s="6">
        <f t="shared" si="2"/>
        <v>3395081.5086636017</v>
      </c>
    </row>
    <row r="19" spans="2:8" ht="13.5" thickBot="1" x14ac:dyDescent="0.25">
      <c r="B19" s="182" t="s">
        <v>157</v>
      </c>
      <c r="C19" s="183">
        <f>SUM(C16:C18)</f>
        <v>0</v>
      </c>
      <c r="D19" s="183">
        <f>SUM(D16:D18)</f>
        <v>2087292.8262752704</v>
      </c>
      <c r="E19" s="183">
        <f t="shared" ref="E19:H19" si="3">SUM(E16:E18)</f>
        <v>2087292.8262752704</v>
      </c>
      <c r="F19" s="183">
        <f t="shared" si="3"/>
        <v>2087292.8262752704</v>
      </c>
      <c r="G19" s="184">
        <f t="shared" si="3"/>
        <v>2087292.8262752704</v>
      </c>
      <c r="H19" s="185">
        <f t="shared" si="3"/>
        <v>8349171.3051010817</v>
      </c>
    </row>
    <row r="20" spans="2:8" ht="13.5" thickTop="1" x14ac:dyDescent="0.2"/>
  </sheetData>
  <pageMargins left="0.7" right="0.7" top="0.75" bottom="0.75" header="0.3" footer="0.3"/>
  <pageSetup paperSize="9" orientation="portrait" r:id="rId1"/>
  <ignoredErrors>
    <ignoredError sqref="B6 B16:B18 C12:H12 C16:G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8"/>
  <sheetViews>
    <sheetView showGridLines="0" zoomScale="85" zoomScaleNormal="85" workbookViewId="0">
      <selection activeCell="F37" sqref="F37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Non-network platform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CP, PAL &amp; 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"&amp;Assumptions!$C$34&amp;")"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0</v>
      </c>
      <c r="D6" s="171" t="s">
        <v>17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1</v>
      </c>
      <c r="C10" s="36" t="s">
        <v>2</v>
      </c>
      <c r="D10" s="36"/>
      <c r="E10" s="37"/>
      <c r="F10" s="38" t="s">
        <v>3</v>
      </c>
      <c r="G10" s="38" t="s">
        <v>4</v>
      </c>
      <c r="H10" s="38" t="s">
        <v>5</v>
      </c>
      <c r="I10" s="38" t="s">
        <v>6</v>
      </c>
      <c r="J10" s="38" t="s">
        <v>7</v>
      </c>
      <c r="K10" s="75" t="s">
        <v>8</v>
      </c>
      <c r="P10"/>
    </row>
    <row r="11" spans="1:16" ht="12.75" customHeight="1" x14ac:dyDescent="0.25">
      <c r="C11" s="1" t="s">
        <v>9</v>
      </c>
      <c r="D11" s="109" t="s">
        <v>10</v>
      </c>
      <c r="E11" s="2"/>
      <c r="F11" s="6">
        <f>'Option 1'!P74</f>
        <v>0</v>
      </c>
      <c r="G11" s="6">
        <f>'Option 1'!Q74</f>
        <v>0</v>
      </c>
      <c r="H11" s="6">
        <f>'Option 1'!R74</f>
        <v>0</v>
      </c>
      <c r="I11" s="6">
        <f>'Option 1'!S74</f>
        <v>0</v>
      </c>
      <c r="J11" s="6">
        <f>'Option 1'!T74</f>
        <v>0</v>
      </c>
      <c r="K11" s="6">
        <f>SUM(F11:J11)</f>
        <v>0</v>
      </c>
      <c r="M11" s="100"/>
      <c r="P11"/>
    </row>
    <row r="12" spans="1:16" ht="12.75" customHeight="1" x14ac:dyDescent="0.25">
      <c r="C12" s="1" t="s">
        <v>11</v>
      </c>
      <c r="D12" s="109" t="s">
        <v>10</v>
      </c>
      <c r="E12" s="2"/>
      <c r="F12" s="6">
        <f>'Option 1'!P75</f>
        <v>0</v>
      </c>
      <c r="G12" s="6">
        <f>'Option 1'!Q75</f>
        <v>0</v>
      </c>
      <c r="H12" s="6">
        <f>'Option 1'!R75</f>
        <v>0</v>
      </c>
      <c r="I12" s="6">
        <f>'Option 1'!S75</f>
        <v>0</v>
      </c>
      <c r="J12" s="6">
        <f>'Option 1'!T75</f>
        <v>0</v>
      </c>
      <c r="K12" s="6">
        <f t="shared" ref="K12:K13" si="0">SUM(F12:J12)</f>
        <v>0</v>
      </c>
      <c r="M12" s="100"/>
      <c r="P12"/>
    </row>
    <row r="13" spans="1:16" ht="12.75" customHeight="1" x14ac:dyDescent="0.2">
      <c r="C13" s="1" t="s">
        <v>12</v>
      </c>
      <c r="D13" s="109" t="s">
        <v>10</v>
      </c>
      <c r="F13" s="6">
        <f>'Option 1'!P76</f>
        <v>0</v>
      </c>
      <c r="G13" s="6">
        <f>'Option 1'!Q76</f>
        <v>0</v>
      </c>
      <c r="H13" s="6">
        <f>'Option 1'!R76</f>
        <v>0</v>
      </c>
      <c r="I13" s="6">
        <f>'Option 1'!S76</f>
        <v>0</v>
      </c>
      <c r="J13" s="6">
        <f>'Option 1'!T76</f>
        <v>0</v>
      </c>
      <c r="K13" s="6">
        <f t="shared" si="0"/>
        <v>0</v>
      </c>
      <c r="M13" s="100"/>
    </row>
    <row r="14" spans="1:16" ht="12.75" customHeight="1" x14ac:dyDescent="0.2">
      <c r="C14" s="103" t="s">
        <v>13</v>
      </c>
      <c r="D14" s="110"/>
      <c r="E14" s="103"/>
      <c r="F14" s="107">
        <f>SUM(F11:F13)</f>
        <v>0</v>
      </c>
      <c r="G14" s="107">
        <f t="shared" ref="G14:K14" si="1">SUM(G11:G13)</f>
        <v>0</v>
      </c>
      <c r="H14" s="107">
        <f t="shared" si="1"/>
        <v>0</v>
      </c>
      <c r="I14" s="107">
        <f t="shared" si="1"/>
        <v>0</v>
      </c>
      <c r="J14" s="107">
        <f t="shared" si="1"/>
        <v>0</v>
      </c>
      <c r="K14" s="107">
        <f t="shared" si="1"/>
        <v>0</v>
      </c>
      <c r="M14" s="100"/>
    </row>
    <row r="15" spans="1:16" ht="12.75" customHeight="1" x14ac:dyDescent="0.2">
      <c r="C15" s="1" t="s">
        <v>9</v>
      </c>
      <c r="D15" s="109" t="s">
        <v>14</v>
      </c>
      <c r="F15" s="6">
        <f>'Option 1'!P78</f>
        <v>0</v>
      </c>
      <c r="G15" s="6">
        <f>'Option 1'!Q78</f>
        <v>0</v>
      </c>
      <c r="H15" s="6">
        <f>'Option 1'!R78</f>
        <v>0</v>
      </c>
      <c r="I15" s="6">
        <f>'Option 1'!S78</f>
        <v>0</v>
      </c>
      <c r="J15" s="6">
        <f>'Option 1'!T78</f>
        <v>0</v>
      </c>
      <c r="K15" s="6">
        <f>SUM(F15:J15)</f>
        <v>0</v>
      </c>
      <c r="M15" s="100"/>
    </row>
    <row r="16" spans="1:16" ht="12.75" customHeight="1" x14ac:dyDescent="0.2">
      <c r="C16" s="1" t="s">
        <v>11</v>
      </c>
      <c r="D16" s="109" t="s">
        <v>14</v>
      </c>
      <c r="F16" s="6">
        <f>'Option 1'!P79</f>
        <v>0</v>
      </c>
      <c r="G16" s="6">
        <f>'Option 1'!Q79</f>
        <v>0</v>
      </c>
      <c r="H16" s="6">
        <f>'Option 1'!R79</f>
        <v>0</v>
      </c>
      <c r="I16" s="6">
        <f>'Option 1'!S79</f>
        <v>0</v>
      </c>
      <c r="J16" s="6">
        <f>'Option 1'!T79</f>
        <v>0</v>
      </c>
      <c r="K16" s="6">
        <f t="shared" ref="K16:K17" si="2">SUM(F16:J16)</f>
        <v>0</v>
      </c>
      <c r="M16" s="100"/>
    </row>
    <row r="17" spans="2:13" ht="12.75" customHeight="1" x14ac:dyDescent="0.2">
      <c r="C17" s="1" t="s">
        <v>12</v>
      </c>
      <c r="D17" s="109" t="s">
        <v>14</v>
      </c>
      <c r="F17" s="6">
        <f>'Option 1'!P80</f>
        <v>0</v>
      </c>
      <c r="G17" s="6">
        <f>'Option 1'!Q80</f>
        <v>0</v>
      </c>
      <c r="H17" s="6">
        <f>'Option 1'!R80</f>
        <v>0</v>
      </c>
      <c r="I17" s="6">
        <f>'Option 1'!S80</f>
        <v>0</v>
      </c>
      <c r="J17" s="6">
        <f>'Option 1'!T80</f>
        <v>0</v>
      </c>
      <c r="K17" s="6">
        <f t="shared" si="2"/>
        <v>0</v>
      </c>
      <c r="M17" s="100"/>
    </row>
    <row r="18" spans="2:13" ht="12.75" customHeight="1" x14ac:dyDescent="0.2">
      <c r="C18" s="103" t="s">
        <v>15</v>
      </c>
      <c r="D18" s="110"/>
      <c r="E18" s="103"/>
      <c r="F18" s="107">
        <f>SUM(F15:F17)</f>
        <v>0</v>
      </c>
      <c r="G18" s="107">
        <f t="shared" ref="G18:K18" si="3">SUM(G15:G17)</f>
        <v>0</v>
      </c>
      <c r="H18" s="107">
        <f t="shared" si="3"/>
        <v>0</v>
      </c>
      <c r="I18" s="107">
        <f t="shared" si="3"/>
        <v>0</v>
      </c>
      <c r="J18" s="107">
        <f t="shared" si="3"/>
        <v>0</v>
      </c>
      <c r="K18" s="107">
        <f t="shared" si="3"/>
        <v>0</v>
      </c>
      <c r="M18" s="100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100"/>
    </row>
    <row r="20" spans="2:13" ht="12.75" customHeight="1" x14ac:dyDescent="0.2">
      <c r="C20" s="113" t="str">
        <f>"Total Cost ($ "&amp;Assumptions!$C34&amp;")"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9">
        <f>K20-'Option 1'!$U$83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16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17</v>
      </c>
      <c r="C25" s="36" t="s">
        <v>2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5" t="s">
        <v>8</v>
      </c>
    </row>
    <row r="26" spans="2:13" ht="12.75" customHeight="1" x14ac:dyDescent="0.2">
      <c r="C26" s="1" t="s">
        <v>9</v>
      </c>
      <c r="D26" s="109" t="s">
        <v>10</v>
      </c>
      <c r="E26" s="2"/>
      <c r="F26" s="6">
        <f>'Option 2'!P74</f>
        <v>2430318.0794342486</v>
      </c>
      <c r="G26" s="6">
        <f>'Option 2'!Q74</f>
        <v>0</v>
      </c>
      <c r="H26" s="6">
        <f>'Option 2'!R74</f>
        <v>0</v>
      </c>
      <c r="I26" s="6">
        <f>'Option 2'!S74</f>
        <v>0</v>
      </c>
      <c r="J26" s="6">
        <f>'Option 2'!T74</f>
        <v>0</v>
      </c>
      <c r="K26" s="6">
        <f>SUM(F26:J26)</f>
        <v>2430318.0794342486</v>
      </c>
      <c r="M26" s="100"/>
    </row>
    <row r="27" spans="2:13" x14ac:dyDescent="0.2">
      <c r="C27" s="1" t="s">
        <v>11</v>
      </c>
      <c r="D27" s="109" t="s">
        <v>10</v>
      </c>
      <c r="E27" s="2"/>
      <c r="F27" s="6">
        <f>'Option 2'!P75</f>
        <v>3450029.2038914496</v>
      </c>
      <c r="G27" s="6">
        <f>'Option 2'!Q75</f>
        <v>0</v>
      </c>
      <c r="H27" s="6">
        <f>'Option 2'!R75</f>
        <v>0</v>
      </c>
      <c r="I27" s="6">
        <f>'Option 2'!S75</f>
        <v>0</v>
      </c>
      <c r="J27" s="6">
        <f>'Option 2'!T75</f>
        <v>0</v>
      </c>
      <c r="K27" s="6">
        <f t="shared" ref="K27:K28" si="6">SUM(F27:J27)</f>
        <v>3450029.2038914496</v>
      </c>
      <c r="M27" s="100"/>
    </row>
    <row r="28" spans="2:13" x14ac:dyDescent="0.2">
      <c r="C28" s="1" t="s">
        <v>12</v>
      </c>
      <c r="D28" s="109" t="s">
        <v>10</v>
      </c>
      <c r="F28" s="6">
        <f>'Option 2'!P76</f>
        <v>0</v>
      </c>
      <c r="G28" s="6">
        <f>'Option 2'!Q76</f>
        <v>0</v>
      </c>
      <c r="H28" s="6">
        <f>'Option 2'!R76</f>
        <v>0</v>
      </c>
      <c r="I28" s="6">
        <f>'Option 2'!S76</f>
        <v>0</v>
      </c>
      <c r="J28" s="6">
        <f>'Option 2'!T76</f>
        <v>0</v>
      </c>
      <c r="K28" s="6">
        <f t="shared" si="6"/>
        <v>0</v>
      </c>
      <c r="M28" s="100"/>
    </row>
    <row r="29" spans="2:13" x14ac:dyDescent="0.2">
      <c r="C29" s="103" t="s">
        <v>13</v>
      </c>
      <c r="D29" s="110"/>
      <c r="E29" s="103"/>
      <c r="F29" s="107">
        <f>SUM(F26:F28)</f>
        <v>5880347.2833256982</v>
      </c>
      <c r="G29" s="107">
        <f t="shared" ref="G29" si="7">SUM(G26:G28)</f>
        <v>0</v>
      </c>
      <c r="H29" s="107">
        <f t="shared" ref="H29" si="8">SUM(H26:H28)</f>
        <v>0</v>
      </c>
      <c r="I29" s="107">
        <f t="shared" ref="I29" si="9">SUM(I26:I28)</f>
        <v>0</v>
      </c>
      <c r="J29" s="107">
        <f t="shared" ref="J29" si="10">SUM(J26:J28)</f>
        <v>0</v>
      </c>
      <c r="K29" s="107">
        <f t="shared" ref="K29" si="11">SUM(K26:K28)</f>
        <v>5880347.2833256982</v>
      </c>
      <c r="M29" s="100"/>
    </row>
    <row r="30" spans="2:13" x14ac:dyDescent="0.2">
      <c r="C30" s="1" t="s">
        <v>9</v>
      </c>
      <c r="D30" s="109" t="s">
        <v>14</v>
      </c>
      <c r="F30" s="6">
        <f>'Option 2'!P78</f>
        <v>0</v>
      </c>
      <c r="G30" s="6">
        <f>'Option 2'!Q78</f>
        <v>417923.85665037547</v>
      </c>
      <c r="H30" s="6">
        <f>'Option 2'!R78</f>
        <v>417923.85665037547</v>
      </c>
      <c r="I30" s="6">
        <f>'Option 2'!S78</f>
        <v>417923.85665037547</v>
      </c>
      <c r="J30" s="6">
        <f>'Option 2'!T78</f>
        <v>417923.85665037547</v>
      </c>
      <c r="K30" s="6">
        <f>SUM(F30:J30)</f>
        <v>1671695.4266015019</v>
      </c>
      <c r="M30" s="100"/>
    </row>
    <row r="31" spans="2:13" x14ac:dyDescent="0.2">
      <c r="C31" s="1" t="s">
        <v>11</v>
      </c>
      <c r="D31" s="109" t="s">
        <v>14</v>
      </c>
      <c r="F31" s="6">
        <f>'Option 2'!P79</f>
        <v>0</v>
      </c>
      <c r="G31" s="6">
        <f>'Option 2'!Q79</f>
        <v>0</v>
      </c>
      <c r="H31" s="6">
        <f>'Option 2'!R79</f>
        <v>0</v>
      </c>
      <c r="I31" s="6">
        <f>'Option 2'!S79</f>
        <v>0</v>
      </c>
      <c r="J31" s="6">
        <f>'Option 2'!T79</f>
        <v>0</v>
      </c>
      <c r="K31" s="6">
        <f t="shared" ref="K31:K32" si="12">SUM(F31:J31)</f>
        <v>0</v>
      </c>
      <c r="M31" s="100"/>
    </row>
    <row r="32" spans="2:13" x14ac:dyDescent="0.2">
      <c r="C32" s="1" t="s">
        <v>12</v>
      </c>
      <c r="D32" s="109" t="s">
        <v>14</v>
      </c>
      <c r="F32" s="6">
        <f>'Option 2'!P80</f>
        <v>0</v>
      </c>
      <c r="G32" s="6">
        <f>'Option 2'!Q80</f>
        <v>1669368.9696248949</v>
      </c>
      <c r="H32" s="6">
        <f>'Option 2'!R80</f>
        <v>1669368.9696248949</v>
      </c>
      <c r="I32" s="6">
        <f>'Option 2'!S80</f>
        <v>1669368.9696248949</v>
      </c>
      <c r="J32" s="6">
        <f>'Option 2'!T80</f>
        <v>1669368.9696248949</v>
      </c>
      <c r="K32" s="6">
        <f t="shared" si="12"/>
        <v>6677475.8784995796</v>
      </c>
      <c r="M32" s="100"/>
    </row>
    <row r="33" spans="2:13" x14ac:dyDescent="0.2">
      <c r="C33" s="103" t="s">
        <v>15</v>
      </c>
      <c r="D33" s="110"/>
      <c r="E33" s="103"/>
      <c r="F33" s="107">
        <f>SUM(F30:F32)</f>
        <v>0</v>
      </c>
      <c r="G33" s="107">
        <f t="shared" ref="G33" si="13">SUM(G30:G32)</f>
        <v>2087292.8262752704</v>
      </c>
      <c r="H33" s="107">
        <f t="shared" ref="H33" si="14">SUM(H30:H32)</f>
        <v>2087292.8262752704</v>
      </c>
      <c r="I33" s="107">
        <f t="shared" ref="I33" si="15">SUM(I30:I32)</f>
        <v>2087292.8262752704</v>
      </c>
      <c r="J33" s="107">
        <f t="shared" ref="J33" si="16">SUM(J30:J32)</f>
        <v>2087292.8262752704</v>
      </c>
      <c r="K33" s="107">
        <f t="shared" ref="K33" si="17">SUM(K30:K32)</f>
        <v>8349171.3051010817</v>
      </c>
      <c r="M33" s="100"/>
    </row>
    <row r="34" spans="2:13" x14ac:dyDescent="0.2">
      <c r="D34" s="49"/>
      <c r="F34" s="6"/>
      <c r="G34" s="6"/>
      <c r="H34" s="6"/>
      <c r="I34" s="6"/>
      <c r="J34" s="6"/>
      <c r="K34" s="6"/>
      <c r="M34" s="100"/>
    </row>
    <row r="35" spans="2:13" x14ac:dyDescent="0.2">
      <c r="C35" s="113" t="str">
        <f>"Total Cost ($ "&amp;Assumptions!$C$34&amp;")"</f>
        <v>Total Cost ($ June 2026)</v>
      </c>
      <c r="D35" s="21"/>
      <c r="E35" s="21"/>
      <c r="F35" s="22">
        <f t="shared" ref="F35:K35" si="18">F29+F33</f>
        <v>5880347.2833256982</v>
      </c>
      <c r="G35" s="22">
        <f t="shared" si="18"/>
        <v>2087292.8262752704</v>
      </c>
      <c r="H35" s="22">
        <f t="shared" si="18"/>
        <v>2087292.8262752704</v>
      </c>
      <c r="I35" s="22">
        <f t="shared" si="18"/>
        <v>2087292.8262752704</v>
      </c>
      <c r="J35" s="22">
        <f t="shared" si="18"/>
        <v>2087292.8262752704</v>
      </c>
      <c r="K35" s="22">
        <f t="shared" si="18"/>
        <v>14229518.58842678</v>
      </c>
      <c r="L35" s="59">
        <f>K35-'Option 2'!U83</f>
        <v>0</v>
      </c>
    </row>
    <row r="37" spans="2:13" x14ac:dyDescent="0.2">
      <c r="C37" s="54" t="s">
        <v>16</v>
      </c>
      <c r="D37" s="22"/>
      <c r="E37" s="22"/>
      <c r="F37" s="22">
        <f>NPV(Assumptions!$B$10,F35:J35)</f>
        <v>13089023.348601783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</sheetData>
  <pageMargins left="0.70866141732283472" right="0.70866141732283472" top="0.74803149606299213" bottom="0.74803149606299213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3BC0A3-9FE2-4FF1-8FF1-D940262A04E5}">
          <x14:formula1>
            <xm:f>Assumptions!$A$24:$A$26</xm:f>
          </x14:formula1>
          <xm:sqref>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1"/>
  <sheetViews>
    <sheetView showGridLines="0" zoomScale="90" zoomScaleNormal="90" workbookViewId="0">
      <selection activeCell="H11" sqref="H11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3" t="str">
        <f>Project_name</f>
        <v>Non-network platform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21" x14ac:dyDescent="0.35">
      <c r="A2" s="60" t="str">
        <f>Business</f>
        <v>CP, PAL &amp; UE</v>
      </c>
      <c r="B2" s="13"/>
      <c r="C2" s="13"/>
      <c r="D2" s="13"/>
      <c r="E2" s="13"/>
      <c r="F2" s="13"/>
      <c r="G2" s="13"/>
      <c r="H2" s="13"/>
      <c r="I2" s="14"/>
      <c r="J2" s="14"/>
      <c r="K2" s="14"/>
    </row>
    <row r="3" spans="1:35" s="18" customFormat="1" ht="12.75" customHeight="1" x14ac:dyDescent="0.35">
      <c r="A3" s="30" t="s">
        <v>19</v>
      </c>
      <c r="B3" s="28"/>
      <c r="C3" s="28"/>
      <c r="D3" s="28"/>
      <c r="E3" s="28"/>
      <c r="F3" s="28"/>
      <c r="G3" s="28"/>
      <c r="H3" s="13"/>
      <c r="I3" s="14"/>
      <c r="J3" s="14"/>
      <c r="K3" s="1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18</v>
      </c>
      <c r="B4" s="42" t="s">
        <v>19</v>
      </c>
      <c r="C4" s="27" t="s">
        <v>20</v>
      </c>
      <c r="D4" s="27" t="s">
        <v>21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22</v>
      </c>
      <c r="B6" s="78" t="s">
        <v>125</v>
      </c>
      <c r="C6" s="78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23</v>
      </c>
      <c r="B8" s="79" t="s">
        <v>164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24</v>
      </c>
      <c r="B10" s="191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25</v>
      </c>
      <c r="B12" s="80" t="s">
        <v>88</v>
      </c>
      <c r="C12" s="44" t="s">
        <v>26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27</v>
      </c>
      <c r="B14" s="192">
        <f>IF(B12="2022/23",C41,C42)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2" ht="12.75" customHeight="1" x14ac:dyDescent="0.25">
      <c r="A17" s="53" t="s">
        <v>28</v>
      </c>
      <c r="B17" s="76"/>
      <c r="C17" s="76"/>
      <c r="D17" s="76"/>
      <c r="E17" s="53" t="s">
        <v>83</v>
      </c>
      <c r="F17" s="76"/>
      <c r="G17" s="76"/>
      <c r="H17" s="76"/>
      <c r="I17" s="76"/>
      <c r="J17" s="76"/>
      <c r="K17" s="76"/>
    </row>
    <row r="18" spans="1:12" ht="12.75" customHeight="1" x14ac:dyDescent="0.25">
      <c r="A18" s="44" t="s">
        <v>29</v>
      </c>
      <c r="B18" s="93">
        <f>0.7*0.7</f>
        <v>0.48999999999999994</v>
      </c>
      <c r="E18" s="44" t="s">
        <v>29</v>
      </c>
      <c r="F18" s="93">
        <f>0.5*0.7</f>
        <v>0.35</v>
      </c>
    </row>
    <row r="19" spans="1:12" ht="12.75" customHeight="1" x14ac:dyDescent="0.25">
      <c r="A19" s="44" t="s">
        <v>30</v>
      </c>
      <c r="B19" s="93">
        <f>0.7*0.3</f>
        <v>0.21</v>
      </c>
      <c r="D19" s="44"/>
      <c r="E19" s="44" t="s">
        <v>30</v>
      </c>
      <c r="F19" s="93">
        <f>0.5*0.3</f>
        <v>0.15</v>
      </c>
    </row>
    <row r="20" spans="1:12" ht="12.75" customHeight="1" x14ac:dyDescent="0.25">
      <c r="A20" s="44" t="s">
        <v>31</v>
      </c>
      <c r="B20" s="94">
        <v>0.3</v>
      </c>
      <c r="D20" s="44"/>
      <c r="E20" s="44" t="s">
        <v>31</v>
      </c>
      <c r="F20" s="94">
        <v>0.5</v>
      </c>
    </row>
    <row r="21" spans="1:12" ht="12.75" customHeight="1" x14ac:dyDescent="0.25">
      <c r="A21" s="44"/>
      <c r="B21" s="95">
        <f>SUM(B18:B20)</f>
        <v>1</v>
      </c>
      <c r="D21" s="44"/>
      <c r="E21" s="44"/>
      <c r="F21" s="95">
        <f>SUM(F18:F20)</f>
        <v>1</v>
      </c>
    </row>
    <row r="22" spans="1:12" ht="12.75" customHeight="1" x14ac:dyDescent="0.25">
      <c r="A22" s="44"/>
      <c r="B22" s="44"/>
      <c r="C22" s="44"/>
      <c r="D22" s="44"/>
      <c r="E22" s="44"/>
    </row>
    <row r="23" spans="1:12" ht="12.75" customHeight="1" x14ac:dyDescent="0.25">
      <c r="A23" s="53" t="s">
        <v>32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2" ht="12.75" customHeight="1" x14ac:dyDescent="0.25">
      <c r="A24" s="44" t="s">
        <v>1</v>
      </c>
      <c r="B24" s="86" t="s">
        <v>165</v>
      </c>
      <c r="C24" s="87"/>
      <c r="D24" s="87"/>
      <c r="E24" s="87"/>
      <c r="F24" s="87"/>
      <c r="G24" s="88"/>
    </row>
    <row r="25" spans="1:12" ht="12.75" customHeight="1" x14ac:dyDescent="0.25">
      <c r="A25" s="44" t="s">
        <v>17</v>
      </c>
      <c r="B25" s="89" t="s">
        <v>166</v>
      </c>
      <c r="C25" s="90"/>
      <c r="D25" s="90"/>
      <c r="E25" s="90"/>
      <c r="F25" s="90"/>
      <c r="G25" s="91"/>
    </row>
    <row r="26" spans="1:12" ht="12.75" customHeight="1" x14ac:dyDescent="0.25">
      <c r="A26" s="44"/>
      <c r="B26" s="92"/>
      <c r="C26" s="92"/>
      <c r="D26" s="92"/>
      <c r="E26" s="92"/>
      <c r="F26" s="92"/>
      <c r="G26" s="92"/>
    </row>
    <row r="27" spans="1:12" ht="12.75" customHeight="1" x14ac:dyDescent="0.25">
      <c r="A27" s="44"/>
      <c r="B27" s="92"/>
      <c r="C27" s="92"/>
      <c r="D27" s="92"/>
      <c r="E27" s="92"/>
      <c r="F27" s="92"/>
      <c r="G27" s="92"/>
    </row>
    <row r="28" spans="1:12" ht="12.75" customHeight="1" x14ac:dyDescent="0.25">
      <c r="A28" s="39" t="s">
        <v>158</v>
      </c>
      <c r="B28" s="39"/>
      <c r="C28" s="39"/>
      <c r="D28" s="40"/>
      <c r="E28" s="134" t="s">
        <v>87</v>
      </c>
      <c r="F28" s="134" t="s">
        <v>88</v>
      </c>
      <c r="G28" s="134" t="s">
        <v>89</v>
      </c>
      <c r="H28" s="134" t="s">
        <v>86</v>
      </c>
      <c r="I28" s="102"/>
      <c r="J28" s="40"/>
      <c r="K28" s="40"/>
    </row>
    <row r="29" spans="1:12" ht="12.75" customHeight="1" x14ac:dyDescent="0.25">
      <c r="A29" s="115" t="s">
        <v>82</v>
      </c>
      <c r="B29" s="116"/>
      <c r="C29" s="117"/>
      <c r="D29" s="118"/>
      <c r="E29" s="119">
        <v>1.1757125218136175</v>
      </c>
      <c r="F29" s="119">
        <v>1.1129126464165966</v>
      </c>
      <c r="G29" s="119">
        <v>1.050660524730181</v>
      </c>
      <c r="H29" s="119">
        <v>1.014889156509222</v>
      </c>
      <c r="I29" s="120"/>
      <c r="J29" s="118"/>
      <c r="K29" s="118"/>
      <c r="L29" s="64"/>
    </row>
    <row r="30" spans="1:12" ht="12.75" customHeight="1" x14ac:dyDescent="0.25">
      <c r="B30" s="1"/>
      <c r="D30" s="57"/>
      <c r="I30" s="71"/>
      <c r="J30" s="58"/>
      <c r="K30" s="58"/>
    </row>
    <row r="31" spans="1:12" ht="12.75" customHeight="1" x14ac:dyDescent="0.25">
      <c r="A31" s="1"/>
      <c r="B31" s="1"/>
      <c r="D31" s="41"/>
      <c r="I31" s="71"/>
      <c r="J31" s="71"/>
      <c r="K31" s="71"/>
    </row>
    <row r="32" spans="1:12" ht="12.75" customHeight="1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ht="12.75" customHeight="1" x14ac:dyDescent="0.25"/>
    <row r="34" spans="1:11" ht="12.75" customHeight="1" x14ac:dyDescent="0.25">
      <c r="A34" s="44" t="s">
        <v>33</v>
      </c>
      <c r="C34" s="193" t="s">
        <v>86</v>
      </c>
      <c r="D34" t="s">
        <v>26</v>
      </c>
    </row>
    <row r="35" spans="1:11" ht="12.75" customHeight="1" x14ac:dyDescent="0.25">
      <c r="A35" s="44" t="s">
        <v>34</v>
      </c>
      <c r="C35" s="43" t="str">
        <f>$B$12</f>
        <v>June 2024</v>
      </c>
    </row>
    <row r="36" spans="1:11" ht="12.75" customHeight="1" x14ac:dyDescent="0.25">
      <c r="A36" s="44" t="s">
        <v>35</v>
      </c>
      <c r="C36" s="96">
        <f>INDEX($E$29:$H$29,MATCH($C$35,$E$28:$H$28))</f>
        <v>1.1129126464165966</v>
      </c>
    </row>
    <row r="37" spans="1:11" ht="12.75" customHeight="1" x14ac:dyDescent="0.25"/>
    <row r="38" spans="1:11" ht="12.75" customHeight="1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ht="12.75" customHeight="1" x14ac:dyDescent="0.25"/>
    <row r="40" spans="1:11" ht="12.75" customHeight="1" x14ac:dyDescent="0.25">
      <c r="A40" s="44" t="s">
        <v>36</v>
      </c>
      <c r="C40" s="194" t="s">
        <v>37</v>
      </c>
      <c r="D40" t="s">
        <v>38</v>
      </c>
    </row>
    <row r="41" spans="1:11" ht="12.75" customHeight="1" x14ac:dyDescent="0.25">
      <c r="A41" s="44" t="s">
        <v>34</v>
      </c>
      <c r="C41" s="98">
        <v>135.18960020374115</v>
      </c>
      <c r="D41" t="s">
        <v>39</v>
      </c>
    </row>
    <row r="42" spans="1:11" ht="12.75" customHeight="1" x14ac:dyDescent="0.25">
      <c r="A42" s="44" t="s">
        <v>35</v>
      </c>
      <c r="C42" s="99">
        <v>145.77740895836223</v>
      </c>
      <c r="D42" t="s">
        <v>40</v>
      </c>
    </row>
    <row r="43" spans="1:11" ht="12.75" customHeight="1" x14ac:dyDescent="0.25"/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</sheetData>
  <dataValidations count="1">
    <dataValidation type="list" allowBlank="1" showInputMessage="1" showErrorMessage="1" sqref="B12" xr:uid="{F4530B8B-E1E8-402D-B0E6-F53F35029D26}">
      <formula1>$E$28:$F$28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ABF2-E435-468F-9C1D-77CBBBFDA4C9}">
  <dimension ref="A1:Y85"/>
  <sheetViews>
    <sheetView showGridLines="0" zoomScale="90" zoomScaleNormal="90" workbookViewId="0">
      <pane ySplit="9" topLeftCell="A23" activePane="bottomLeft" state="frozen"/>
      <selection activeCell="C14" sqref="C14"/>
      <selection pane="bottomLeft" activeCell="D85" sqref="D85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Non-network platform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41</v>
      </c>
      <c r="D7" s="66" t="s">
        <v>42</v>
      </c>
      <c r="E7" s="163" t="s">
        <v>43</v>
      </c>
      <c r="F7" s="16"/>
      <c r="G7" s="111" t="s">
        <v>9</v>
      </c>
      <c r="H7" s="19" t="s">
        <v>44</v>
      </c>
      <c r="J7" s="19" t="s">
        <v>45</v>
      </c>
      <c r="K7" s="20"/>
      <c r="L7" s="20"/>
      <c r="M7" s="20"/>
      <c r="N7" s="20"/>
      <c r="P7" s="19" t="s">
        <v>46</v>
      </c>
      <c r="Q7" s="20"/>
      <c r="R7" s="20"/>
      <c r="S7" s="20"/>
      <c r="T7" s="20"/>
    </row>
    <row r="8" spans="1:25" ht="12.75" customHeight="1" x14ac:dyDescent="0.2">
      <c r="A8" s="4"/>
      <c r="B8" s="4"/>
      <c r="C8" s="101"/>
      <c r="D8" s="101" t="s">
        <v>47</v>
      </c>
      <c r="E8" s="164"/>
      <c r="F8" s="16"/>
      <c r="G8" s="112" t="s">
        <v>48</v>
      </c>
      <c r="H8" s="4"/>
      <c r="J8" s="51" t="s">
        <v>3</v>
      </c>
      <c r="K8" s="51" t="s">
        <v>4</v>
      </c>
      <c r="L8" s="51" t="s">
        <v>5</v>
      </c>
      <c r="M8" s="51" t="s">
        <v>6</v>
      </c>
      <c r="N8" s="51" t="s">
        <v>7</v>
      </c>
      <c r="P8" s="51" t="s">
        <v>3</v>
      </c>
      <c r="Q8" s="51" t="s">
        <v>4</v>
      </c>
      <c r="R8" s="51" t="s">
        <v>5</v>
      </c>
      <c r="S8" s="51" t="s">
        <v>6</v>
      </c>
      <c r="T8" s="51" t="s">
        <v>7</v>
      </c>
    </row>
    <row r="9" spans="1:25" ht="12.75" customHeight="1" x14ac:dyDescent="0.2">
      <c r="E9" s="165"/>
      <c r="F9" s="16"/>
    </row>
    <row r="10" spans="1:25" ht="12.75" customHeight="1" x14ac:dyDescent="0.2">
      <c r="A10" s="4"/>
      <c r="C10" s="82"/>
      <c r="D10" s="83" t="s">
        <v>47</v>
      </c>
      <c r="E10" s="81" t="s">
        <v>12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/>
      <c r="L10" s="84"/>
      <c r="M10" s="84"/>
      <c r="N10" s="84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82"/>
      <c r="D11" s="83" t="s">
        <v>51</v>
      </c>
      <c r="E11" s="81" t="s">
        <v>9</v>
      </c>
      <c r="F11" s="2"/>
      <c r="G11" s="65">
        <f>IF($E11="Labour",Assumptions!$B$14,)</f>
        <v>145.77740895836223</v>
      </c>
      <c r="H11" s="9" t="str">
        <f t="shared" ref="H11:H54" si="5">IF($E11="Labour","Hours","$")</f>
        <v>Hours</v>
      </c>
      <c r="I11" s="2"/>
      <c r="J11" s="84"/>
      <c r="K11" s="84"/>
      <c r="L11" s="84"/>
      <c r="M11" s="84"/>
      <c r="N11" s="84"/>
      <c r="O11" s="2"/>
      <c r="P11" s="5">
        <f t="shared" si="0"/>
        <v>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2"/>
      <c r="D12" s="83" t="s">
        <v>51</v>
      </c>
      <c r="E12" s="81" t="s">
        <v>9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/>
      <c r="K12" s="84"/>
      <c r="L12" s="84"/>
      <c r="M12" s="84"/>
      <c r="N12" s="84"/>
      <c r="O12" s="2"/>
      <c r="P12" s="5">
        <f t="shared" si="0"/>
        <v>0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2"/>
      <c r="D13" s="83" t="s">
        <v>51</v>
      </c>
      <c r="E13" s="81" t="s">
        <v>11</v>
      </c>
      <c r="F13" s="2"/>
      <c r="G13" s="65">
        <f>IF($E13="Labour",Assumptions!$B$14,)</f>
        <v>0</v>
      </c>
      <c r="H13" s="9" t="str">
        <f t="shared" si="5"/>
        <v>$</v>
      </c>
      <c r="I13" s="2"/>
      <c r="J13" s="84"/>
      <c r="K13" s="84"/>
      <c r="L13" s="84"/>
      <c r="M13" s="84"/>
      <c r="N13" s="84"/>
      <c r="O13" s="2"/>
      <c r="P13" s="5">
        <f t="shared" si="0"/>
        <v>0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/>
      <c r="D14" s="83" t="s">
        <v>51</v>
      </c>
      <c r="E14" s="81" t="s">
        <v>9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/>
      <c r="K14" s="84"/>
      <c r="L14" s="84"/>
      <c r="M14" s="84"/>
      <c r="N14" s="84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/>
      <c r="D15" s="83" t="s">
        <v>51</v>
      </c>
      <c r="E15" s="81" t="s">
        <v>9</v>
      </c>
      <c r="F15" s="2"/>
      <c r="G15" s="65">
        <f>IF($E15="Labour",Assumptions!$B$14,)</f>
        <v>145.77740895836223</v>
      </c>
      <c r="H15" s="9" t="str">
        <f t="shared" si="5"/>
        <v>Hours</v>
      </c>
      <c r="I15" s="2"/>
      <c r="J15" s="84"/>
      <c r="K15" s="84"/>
      <c r="L15" s="84"/>
      <c r="M15" s="84"/>
      <c r="N15" s="84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/>
      <c r="D16" s="83" t="s">
        <v>47</v>
      </c>
      <c r="E16" s="81" t="s">
        <v>9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/>
      <c r="K16" s="84"/>
      <c r="L16" s="84"/>
      <c r="M16" s="84"/>
      <c r="N16" s="84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2"/>
      <c r="D17" s="83" t="s">
        <v>51</v>
      </c>
      <c r="E17" s="81" t="s">
        <v>9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/>
      <c r="K17" s="84"/>
      <c r="L17" s="84"/>
      <c r="M17" s="84"/>
      <c r="N17" s="84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 t="s">
        <v>47</v>
      </c>
      <c r="E18" s="81" t="s">
        <v>9</v>
      </c>
      <c r="F18" s="2"/>
      <c r="G18" s="65">
        <f>IF($E18="Labour",Assumptions!$B$14,)</f>
        <v>145.77740895836223</v>
      </c>
      <c r="H18" s="9" t="str">
        <f t="shared" si="5"/>
        <v>Hours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 t="s">
        <v>51</v>
      </c>
      <c r="E19" s="81" t="s">
        <v>9</v>
      </c>
      <c r="F19" s="2"/>
      <c r="G19" s="65">
        <f>IF($E19="Labour",Assumptions!$B$14,)</f>
        <v>145.77740895836223</v>
      </c>
      <c r="H19" s="9" t="str">
        <f t="shared" si="5"/>
        <v>Hours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 t="s">
        <v>51</v>
      </c>
      <c r="E20" s="81" t="s">
        <v>11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 t="s">
        <v>47</v>
      </c>
      <c r="E21" s="81" t="s">
        <v>12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 t="s">
        <v>51</v>
      </c>
      <c r="E22" s="81" t="s">
        <v>9</v>
      </c>
      <c r="F22" s="2"/>
      <c r="G22" s="65">
        <f>IF($E22="Labour",Assumptions!$B$14,)</f>
        <v>145.77740895836223</v>
      </c>
      <c r="H22" s="9" t="str">
        <f t="shared" si="5"/>
        <v>Hours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 t="s">
        <v>51</v>
      </c>
      <c r="E23" s="81" t="s">
        <v>9</v>
      </c>
      <c r="F23" s="2"/>
      <c r="G23" s="65">
        <f>IF($E23="Labour",Assumptions!$B$14,)</f>
        <v>145.77740895836223</v>
      </c>
      <c r="H23" s="9" t="str">
        <f t="shared" si="5"/>
        <v>Hours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 t="s">
        <v>51</v>
      </c>
      <c r="E24" s="81" t="s">
        <v>11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 t="s">
        <v>51</v>
      </c>
      <c r="E25" s="81" t="s">
        <v>9</v>
      </c>
      <c r="F25" s="2"/>
      <c r="G25" s="65">
        <f>IF($E25="Labour",Assumptions!$B$14,)</f>
        <v>145.77740895836223</v>
      </c>
      <c r="H25" s="9" t="str">
        <f t="shared" si="5"/>
        <v>Hours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 t="s">
        <v>51</v>
      </c>
      <c r="E26" s="81" t="s">
        <v>11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 t="s">
        <v>51</v>
      </c>
      <c r="E27" s="81" t="s">
        <v>9</v>
      </c>
      <c r="F27" s="2"/>
      <c r="G27" s="65">
        <f>IF($E27="Labour",Assumptions!$B$14,)</f>
        <v>145.77740895836223</v>
      </c>
      <c r="H27" s="9" t="str">
        <f t="shared" si="5"/>
        <v>Hours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 t="s">
        <v>47</v>
      </c>
      <c r="E28" s="81" t="s">
        <v>9</v>
      </c>
      <c r="F28" s="2"/>
      <c r="G28" s="65">
        <f>IF($E28="Labour",Assumptions!$B$14,)</f>
        <v>145.77740895836223</v>
      </c>
      <c r="H28" s="9" t="str">
        <f t="shared" si="5"/>
        <v>Hours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 t="s">
        <v>51</v>
      </c>
      <c r="E29" s="81" t="s">
        <v>11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51</v>
      </c>
      <c r="E30" s="81" t="s">
        <v>9</v>
      </c>
      <c r="F30" s="2"/>
      <c r="G30" s="65">
        <f>IF($E30="Labour",Assumptions!$B$14,)</f>
        <v>145.77740895836223</v>
      </c>
      <c r="H30" s="9" t="str">
        <f t="shared" si="5"/>
        <v>Hours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51</v>
      </c>
      <c r="E31" s="81" t="s">
        <v>9</v>
      </c>
      <c r="F31" s="2"/>
      <c r="G31" s="65">
        <f>IF($E31="Labour",Assumptions!$B$14,)</f>
        <v>145.77740895836223</v>
      </c>
      <c r="H31" s="9" t="str">
        <f t="shared" si="5"/>
        <v>Hours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47</v>
      </c>
      <c r="E32" s="81" t="s">
        <v>9</v>
      </c>
      <c r="F32" s="2"/>
      <c r="G32" s="65">
        <f>IF($E32="Labour",Assumptions!$B$14,)</f>
        <v>145.77740895836223</v>
      </c>
      <c r="H32" s="9" t="str">
        <f t="shared" si="5"/>
        <v>Hours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51</v>
      </c>
      <c r="E33" s="81" t="s">
        <v>11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47</v>
      </c>
      <c r="E34" s="81" t="s">
        <v>12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51</v>
      </c>
      <c r="E35" s="81" t="s">
        <v>9</v>
      </c>
      <c r="F35" s="2"/>
      <c r="G35" s="65">
        <f>IF($E35="Labour",Assumptions!$B$14,)</f>
        <v>145.77740895836223</v>
      </c>
      <c r="H35" s="9" t="str">
        <f t="shared" si="5"/>
        <v>Hours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51</v>
      </c>
      <c r="E36" s="81" t="s">
        <v>9</v>
      </c>
      <c r="F36" s="2"/>
      <c r="G36" s="65">
        <f>IF($E36="Labour",Assumptions!$B$14,)</f>
        <v>145.77740895836223</v>
      </c>
      <c r="H36" s="9" t="str">
        <f t="shared" si="5"/>
        <v>Hours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51</v>
      </c>
      <c r="E37" s="81" t="s">
        <v>11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51</v>
      </c>
      <c r="E38" s="81" t="s">
        <v>9</v>
      </c>
      <c r="F38" s="2"/>
      <c r="G38" s="65">
        <f>IF($E38="Labour",Assumptions!$B$14,)</f>
        <v>145.77740895836223</v>
      </c>
      <c r="H38" s="9" t="str">
        <f t="shared" si="5"/>
        <v>Hours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51</v>
      </c>
      <c r="E39" s="81" t="s">
        <v>11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51</v>
      </c>
      <c r="E40" s="81" t="s">
        <v>9</v>
      </c>
      <c r="G40" s="65">
        <f>IF($E40="Labour",Assumptions!$B$14,)</f>
        <v>145.77740895836223</v>
      </c>
      <c r="H40" s="9" t="str">
        <f t="shared" si="5"/>
        <v>Hours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47</v>
      </c>
      <c r="E41" s="81" t="s">
        <v>9</v>
      </c>
      <c r="G41" s="65">
        <f>IF($E41="Labour",Assumptions!$B$14,)</f>
        <v>145.77740895836223</v>
      </c>
      <c r="H41" s="9" t="str">
        <f t="shared" si="5"/>
        <v>Hours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51</v>
      </c>
      <c r="E42" s="81" t="s">
        <v>11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2"/>
      <c r="D43" s="83" t="s">
        <v>51</v>
      </c>
      <c r="E43" s="81" t="s">
        <v>11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2"/>
      <c r="D44" s="83" t="s">
        <v>47</v>
      </c>
      <c r="E44" s="81" t="s">
        <v>12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2"/>
      <c r="D45" s="83" t="s">
        <v>51</v>
      </c>
      <c r="E45" s="81" t="s">
        <v>9</v>
      </c>
      <c r="G45" s="65">
        <f>IF($E45="Labour",Assumptions!$B$14,)</f>
        <v>145.77740895836223</v>
      </c>
      <c r="H45" s="9" t="str">
        <f t="shared" si="5"/>
        <v>Hours</v>
      </c>
      <c r="J45" s="84"/>
      <c r="K45" s="84"/>
      <c r="L45" s="84"/>
      <c r="M45" s="84"/>
      <c r="N45" s="84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2"/>
      <c r="D46" s="83" t="s">
        <v>47</v>
      </c>
      <c r="E46" s="81" t="s">
        <v>12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2"/>
      <c r="D47" s="83" t="s">
        <v>51</v>
      </c>
      <c r="E47" s="81" t="s">
        <v>9</v>
      </c>
      <c r="G47" s="65">
        <f>IF($E47="Labour",Assumptions!$B$14,)</f>
        <v>145.77740895836223</v>
      </c>
      <c r="H47" s="9" t="str">
        <f t="shared" si="5"/>
        <v>Hours</v>
      </c>
      <c r="J47" s="84"/>
      <c r="K47" s="84"/>
      <c r="L47" s="84"/>
      <c r="M47" s="84"/>
      <c r="N47" s="84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2"/>
      <c r="D48" s="83" t="s">
        <v>47</v>
      </c>
      <c r="E48" s="81" t="s">
        <v>12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2"/>
      <c r="D49" s="83" t="s">
        <v>51</v>
      </c>
      <c r="E49" s="81" t="s">
        <v>9</v>
      </c>
      <c r="G49" s="65">
        <f>IF($E49="Labour",Assumptions!$B$14,)</f>
        <v>145.77740895836223</v>
      </c>
      <c r="H49" s="9" t="str">
        <f t="shared" si="5"/>
        <v>Hours</v>
      </c>
      <c r="J49" s="84"/>
      <c r="K49" s="84"/>
      <c r="L49" s="84"/>
      <c r="M49" s="84"/>
      <c r="N49" s="84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2"/>
      <c r="D50" s="83" t="s">
        <v>51</v>
      </c>
      <c r="E50" s="81" t="s">
        <v>9</v>
      </c>
      <c r="G50" s="65">
        <f>IF($E50="Labour",Assumptions!$B$14,)</f>
        <v>145.77740895836223</v>
      </c>
      <c r="H50" s="9" t="str">
        <f t="shared" si="5"/>
        <v>Hours</v>
      </c>
      <c r="J50" s="84"/>
      <c r="K50" s="84"/>
      <c r="L50" s="84"/>
      <c r="M50" s="84"/>
      <c r="N50" s="84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2"/>
      <c r="D51" s="83" t="s">
        <v>47</v>
      </c>
      <c r="E51" s="81" t="s">
        <v>9</v>
      </c>
      <c r="G51" s="65">
        <f>IF($E51="Labour",Assumptions!$B$14,)</f>
        <v>145.77740895836223</v>
      </c>
      <c r="H51" s="9" t="str">
        <f t="shared" si="5"/>
        <v>Hours</v>
      </c>
      <c r="J51" s="84"/>
      <c r="K51" s="84"/>
      <c r="L51" s="84"/>
      <c r="M51" s="84"/>
      <c r="N51" s="84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2"/>
      <c r="D52" s="83" t="s">
        <v>51</v>
      </c>
      <c r="E52" s="81" t="s">
        <v>9</v>
      </c>
      <c r="G52" s="65">
        <f>IF($E52="Labour",Assumptions!$B$14,)</f>
        <v>145.77740895836223</v>
      </c>
      <c r="H52" s="9" t="str">
        <f t="shared" si="5"/>
        <v>Hours</v>
      </c>
      <c r="J52" s="84"/>
      <c r="K52" s="84"/>
      <c r="L52" s="84"/>
      <c r="M52" s="84"/>
      <c r="N52" s="84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2"/>
      <c r="D53" s="83" t="s">
        <v>47</v>
      </c>
      <c r="E53" s="81" t="s">
        <v>9</v>
      </c>
      <c r="G53" s="65">
        <f>IF($E53="Labour",Assumptions!$B$14,)</f>
        <v>145.77740895836223</v>
      </c>
      <c r="H53" s="9" t="str">
        <f t="shared" si="5"/>
        <v>Hours</v>
      </c>
      <c r="J53" s="84"/>
      <c r="K53" s="84"/>
      <c r="L53" s="84"/>
      <c r="M53" s="84"/>
      <c r="N53" s="84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2"/>
      <c r="D54" s="83" t="s">
        <v>47</v>
      </c>
      <c r="E54" s="81" t="s">
        <v>12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  <c r="U54" s="108"/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68</v>
      </c>
      <c r="F57" s="2"/>
      <c r="I57" s="2"/>
      <c r="O57" s="2"/>
      <c r="P57" s="70" t="s">
        <v>3</v>
      </c>
      <c r="Q57" s="70" t="s">
        <v>4</v>
      </c>
      <c r="R57" s="70" t="s">
        <v>5</v>
      </c>
      <c r="S57" s="70" t="s">
        <v>6</v>
      </c>
      <c r="T57" s="70" t="s">
        <v>7</v>
      </c>
      <c r="U57" s="70" t="s">
        <v>8</v>
      </c>
      <c r="Y57"/>
    </row>
    <row r="58" spans="1:25" ht="12.75" customHeight="1" x14ac:dyDescent="0.2">
      <c r="C58" s="24" t="s">
        <v>9</v>
      </c>
      <c r="D58" s="24" t="s">
        <v>51</v>
      </c>
      <c r="E58" s="24"/>
      <c r="F58" s="2"/>
      <c r="G58" s="67"/>
      <c r="H58" s="68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0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2">
        <f>SUM(P58:T58)</f>
        <v>0</v>
      </c>
    </row>
    <row r="59" spans="1:25" ht="12.75" customHeight="1" x14ac:dyDescent="0.2">
      <c r="C59" s="1" t="s">
        <v>11</v>
      </c>
      <c r="D59" s="1" t="s">
        <v>51</v>
      </c>
      <c r="F59" s="2"/>
      <c r="G59" s="69"/>
      <c r="I59" s="2"/>
      <c r="O59" s="2"/>
      <c r="P59" s="6">
        <f t="shared" ref="P59:P60" si="7">SUMIFS(P$10:P$54,$E$10:$E$54,$C59,$D$10:$D$54,$D59)</f>
        <v>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3">
        <f t="shared" ref="U59:U67" si="8">SUM(P59:T59)</f>
        <v>0</v>
      </c>
    </row>
    <row r="60" spans="1:25" ht="12.75" customHeight="1" x14ac:dyDescent="0.2">
      <c r="C60" s="1" t="s">
        <v>12</v>
      </c>
      <c r="D60" s="1" t="s">
        <v>51</v>
      </c>
      <c r="F60" s="2"/>
      <c r="G60" s="69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3">
        <f t="shared" si="8"/>
        <v>0</v>
      </c>
    </row>
    <row r="61" spans="1:25" ht="12.75" customHeight="1" x14ac:dyDescent="0.2">
      <c r="C61" s="21" t="s">
        <v>13</v>
      </c>
      <c r="D61" s="21" t="s">
        <v>51</v>
      </c>
      <c r="E61" s="103"/>
      <c r="F61" s="105"/>
      <c r="G61" s="104"/>
      <c r="H61" s="106"/>
      <c r="I61" s="105"/>
      <c r="J61" s="103"/>
      <c r="K61" s="103"/>
      <c r="L61" s="103"/>
      <c r="M61" s="103"/>
      <c r="N61" s="103"/>
      <c r="O61" s="105"/>
      <c r="P61" s="22">
        <f>SUM(P58:P60)</f>
        <v>0</v>
      </c>
      <c r="Q61" s="22">
        <f t="shared" ref="Q61:U61" si="9">SUM(Q58:Q60)</f>
        <v>0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0</v>
      </c>
    </row>
    <row r="62" spans="1:25" ht="12.75" customHeight="1" x14ac:dyDescent="0.2">
      <c r="C62" s="1" t="s">
        <v>9</v>
      </c>
      <c r="D62" s="1" t="s">
        <v>47</v>
      </c>
      <c r="F62" s="2"/>
      <c r="G62" s="69"/>
      <c r="I62" s="2"/>
      <c r="O62" s="2"/>
      <c r="P62" s="6">
        <f t="shared" ref="P62:T64" si="10">SUMIFS(P$10:P$54,$E$10:$E$54,$C62,$D$10:$D$54,$D62)</f>
        <v>0</v>
      </c>
      <c r="Q62" s="6">
        <f t="shared" si="10"/>
        <v>0</v>
      </c>
      <c r="R62" s="6">
        <f t="shared" si="10"/>
        <v>0</v>
      </c>
      <c r="S62" s="6">
        <f t="shared" si="10"/>
        <v>0</v>
      </c>
      <c r="T62" s="6">
        <f t="shared" si="10"/>
        <v>0</v>
      </c>
      <c r="U62" s="73">
        <f t="shared" si="8"/>
        <v>0</v>
      </c>
    </row>
    <row r="63" spans="1:25" ht="12.75" customHeight="1" x14ac:dyDescent="0.2">
      <c r="C63" s="1" t="s">
        <v>11</v>
      </c>
      <c r="D63" s="1" t="s">
        <v>47</v>
      </c>
      <c r="F63" s="2"/>
      <c r="G63" s="69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3">
        <f t="shared" si="8"/>
        <v>0</v>
      </c>
    </row>
    <row r="64" spans="1:25" ht="12.75" customHeight="1" x14ac:dyDescent="0.2">
      <c r="C64" s="1" t="s">
        <v>12</v>
      </c>
      <c r="D64" s="1" t="s">
        <v>47</v>
      </c>
      <c r="F64" s="2"/>
      <c r="G64" s="69"/>
      <c r="I64" s="2"/>
      <c r="O64" s="2"/>
      <c r="P64" s="6">
        <f t="shared" si="10"/>
        <v>0</v>
      </c>
      <c r="Q64" s="6">
        <f t="shared" si="10"/>
        <v>0</v>
      </c>
      <c r="R64" s="6">
        <f t="shared" si="10"/>
        <v>0</v>
      </c>
      <c r="S64" s="6">
        <f t="shared" si="10"/>
        <v>0</v>
      </c>
      <c r="T64" s="6">
        <f t="shared" si="10"/>
        <v>0</v>
      </c>
      <c r="U64" s="73">
        <f t="shared" si="8"/>
        <v>0</v>
      </c>
    </row>
    <row r="65" spans="3:22" ht="12.75" customHeight="1" x14ac:dyDescent="0.2">
      <c r="C65" s="21" t="s">
        <v>15</v>
      </c>
      <c r="D65" s="21" t="s">
        <v>47</v>
      </c>
      <c r="E65" s="103"/>
      <c r="F65" s="105"/>
      <c r="G65" s="104"/>
      <c r="H65" s="106"/>
      <c r="I65" s="105"/>
      <c r="J65" s="103"/>
      <c r="K65" s="103"/>
      <c r="L65" s="103"/>
      <c r="M65" s="103"/>
      <c r="N65" s="103"/>
      <c r="O65" s="105"/>
      <c r="P65" s="22">
        <f>SUM(P62:P64)</f>
        <v>0</v>
      </c>
      <c r="Q65" s="22">
        <f t="shared" ref="Q65:U65" si="11">SUM(Q62:Q64)</f>
        <v>0</v>
      </c>
      <c r="R65" s="22">
        <f t="shared" si="11"/>
        <v>0</v>
      </c>
      <c r="S65" s="22">
        <f t="shared" si="11"/>
        <v>0</v>
      </c>
      <c r="T65" s="22">
        <f t="shared" si="11"/>
        <v>0</v>
      </c>
      <c r="U65" s="22">
        <f t="shared" si="11"/>
        <v>0</v>
      </c>
    </row>
    <row r="66" spans="3:22" ht="12.75" customHeight="1" x14ac:dyDescent="0.2">
      <c r="F66" s="2"/>
      <c r="G66" s="69"/>
      <c r="I66" s="2"/>
      <c r="O66" s="2"/>
      <c r="P66" s="6"/>
      <c r="Q66" s="6"/>
      <c r="R66" s="6"/>
      <c r="S66" s="6"/>
      <c r="T66" s="6"/>
      <c r="U66" s="73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69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0</v>
      </c>
      <c r="Q67" s="8">
        <f t="shared" ref="Q67:T67" si="12">Q61+Q65</f>
        <v>0</v>
      </c>
      <c r="R67" s="8">
        <f t="shared" si="12"/>
        <v>0</v>
      </c>
      <c r="S67" s="8">
        <f t="shared" si="12"/>
        <v>0</v>
      </c>
      <c r="T67" s="8">
        <f t="shared" si="12"/>
        <v>0</v>
      </c>
      <c r="U67" s="74">
        <f t="shared" si="8"/>
        <v>0</v>
      </c>
    </row>
    <row r="68" spans="3:22" ht="12.75" customHeight="1" x14ac:dyDescent="0.2">
      <c r="C68" s="45" t="s">
        <v>70</v>
      </c>
      <c r="D68" s="45"/>
      <c r="E68" s="45"/>
      <c r="F68" s="2"/>
      <c r="G68" s="45"/>
      <c r="H68" s="45"/>
      <c r="I68" s="2"/>
      <c r="J68" s="45"/>
      <c r="K68" s="45"/>
      <c r="L68" s="45"/>
      <c r="M68" s="45"/>
      <c r="N68" s="45"/>
      <c r="O68" s="2"/>
      <c r="P68" s="46">
        <f>P67-SUM(P$10:P$54)</f>
        <v>0</v>
      </c>
      <c r="Q68" s="46">
        <f t="shared" ref="Q68:T68" si="13">Q67-SUM(Q$10:Q$54)</f>
        <v>0</v>
      </c>
      <c r="R68" s="46">
        <f t="shared" si="13"/>
        <v>0</v>
      </c>
      <c r="S68" s="46">
        <f t="shared" si="13"/>
        <v>0</v>
      </c>
      <c r="T68" s="46">
        <f t="shared" si="13"/>
        <v>0</v>
      </c>
      <c r="U68" s="46">
        <f>U67-SUM(P$10:T$54)</f>
        <v>0</v>
      </c>
      <c r="V68" s="46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5" t="str">
        <f>"NPV ($ "&amp;Assumptions!$B$12&amp;")"</f>
        <v>NPV ($ June 2024)</v>
      </c>
      <c r="D70" s="56">
        <f>NPV(Real_Discount_rate,P67:T67)</f>
        <v>0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7" t="s">
        <v>71</v>
      </c>
      <c r="F73" s="2"/>
      <c r="I73" s="2"/>
      <c r="O73" s="2"/>
      <c r="P73" s="70" t="s">
        <v>3</v>
      </c>
      <c r="Q73" s="70" t="s">
        <v>4</v>
      </c>
      <c r="R73" s="70" t="s">
        <v>5</v>
      </c>
      <c r="S73" s="70" t="s">
        <v>6</v>
      </c>
      <c r="T73" s="70" t="s">
        <v>7</v>
      </c>
      <c r="U73" s="70" t="s">
        <v>8</v>
      </c>
    </row>
    <row r="74" spans="3:22" ht="12.75" customHeight="1" x14ac:dyDescent="0.2">
      <c r="C74" s="24" t="s">
        <v>9</v>
      </c>
      <c r="D74" s="24" t="s">
        <v>51</v>
      </c>
      <c r="E74" s="24"/>
      <c r="F74" s="2"/>
      <c r="G74" s="67"/>
      <c r="H74" s="68"/>
      <c r="I74" s="2"/>
      <c r="J74" s="24"/>
      <c r="K74" s="24"/>
      <c r="L74" s="24"/>
      <c r="M74" s="24"/>
      <c r="N74" s="24"/>
      <c r="O74" s="2"/>
      <c r="P74" s="34">
        <f t="shared" ref="P74:T76" si="14">P58*business_case_dollars</f>
        <v>0</v>
      </c>
      <c r="Q74" s="34">
        <f t="shared" si="14"/>
        <v>0</v>
      </c>
      <c r="R74" s="34">
        <f t="shared" si="14"/>
        <v>0</v>
      </c>
      <c r="S74" s="34">
        <f t="shared" si="14"/>
        <v>0</v>
      </c>
      <c r="T74" s="34">
        <f t="shared" si="14"/>
        <v>0</v>
      </c>
      <c r="U74" s="72">
        <f>SUM(P74:T74)</f>
        <v>0</v>
      </c>
    </row>
    <row r="75" spans="3:22" ht="12.75" customHeight="1" x14ac:dyDescent="0.2">
      <c r="C75" s="1" t="s">
        <v>11</v>
      </c>
      <c r="D75" s="1" t="s">
        <v>51</v>
      </c>
      <c r="F75" s="2"/>
      <c r="G75" s="69"/>
      <c r="I75" s="2"/>
      <c r="O75" s="2"/>
      <c r="P75" s="6">
        <f t="shared" si="14"/>
        <v>0</v>
      </c>
      <c r="Q75" s="6">
        <f t="shared" si="14"/>
        <v>0</v>
      </c>
      <c r="R75" s="6">
        <f t="shared" si="14"/>
        <v>0</v>
      </c>
      <c r="S75" s="6">
        <f t="shared" si="14"/>
        <v>0</v>
      </c>
      <c r="T75" s="6">
        <f t="shared" si="14"/>
        <v>0</v>
      </c>
      <c r="U75" s="73">
        <f t="shared" ref="U75:U83" si="15">SUM(P75:T75)</f>
        <v>0</v>
      </c>
    </row>
    <row r="76" spans="3:22" ht="12.75" customHeight="1" x14ac:dyDescent="0.2">
      <c r="C76" s="1" t="s">
        <v>12</v>
      </c>
      <c r="D76" s="1" t="s">
        <v>51</v>
      </c>
      <c r="F76" s="2"/>
      <c r="G76" s="69"/>
      <c r="I76" s="2"/>
      <c r="O76" s="2"/>
      <c r="P76" s="6">
        <f t="shared" si="14"/>
        <v>0</v>
      </c>
      <c r="Q76" s="6">
        <f t="shared" si="14"/>
        <v>0</v>
      </c>
      <c r="R76" s="6">
        <f t="shared" si="14"/>
        <v>0</v>
      </c>
      <c r="S76" s="6">
        <f t="shared" si="14"/>
        <v>0</v>
      </c>
      <c r="T76" s="6">
        <f t="shared" si="14"/>
        <v>0</v>
      </c>
      <c r="U76" s="73">
        <f t="shared" si="15"/>
        <v>0</v>
      </c>
    </row>
    <row r="77" spans="3:22" ht="12.75" customHeight="1" x14ac:dyDescent="0.2">
      <c r="C77" s="21" t="s">
        <v>13</v>
      </c>
      <c r="D77" s="21" t="s">
        <v>51</v>
      </c>
      <c r="E77" s="103"/>
      <c r="F77" s="105"/>
      <c r="G77" s="104"/>
      <c r="H77" s="106"/>
      <c r="I77" s="105"/>
      <c r="J77" s="103"/>
      <c r="K77" s="103"/>
      <c r="L77" s="103"/>
      <c r="M77" s="103"/>
      <c r="N77" s="103"/>
      <c r="O77" s="105"/>
      <c r="P77" s="22">
        <f>SUM(P74:P76)</f>
        <v>0</v>
      </c>
      <c r="Q77" s="22">
        <f t="shared" ref="Q77:U77" si="16">SUM(Q74:Q76)</f>
        <v>0</v>
      </c>
      <c r="R77" s="22">
        <f t="shared" si="16"/>
        <v>0</v>
      </c>
      <c r="S77" s="22">
        <f t="shared" si="16"/>
        <v>0</v>
      </c>
      <c r="T77" s="22">
        <f t="shared" si="16"/>
        <v>0</v>
      </c>
      <c r="U77" s="22">
        <f t="shared" si="16"/>
        <v>0</v>
      </c>
    </row>
    <row r="78" spans="3:22" ht="12.75" customHeight="1" x14ac:dyDescent="0.2">
      <c r="C78" s="1" t="s">
        <v>9</v>
      </c>
      <c r="D78" s="1" t="s">
        <v>47</v>
      </c>
      <c r="F78" s="2"/>
      <c r="G78" s="69"/>
      <c r="I78" s="2"/>
      <c r="O78" s="2"/>
      <c r="P78" s="34">
        <f t="shared" ref="P78:T80" si="17">P62*business_case_dollars</f>
        <v>0</v>
      </c>
      <c r="Q78" s="34">
        <f t="shared" si="17"/>
        <v>0</v>
      </c>
      <c r="R78" s="34">
        <f t="shared" si="17"/>
        <v>0</v>
      </c>
      <c r="S78" s="34">
        <f t="shared" si="17"/>
        <v>0</v>
      </c>
      <c r="T78" s="34">
        <f t="shared" si="17"/>
        <v>0</v>
      </c>
      <c r="U78" s="72">
        <f>SUM(P78:T78)</f>
        <v>0</v>
      </c>
    </row>
    <row r="79" spans="3:22" ht="12.75" customHeight="1" x14ac:dyDescent="0.2">
      <c r="C79" s="1" t="s">
        <v>11</v>
      </c>
      <c r="D79" s="1" t="s">
        <v>47</v>
      </c>
      <c r="F79" s="2"/>
      <c r="G79" s="69"/>
      <c r="I79" s="2"/>
      <c r="O79" s="2"/>
      <c r="P79" s="6">
        <f t="shared" si="17"/>
        <v>0</v>
      </c>
      <c r="Q79" s="6">
        <f t="shared" si="17"/>
        <v>0</v>
      </c>
      <c r="R79" s="6">
        <f t="shared" si="17"/>
        <v>0</v>
      </c>
      <c r="S79" s="6">
        <f t="shared" si="17"/>
        <v>0</v>
      </c>
      <c r="T79" s="6">
        <f t="shared" si="17"/>
        <v>0</v>
      </c>
      <c r="U79" s="73">
        <f t="shared" ref="U79:U80" si="18">SUM(P79:T79)</f>
        <v>0</v>
      </c>
    </row>
    <row r="80" spans="3:22" ht="12.75" customHeight="1" x14ac:dyDescent="0.2">
      <c r="C80" s="1" t="s">
        <v>12</v>
      </c>
      <c r="D80" s="1" t="s">
        <v>47</v>
      </c>
      <c r="F80" s="2"/>
      <c r="G80" s="69"/>
      <c r="I80" s="2"/>
      <c r="O80" s="2"/>
      <c r="P80" s="6">
        <f t="shared" si="17"/>
        <v>0</v>
      </c>
      <c r="Q80" s="6">
        <f t="shared" si="17"/>
        <v>0</v>
      </c>
      <c r="R80" s="6">
        <f t="shared" si="17"/>
        <v>0</v>
      </c>
      <c r="S80" s="6">
        <f t="shared" si="17"/>
        <v>0</v>
      </c>
      <c r="T80" s="6">
        <f t="shared" si="17"/>
        <v>0</v>
      </c>
      <c r="U80" s="73">
        <f t="shared" si="18"/>
        <v>0</v>
      </c>
    </row>
    <row r="81" spans="3:22" ht="12.75" customHeight="1" x14ac:dyDescent="0.2">
      <c r="C81" s="21" t="s">
        <v>15</v>
      </c>
      <c r="D81" s="21" t="s">
        <v>47</v>
      </c>
      <c r="E81" s="103"/>
      <c r="F81" s="105"/>
      <c r="G81" s="104"/>
      <c r="H81" s="106"/>
      <c r="I81" s="105"/>
      <c r="J81" s="103"/>
      <c r="K81" s="103"/>
      <c r="L81" s="103"/>
      <c r="M81" s="103"/>
      <c r="N81" s="103"/>
      <c r="O81" s="105"/>
      <c r="P81" s="22">
        <f>SUM(P78:P80)</f>
        <v>0</v>
      </c>
      <c r="Q81" s="22">
        <f t="shared" ref="Q81:U81" si="19">SUM(Q78:Q80)</f>
        <v>0</v>
      </c>
      <c r="R81" s="22">
        <f t="shared" si="19"/>
        <v>0</v>
      </c>
      <c r="S81" s="22">
        <f t="shared" si="19"/>
        <v>0</v>
      </c>
      <c r="T81" s="22">
        <f t="shared" si="19"/>
        <v>0</v>
      </c>
      <c r="U81" s="22">
        <f t="shared" si="19"/>
        <v>0</v>
      </c>
    </row>
    <row r="82" spans="3:22" ht="12.75" customHeight="1" x14ac:dyDescent="0.2">
      <c r="F82" s="2"/>
      <c r="G82" s="69"/>
      <c r="I82" s="2"/>
      <c r="O82" s="2"/>
      <c r="P82" s="6"/>
      <c r="Q82" s="6"/>
      <c r="R82" s="6"/>
      <c r="S82" s="6"/>
      <c r="T82" s="6"/>
      <c r="U82" s="73"/>
    </row>
    <row r="83" spans="3:22" x14ac:dyDescent="0.2">
      <c r="C83" s="7" t="str">
        <f>"Total Expenditure ($ "&amp;Assumptions!$C$34&amp;")"</f>
        <v>Total Expenditure ($ June 2026)</v>
      </c>
      <c r="D83" s="7" t="s">
        <v>69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0</v>
      </c>
      <c r="Q83" s="8">
        <f t="shared" ref="Q83:T83" si="20">Q77+Q81</f>
        <v>0</v>
      </c>
      <c r="R83" s="8">
        <f t="shared" si="20"/>
        <v>0</v>
      </c>
      <c r="S83" s="8">
        <f t="shared" si="20"/>
        <v>0</v>
      </c>
      <c r="T83" s="8">
        <f t="shared" si="20"/>
        <v>0</v>
      </c>
      <c r="U83" s="74">
        <f t="shared" si="15"/>
        <v>0</v>
      </c>
    </row>
    <row r="84" spans="3:22" x14ac:dyDescent="0.2">
      <c r="F84" s="2"/>
      <c r="I84" s="2"/>
      <c r="O84" s="2"/>
      <c r="P84" s="46">
        <f>SUM(P10:P54)*business_case_dollars-P83</f>
        <v>0</v>
      </c>
      <c r="Q84" s="46">
        <f>SUM(Q10:Q54)*business_case_dollars-Q83</f>
        <v>0</v>
      </c>
      <c r="R84" s="46">
        <f>SUM(R10:R54)*business_case_dollars-R83</f>
        <v>0</v>
      </c>
      <c r="S84" s="46">
        <f>SUM(S10:S54)*business_case_dollars-S83</f>
        <v>0</v>
      </c>
      <c r="T84" s="46">
        <f>SUM(T10:T54)*business_case_dollars-T83</f>
        <v>0</v>
      </c>
      <c r="U84" s="46">
        <f>SUM(P10:T54)*business_case_dollars-U83</f>
        <v>0</v>
      </c>
      <c r="V84" s="46">
        <f>SUM(P84:U84)</f>
        <v>0</v>
      </c>
    </row>
    <row r="85" spans="3:22" x14ac:dyDescent="0.2">
      <c r="C85" s="55" t="str">
        <f>"NPV ($ "&amp;Assumptions!$C$34&amp;")"</f>
        <v>NPV ($ June 2026)</v>
      </c>
      <c r="D85" s="56">
        <f>NPV(Real_Discount_rate,P83:T83)</f>
        <v>0</v>
      </c>
      <c r="F85" s="2"/>
      <c r="I85" s="2"/>
      <c r="O85" s="2"/>
      <c r="P85" s="52"/>
      <c r="Q85" s="52"/>
      <c r="R85" s="52"/>
      <c r="S85" s="52"/>
      <c r="T85" s="52"/>
    </row>
  </sheetData>
  <conditionalFormatting sqref="G10:G54">
    <cfRule type="expression" dxfId="13" priority="4">
      <formula>$E10="Contracts"</formula>
    </cfRule>
    <cfRule type="expression" dxfId="12" priority="5">
      <formula>$E10="Materials"</formula>
    </cfRule>
    <cfRule type="expression" dxfId="11" priority="6">
      <formula>$E10="Labour"</formula>
    </cfRule>
  </conditionalFormatting>
  <conditionalFormatting sqref="P68:U68">
    <cfRule type="expression" dxfId="10" priority="1">
      <formula>ABS(P68)&gt;0.001</formula>
    </cfRule>
  </conditionalFormatting>
  <conditionalFormatting sqref="P84:U84">
    <cfRule type="expression" dxfId="9" priority="2">
      <formula>ABS(P84)&gt;0.001</formula>
    </cfRule>
  </conditionalFormatting>
  <conditionalFormatting sqref="V68">
    <cfRule type="expression" dxfId="8" priority="7">
      <formula>ABS(V68)&gt;0.001</formula>
    </cfRule>
  </conditionalFormatting>
  <conditionalFormatting sqref="V84">
    <cfRule type="expression" dxfId="7" priority="3">
      <formula>ABS(V84)&gt;0.001</formula>
    </cfRule>
  </conditionalFormatting>
  <dataValidations disablePrompts="1" count="2">
    <dataValidation type="list" allowBlank="1" showInputMessage="1" showErrorMessage="1" sqref="D10:D54" xr:uid="{63E46D7D-8489-4206-A66B-0D52AC286A9D}">
      <formula1>"Capex, Opex"</formula1>
    </dataValidation>
    <dataValidation type="list" allowBlank="1" showInputMessage="1" showErrorMessage="1" sqref="E10:E54" xr:uid="{8340B0B0-C3E9-4976-B82F-3D08DD84F8E3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85"/>
  <sheetViews>
    <sheetView showGridLines="0" zoomScale="90" zoomScaleNormal="90" workbookViewId="0">
      <pane xSplit="2" ySplit="8" topLeftCell="C40" activePane="bottomRight" state="frozen"/>
      <selection activeCell="C14" sqref="C14"/>
      <selection pane="topRight" activeCell="C14" sqref="C14"/>
      <selection pane="bottomLeft" activeCell="C14" sqref="C14"/>
      <selection pane="bottomRight" activeCell="D85" sqref="D85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Non-network platform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41</v>
      </c>
      <c r="D7" s="66" t="s">
        <v>42</v>
      </c>
      <c r="E7" s="163" t="s">
        <v>43</v>
      </c>
      <c r="F7" s="16"/>
      <c r="G7" s="111" t="s">
        <v>9</v>
      </c>
      <c r="H7" s="19" t="s">
        <v>44</v>
      </c>
      <c r="J7" s="19" t="s">
        <v>45</v>
      </c>
      <c r="K7" s="20"/>
      <c r="L7" s="20"/>
      <c r="M7" s="20"/>
      <c r="N7" s="20"/>
      <c r="P7" s="19" t="s">
        <v>46</v>
      </c>
      <c r="Q7" s="20"/>
      <c r="R7" s="20"/>
      <c r="S7" s="20"/>
      <c r="T7" s="20"/>
    </row>
    <row r="8" spans="1:25" ht="12.75" customHeight="1" x14ac:dyDescent="0.2">
      <c r="A8" s="4"/>
      <c r="B8" s="4"/>
      <c r="C8" s="101"/>
      <c r="D8" s="101" t="s">
        <v>47</v>
      </c>
      <c r="E8" s="164"/>
      <c r="F8" s="16"/>
      <c r="G8" s="112" t="s">
        <v>48</v>
      </c>
      <c r="H8" s="4"/>
      <c r="J8" s="51" t="s">
        <v>3</v>
      </c>
      <c r="K8" s="51" t="s">
        <v>4</v>
      </c>
      <c r="L8" s="51" t="s">
        <v>5</v>
      </c>
      <c r="M8" s="51" t="s">
        <v>6</v>
      </c>
      <c r="N8" s="51" t="s">
        <v>7</v>
      </c>
      <c r="P8" s="51" t="s">
        <v>3</v>
      </c>
      <c r="Q8" s="51" t="s">
        <v>4</v>
      </c>
      <c r="R8" s="51" t="s">
        <v>5</v>
      </c>
      <c r="S8" s="51" t="s">
        <v>6</v>
      </c>
      <c r="T8" s="51" t="s">
        <v>7</v>
      </c>
    </row>
    <row r="9" spans="1:25" ht="12.75" customHeight="1" x14ac:dyDescent="0.2">
      <c r="E9" s="165"/>
      <c r="F9" s="16"/>
    </row>
    <row r="10" spans="1:25" ht="12.75" customHeight="1" x14ac:dyDescent="0.2">
      <c r="A10" s="4"/>
      <c r="C10" s="82" t="s">
        <v>49</v>
      </c>
      <c r="D10" s="83" t="s">
        <v>47</v>
      </c>
      <c r="E10" s="81" t="s">
        <v>12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>
        <f>500000*2</f>
        <v>1000000</v>
      </c>
      <c r="L10" s="84">
        <f>500000*2</f>
        <v>1000000</v>
      </c>
      <c r="M10" s="84">
        <f>500000*2</f>
        <v>1000000</v>
      </c>
      <c r="N10" s="84">
        <f>500000*2</f>
        <v>1000000</v>
      </c>
      <c r="O10" s="2"/>
      <c r="P10" s="5">
        <f t="shared" ref="P10:P54" si="0">IF($E10="Labour",$G10*J10,J10)</f>
        <v>0</v>
      </c>
      <c r="Q10" s="5">
        <f t="shared" ref="Q10:Q54" si="1">IF($E10="Labour",$G10*K10,K10)</f>
        <v>1000000</v>
      </c>
      <c r="R10" s="5">
        <f t="shared" ref="R10:R54" si="2">IF($E10="Labour",$G10*L10,L10)</f>
        <v>1000000</v>
      </c>
      <c r="S10" s="5">
        <f t="shared" ref="S10:S54" si="3">IF($E10="Labour",$G10*M10,M10)</f>
        <v>1000000</v>
      </c>
      <c r="T10" s="5">
        <f t="shared" ref="T10:T54" si="4">IF($E10="Labour",$G10*N10,N10)</f>
        <v>1000000</v>
      </c>
    </row>
    <row r="11" spans="1:25" ht="12.75" customHeight="1" x14ac:dyDescent="0.2">
      <c r="A11" s="4"/>
      <c r="C11" s="82" t="s">
        <v>50</v>
      </c>
      <c r="D11" s="83" t="s">
        <v>51</v>
      </c>
      <c r="E11" s="81" t="s">
        <v>9</v>
      </c>
      <c r="F11" s="2"/>
      <c r="G11" s="65">
        <f>IF($E11="Labour",Assumptions!$B$14,)</f>
        <v>145.77740895836223</v>
      </c>
      <c r="H11" s="9" t="str">
        <f t="shared" ref="H11:H54" si="5">IF($E11="Labour","Hours","$")</f>
        <v>Hours</v>
      </c>
      <c r="I11" s="2"/>
      <c r="J11" s="84">
        <v>520</v>
      </c>
      <c r="K11" s="84"/>
      <c r="L11" s="84"/>
      <c r="M11" s="84"/>
      <c r="N11" s="84"/>
      <c r="O11" s="2"/>
      <c r="P11" s="5">
        <f t="shared" si="0"/>
        <v>75804.252658348356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2" t="s">
        <v>52</v>
      </c>
      <c r="D12" s="83" t="s">
        <v>51</v>
      </c>
      <c r="E12" s="81" t="s">
        <v>9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>
        <v>1050</v>
      </c>
      <c r="K12" s="84"/>
      <c r="L12" s="84"/>
      <c r="M12" s="84"/>
      <c r="N12" s="84"/>
      <c r="O12" s="2"/>
      <c r="P12" s="5">
        <f t="shared" si="0"/>
        <v>153066.27940628034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2" t="s">
        <v>53</v>
      </c>
      <c r="D13" s="83" t="s">
        <v>51</v>
      </c>
      <c r="E13" s="81" t="s">
        <v>11</v>
      </c>
      <c r="F13" s="2"/>
      <c r="G13" s="65">
        <f>IF($E13="Labour",Assumptions!$B$14,)</f>
        <v>0</v>
      </c>
      <c r="H13" s="9" t="str">
        <f t="shared" si="5"/>
        <v>$</v>
      </c>
      <c r="I13" s="2"/>
      <c r="J13" s="84">
        <v>300000</v>
      </c>
      <c r="K13" s="84"/>
      <c r="L13" s="84"/>
      <c r="M13" s="84"/>
      <c r="N13" s="84"/>
      <c r="O13" s="2"/>
      <c r="P13" s="5">
        <f t="shared" si="0"/>
        <v>300000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 t="s">
        <v>54</v>
      </c>
      <c r="D14" s="83" t="s">
        <v>51</v>
      </c>
      <c r="E14" s="81" t="s">
        <v>9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>
        <v>2050</v>
      </c>
      <c r="K14" s="84"/>
      <c r="L14" s="84"/>
      <c r="M14" s="84"/>
      <c r="N14" s="84"/>
      <c r="O14" s="2"/>
      <c r="P14" s="5">
        <f t="shared" si="0"/>
        <v>298843.68836464256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 t="s">
        <v>55</v>
      </c>
      <c r="D15" s="83" t="s">
        <v>51</v>
      </c>
      <c r="E15" s="81" t="s">
        <v>9</v>
      </c>
      <c r="F15" s="2"/>
      <c r="G15" s="65">
        <f>IF($E15="Labour",Assumptions!$B$14,)</f>
        <v>145.77740895836223</v>
      </c>
      <c r="H15" s="9" t="str">
        <f t="shared" si="5"/>
        <v>Hours</v>
      </c>
      <c r="I15" s="2"/>
      <c r="J15" s="84">
        <v>1200</v>
      </c>
      <c r="K15" s="84"/>
      <c r="L15" s="84"/>
      <c r="M15" s="84"/>
      <c r="N15" s="84"/>
      <c r="O15" s="2"/>
      <c r="P15" s="5">
        <f t="shared" si="0"/>
        <v>174932.89075003468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 t="s">
        <v>56</v>
      </c>
      <c r="D16" s="83" t="s">
        <v>47</v>
      </c>
      <c r="E16" s="81" t="s">
        <v>9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/>
      <c r="K16" s="84">
        <v>368</v>
      </c>
      <c r="L16" s="84">
        <v>368</v>
      </c>
      <c r="M16" s="84">
        <v>368</v>
      </c>
      <c r="N16" s="84">
        <v>368</v>
      </c>
      <c r="O16" s="2"/>
      <c r="P16" s="5">
        <f t="shared" si="0"/>
        <v>0</v>
      </c>
      <c r="Q16" s="5">
        <f t="shared" si="1"/>
        <v>53646.086496677301</v>
      </c>
      <c r="R16" s="5">
        <f t="shared" si="2"/>
        <v>53646.086496677301</v>
      </c>
      <c r="S16" s="5">
        <f t="shared" si="3"/>
        <v>53646.086496677301</v>
      </c>
      <c r="T16" s="5">
        <f t="shared" si="4"/>
        <v>53646.086496677301</v>
      </c>
      <c r="Y16"/>
    </row>
    <row r="17" spans="1:25" ht="12.75" customHeight="1" x14ac:dyDescent="0.25">
      <c r="A17" s="4"/>
      <c r="C17" s="82" t="s">
        <v>57</v>
      </c>
      <c r="D17" s="83" t="s">
        <v>51</v>
      </c>
      <c r="E17" s="81" t="s">
        <v>9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>
        <v>960</v>
      </c>
      <c r="K17" s="84"/>
      <c r="L17" s="84"/>
      <c r="M17" s="84"/>
      <c r="N17" s="84"/>
      <c r="O17" s="2"/>
      <c r="P17" s="5">
        <f t="shared" si="0"/>
        <v>139946.31260002774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 t="s">
        <v>58</v>
      </c>
      <c r="D18" s="83" t="s">
        <v>47</v>
      </c>
      <c r="E18" s="81" t="s">
        <v>9</v>
      </c>
      <c r="F18" s="2"/>
      <c r="G18" s="65">
        <f>IF($E18="Labour",Assumptions!$B$14,)</f>
        <v>145.77740895836223</v>
      </c>
      <c r="H18" s="9" t="str">
        <f t="shared" si="5"/>
        <v>Hours</v>
      </c>
      <c r="I18" s="2"/>
      <c r="J18" s="84"/>
      <c r="K18" s="84">
        <f>1840</f>
        <v>1840</v>
      </c>
      <c r="L18" s="84">
        <f>1840</f>
        <v>1840</v>
      </c>
      <c r="M18" s="84">
        <f>1840</f>
        <v>1840</v>
      </c>
      <c r="N18" s="84">
        <f>1840</f>
        <v>1840</v>
      </c>
      <c r="O18" s="2"/>
      <c r="P18" s="5">
        <f t="shared" si="0"/>
        <v>0</v>
      </c>
      <c r="Q18" s="5">
        <f t="shared" si="1"/>
        <v>268230.43248338648</v>
      </c>
      <c r="R18" s="5">
        <f t="shared" si="2"/>
        <v>268230.43248338648</v>
      </c>
      <c r="S18" s="5">
        <f t="shared" si="3"/>
        <v>268230.43248338648</v>
      </c>
      <c r="T18" s="5">
        <f t="shared" si="4"/>
        <v>268230.43248338648</v>
      </c>
      <c r="Y18"/>
    </row>
    <row r="19" spans="1:25" ht="12.75" customHeight="1" x14ac:dyDescent="0.25">
      <c r="A19" s="4"/>
      <c r="C19" s="82"/>
      <c r="D19" s="83" t="s">
        <v>51</v>
      </c>
      <c r="E19" s="81" t="s">
        <v>9</v>
      </c>
      <c r="F19" s="2"/>
      <c r="G19" s="65">
        <f>IF($E19="Labour",Assumptions!$B$14,)</f>
        <v>145.77740895836223</v>
      </c>
      <c r="H19" s="9" t="str">
        <f t="shared" si="5"/>
        <v>Hours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 t="s">
        <v>59</v>
      </c>
      <c r="D20" s="83" t="s">
        <v>51</v>
      </c>
      <c r="E20" s="81" t="s">
        <v>11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>
        <v>2000000</v>
      </c>
      <c r="K20" s="84"/>
      <c r="L20" s="84"/>
      <c r="M20" s="84"/>
      <c r="N20" s="84"/>
      <c r="O20" s="2"/>
      <c r="P20" s="5">
        <f t="shared" si="0"/>
        <v>2000000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 t="s">
        <v>60</v>
      </c>
      <c r="D21" s="83" t="s">
        <v>47</v>
      </c>
      <c r="E21" s="81" t="s">
        <v>12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>
        <v>0</v>
      </c>
      <c r="K21" s="84">
        <v>500000</v>
      </c>
      <c r="L21" s="84">
        <v>500000</v>
      </c>
      <c r="M21" s="84">
        <v>500000</v>
      </c>
      <c r="N21" s="84">
        <v>500000</v>
      </c>
      <c r="O21" s="2"/>
      <c r="P21" s="5">
        <f t="shared" si="0"/>
        <v>0</v>
      </c>
      <c r="Q21" s="5">
        <f t="shared" si="1"/>
        <v>500000</v>
      </c>
      <c r="R21" s="5">
        <f t="shared" si="2"/>
        <v>500000</v>
      </c>
      <c r="S21" s="5">
        <f t="shared" si="3"/>
        <v>500000</v>
      </c>
      <c r="T21" s="5">
        <f t="shared" si="4"/>
        <v>500000</v>
      </c>
      <c r="Y21"/>
    </row>
    <row r="22" spans="1:25" ht="12.75" customHeight="1" x14ac:dyDescent="0.25">
      <c r="A22" s="4"/>
      <c r="C22" s="82" t="s">
        <v>61</v>
      </c>
      <c r="D22" s="83" t="s">
        <v>51</v>
      </c>
      <c r="E22" s="81" t="s">
        <v>9</v>
      </c>
      <c r="F22" s="2"/>
      <c r="G22" s="65">
        <f>IF($E22="Labour",Assumptions!$B$14,)</f>
        <v>145.77740895836223</v>
      </c>
      <c r="H22" s="9" t="str">
        <f t="shared" si="5"/>
        <v>Hours</v>
      </c>
      <c r="I22" s="2"/>
      <c r="J22" s="84">
        <v>1500</v>
      </c>
      <c r="K22" s="84"/>
      <c r="L22" s="84"/>
      <c r="M22" s="84"/>
      <c r="N22" s="84"/>
      <c r="O22" s="2"/>
      <c r="P22" s="5">
        <f t="shared" si="0"/>
        <v>218666.11343754333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 t="s">
        <v>62</v>
      </c>
      <c r="D23" s="83" t="s">
        <v>51</v>
      </c>
      <c r="E23" s="81" t="s">
        <v>9</v>
      </c>
      <c r="F23" s="2"/>
      <c r="G23" s="65">
        <f>IF($E23="Labour",Assumptions!$B$14,)</f>
        <v>145.77740895836223</v>
      </c>
      <c r="H23" s="9" t="str">
        <f t="shared" si="5"/>
        <v>Hours</v>
      </c>
      <c r="I23" s="2"/>
      <c r="J23" s="84">
        <v>3500</v>
      </c>
      <c r="K23" s="84"/>
      <c r="L23" s="84">
        <v>0</v>
      </c>
      <c r="M23" s="84"/>
      <c r="N23" s="84"/>
      <c r="O23" s="2"/>
      <c r="P23" s="5">
        <f t="shared" si="0"/>
        <v>510220.93135426781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 t="s">
        <v>63</v>
      </c>
      <c r="D24" s="83" t="s">
        <v>51</v>
      </c>
      <c r="E24" s="81" t="s">
        <v>11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>
        <v>300000</v>
      </c>
      <c r="K24" s="84"/>
      <c r="L24" s="84">
        <v>0</v>
      </c>
      <c r="M24" s="84"/>
      <c r="N24" s="84"/>
      <c r="O24" s="2"/>
      <c r="P24" s="5">
        <f t="shared" si="0"/>
        <v>300000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 t="s">
        <v>64</v>
      </c>
      <c r="D25" s="83" t="s">
        <v>51</v>
      </c>
      <c r="E25" s="81" t="s">
        <v>9</v>
      </c>
      <c r="F25" s="2"/>
      <c r="G25" s="65">
        <f>IF($E25="Labour",Assumptions!$B$14,)</f>
        <v>145.77740895836223</v>
      </c>
      <c r="H25" s="9" t="str">
        <f t="shared" si="5"/>
        <v>Hours</v>
      </c>
      <c r="I25" s="2"/>
      <c r="J25" s="84">
        <v>3000</v>
      </c>
      <c r="K25" s="84"/>
      <c r="L25" s="84">
        <v>0</v>
      </c>
      <c r="M25" s="84"/>
      <c r="N25" s="84"/>
      <c r="O25" s="2"/>
      <c r="P25" s="5">
        <f t="shared" si="0"/>
        <v>437332.22687508666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 t="s">
        <v>65</v>
      </c>
      <c r="D26" s="83" t="s">
        <v>51</v>
      </c>
      <c r="E26" s="81" t="s">
        <v>11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>
        <v>500000</v>
      </c>
      <c r="K26" s="84"/>
      <c r="L26" s="84">
        <v>0</v>
      </c>
      <c r="M26" s="84"/>
      <c r="N26" s="84"/>
      <c r="O26" s="2"/>
      <c r="P26" s="5">
        <f t="shared" si="0"/>
        <v>500000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 t="s">
        <v>66</v>
      </c>
      <c r="D27" s="83" t="s">
        <v>51</v>
      </c>
      <c r="E27" s="81" t="s">
        <v>9</v>
      </c>
      <c r="F27" s="2"/>
      <c r="G27" s="65">
        <f>IF($E27="Labour",Assumptions!$B$14,)</f>
        <v>145.77740895836223</v>
      </c>
      <c r="H27" s="9" t="str">
        <f t="shared" si="5"/>
        <v>Hours</v>
      </c>
      <c r="I27" s="2"/>
      <c r="J27" s="84">
        <v>1200</v>
      </c>
      <c r="K27" s="84"/>
      <c r="L27" s="84"/>
      <c r="M27" s="84"/>
      <c r="N27" s="84"/>
      <c r="O27" s="2"/>
      <c r="P27" s="5">
        <f t="shared" si="0"/>
        <v>174932.89075003468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 t="s">
        <v>67</v>
      </c>
      <c r="D28" s="83" t="s">
        <v>47</v>
      </c>
      <c r="E28" s="81" t="s">
        <v>9</v>
      </c>
      <c r="F28" s="2"/>
      <c r="G28" s="65">
        <f>IF($E28="Labour",Assumptions!$B$14,)</f>
        <v>145.77740895836223</v>
      </c>
      <c r="H28" s="9" t="str">
        <f t="shared" si="5"/>
        <v>Hours</v>
      </c>
      <c r="I28" s="2"/>
      <c r="J28" s="84"/>
      <c r="K28" s="84">
        <v>368</v>
      </c>
      <c r="L28" s="84">
        <v>368</v>
      </c>
      <c r="M28" s="84">
        <v>368</v>
      </c>
      <c r="N28" s="84">
        <v>368</v>
      </c>
      <c r="O28" s="2"/>
      <c r="P28" s="5">
        <f t="shared" si="0"/>
        <v>0</v>
      </c>
      <c r="Q28" s="5">
        <f t="shared" si="1"/>
        <v>53646.086496677301</v>
      </c>
      <c r="R28" s="5">
        <f t="shared" si="2"/>
        <v>53646.086496677301</v>
      </c>
      <c r="S28" s="5">
        <f t="shared" si="3"/>
        <v>53646.086496677301</v>
      </c>
      <c r="T28" s="5">
        <f t="shared" si="4"/>
        <v>53646.086496677301</v>
      </c>
      <c r="Y28"/>
    </row>
    <row r="29" spans="1:25" ht="12.75" customHeight="1" x14ac:dyDescent="0.25">
      <c r="A29" s="4"/>
      <c r="C29" s="82"/>
      <c r="D29" s="83" t="s">
        <v>51</v>
      </c>
      <c r="E29" s="81" t="s">
        <v>11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51</v>
      </c>
      <c r="E30" s="81" t="s">
        <v>9</v>
      </c>
      <c r="F30" s="2"/>
      <c r="G30" s="65">
        <f>IF($E30="Labour",Assumptions!$B$14,)</f>
        <v>145.77740895836223</v>
      </c>
      <c r="H30" s="9" t="str">
        <f t="shared" si="5"/>
        <v>Hours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51</v>
      </c>
      <c r="E31" s="81" t="s">
        <v>9</v>
      </c>
      <c r="F31" s="2"/>
      <c r="G31" s="65">
        <f>IF($E31="Labour",Assumptions!$B$14,)</f>
        <v>145.77740895836223</v>
      </c>
      <c r="H31" s="9" t="str">
        <f t="shared" si="5"/>
        <v>Hours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47</v>
      </c>
      <c r="E32" s="81" t="s">
        <v>9</v>
      </c>
      <c r="F32" s="2"/>
      <c r="G32" s="65">
        <f>IF($E32="Labour",Assumptions!$B$14,)</f>
        <v>145.77740895836223</v>
      </c>
      <c r="H32" s="9" t="str">
        <f t="shared" si="5"/>
        <v>Hours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51</v>
      </c>
      <c r="E33" s="81" t="s">
        <v>11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47</v>
      </c>
      <c r="E34" s="81" t="s">
        <v>12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51</v>
      </c>
      <c r="E35" s="81" t="s">
        <v>9</v>
      </c>
      <c r="F35" s="2"/>
      <c r="G35" s="65">
        <f>IF($E35="Labour",Assumptions!$B$14,)</f>
        <v>145.77740895836223</v>
      </c>
      <c r="H35" s="9" t="str">
        <f t="shared" si="5"/>
        <v>Hours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51</v>
      </c>
      <c r="E36" s="81" t="s">
        <v>9</v>
      </c>
      <c r="F36" s="2"/>
      <c r="G36" s="65">
        <f>IF($E36="Labour",Assumptions!$B$14,)</f>
        <v>145.77740895836223</v>
      </c>
      <c r="H36" s="9" t="str">
        <f t="shared" si="5"/>
        <v>Hours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51</v>
      </c>
      <c r="E37" s="81" t="s">
        <v>11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51</v>
      </c>
      <c r="E38" s="81" t="s">
        <v>9</v>
      </c>
      <c r="F38" s="2"/>
      <c r="G38" s="65">
        <f>IF($E38="Labour",Assumptions!$B$14,)</f>
        <v>145.77740895836223</v>
      </c>
      <c r="H38" s="9" t="str">
        <f t="shared" si="5"/>
        <v>Hours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51</v>
      </c>
      <c r="E39" s="81" t="s">
        <v>11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51</v>
      </c>
      <c r="E40" s="81" t="s">
        <v>9</v>
      </c>
      <c r="G40" s="65">
        <f>IF($E40="Labour",Assumptions!$B$14,)</f>
        <v>145.77740895836223</v>
      </c>
      <c r="H40" s="9" t="str">
        <f t="shared" si="5"/>
        <v>Hours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47</v>
      </c>
      <c r="E41" s="81" t="s">
        <v>9</v>
      </c>
      <c r="G41" s="65">
        <f>IF($E41="Labour",Assumptions!$B$14,)</f>
        <v>145.77740895836223</v>
      </c>
      <c r="H41" s="9" t="str">
        <f t="shared" si="5"/>
        <v>Hours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51</v>
      </c>
      <c r="E42" s="81" t="s">
        <v>11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2"/>
      <c r="D43" s="83" t="s">
        <v>51</v>
      </c>
      <c r="E43" s="81" t="s">
        <v>11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2"/>
      <c r="D44" s="83" t="s">
        <v>47</v>
      </c>
      <c r="E44" s="81" t="s">
        <v>12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2"/>
      <c r="D45" s="83" t="s">
        <v>51</v>
      </c>
      <c r="E45" s="81" t="s">
        <v>9</v>
      </c>
      <c r="G45" s="65">
        <f>IF($E45="Labour",Assumptions!$B$14,)</f>
        <v>145.77740895836223</v>
      </c>
      <c r="H45" s="9" t="str">
        <f t="shared" si="5"/>
        <v>Hours</v>
      </c>
      <c r="J45" s="84"/>
      <c r="K45" s="84"/>
      <c r="L45" s="84"/>
      <c r="M45" s="84"/>
      <c r="N45" s="84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2"/>
      <c r="D46" s="83" t="s">
        <v>47</v>
      </c>
      <c r="E46" s="81" t="s">
        <v>12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2"/>
      <c r="D47" s="83" t="s">
        <v>51</v>
      </c>
      <c r="E47" s="81" t="s">
        <v>9</v>
      </c>
      <c r="G47" s="65">
        <f>IF($E47="Labour",Assumptions!$B$14,)</f>
        <v>145.77740895836223</v>
      </c>
      <c r="H47" s="9" t="str">
        <f t="shared" si="5"/>
        <v>Hours</v>
      </c>
      <c r="J47" s="84"/>
      <c r="K47" s="84"/>
      <c r="L47" s="84"/>
      <c r="M47" s="84"/>
      <c r="N47" s="84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2"/>
      <c r="D48" s="83" t="s">
        <v>47</v>
      </c>
      <c r="E48" s="81" t="s">
        <v>12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2"/>
      <c r="D49" s="83" t="s">
        <v>51</v>
      </c>
      <c r="E49" s="81" t="s">
        <v>9</v>
      </c>
      <c r="G49" s="65">
        <f>IF($E49="Labour",Assumptions!$B$14,)</f>
        <v>145.77740895836223</v>
      </c>
      <c r="H49" s="9" t="str">
        <f t="shared" si="5"/>
        <v>Hours</v>
      </c>
      <c r="J49" s="84"/>
      <c r="K49" s="84"/>
      <c r="L49" s="84"/>
      <c r="M49" s="84"/>
      <c r="N49" s="84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2"/>
      <c r="D50" s="83" t="s">
        <v>51</v>
      </c>
      <c r="E50" s="81" t="s">
        <v>9</v>
      </c>
      <c r="G50" s="65">
        <f>IF($E50="Labour",Assumptions!$B$14,)</f>
        <v>145.77740895836223</v>
      </c>
      <c r="H50" s="9" t="str">
        <f t="shared" si="5"/>
        <v>Hours</v>
      </c>
      <c r="J50" s="84"/>
      <c r="K50" s="84"/>
      <c r="L50" s="84"/>
      <c r="M50" s="84"/>
      <c r="N50" s="84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2"/>
      <c r="D51" s="83" t="s">
        <v>47</v>
      </c>
      <c r="E51" s="81" t="s">
        <v>9</v>
      </c>
      <c r="G51" s="65">
        <f>IF($E51="Labour",Assumptions!$B$14,)</f>
        <v>145.77740895836223</v>
      </c>
      <c r="H51" s="9" t="str">
        <f t="shared" si="5"/>
        <v>Hours</v>
      </c>
      <c r="J51" s="84"/>
      <c r="K51" s="84"/>
      <c r="L51" s="84"/>
      <c r="M51" s="84"/>
      <c r="N51" s="84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2"/>
      <c r="D52" s="83" t="s">
        <v>51</v>
      </c>
      <c r="E52" s="81" t="s">
        <v>9</v>
      </c>
      <c r="G52" s="65">
        <f>IF($E52="Labour",Assumptions!$B$14,)</f>
        <v>145.77740895836223</v>
      </c>
      <c r="H52" s="9" t="str">
        <f t="shared" si="5"/>
        <v>Hours</v>
      </c>
      <c r="J52" s="84"/>
      <c r="K52" s="84"/>
      <c r="L52" s="84"/>
      <c r="M52" s="84"/>
      <c r="N52" s="84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2"/>
      <c r="D53" s="83" t="s">
        <v>47</v>
      </c>
      <c r="E53" s="81" t="s">
        <v>9</v>
      </c>
      <c r="G53" s="65">
        <f>IF($E53="Labour",Assumptions!$B$14,)</f>
        <v>145.77740895836223</v>
      </c>
      <c r="H53" s="9" t="str">
        <f t="shared" si="5"/>
        <v>Hours</v>
      </c>
      <c r="J53" s="84"/>
      <c r="K53" s="84"/>
      <c r="L53" s="84"/>
      <c r="M53" s="84"/>
      <c r="N53" s="84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2"/>
      <c r="D54" s="83" t="s">
        <v>47</v>
      </c>
      <c r="E54" s="81" t="s">
        <v>12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  <c r="U54" s="108"/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68</v>
      </c>
      <c r="F57" s="2"/>
      <c r="I57" s="2"/>
      <c r="O57" s="2"/>
      <c r="P57" s="70" t="s">
        <v>3</v>
      </c>
      <c r="Q57" s="70" t="s">
        <v>4</v>
      </c>
      <c r="R57" s="70" t="s">
        <v>5</v>
      </c>
      <c r="S57" s="70" t="s">
        <v>6</v>
      </c>
      <c r="T57" s="70" t="s">
        <v>7</v>
      </c>
      <c r="U57" s="70" t="s">
        <v>8</v>
      </c>
      <c r="Y57"/>
    </row>
    <row r="58" spans="1:25" ht="12.75" customHeight="1" x14ac:dyDescent="0.2">
      <c r="C58" s="24" t="s">
        <v>9</v>
      </c>
      <c r="D58" s="24" t="s">
        <v>51</v>
      </c>
      <c r="E58" s="24"/>
      <c r="F58" s="2"/>
      <c r="G58" s="67"/>
      <c r="H58" s="68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2183745.5861962661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2">
        <f>SUM(P58:T58)</f>
        <v>2183745.5861962661</v>
      </c>
    </row>
    <row r="59" spans="1:25" ht="12.75" customHeight="1" x14ac:dyDescent="0.2">
      <c r="C59" s="1" t="s">
        <v>11</v>
      </c>
      <c r="D59" s="1" t="s">
        <v>51</v>
      </c>
      <c r="F59" s="2"/>
      <c r="G59" s="69"/>
      <c r="I59" s="2"/>
      <c r="O59" s="2"/>
      <c r="P59" s="6">
        <f t="shared" ref="P59:P60" si="7">SUMIFS(P$10:P$54,$E$10:$E$54,$C59,$D$10:$D$54,$D59)</f>
        <v>3100000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3">
        <f t="shared" ref="U59:U67" si="8">SUM(P59:T59)</f>
        <v>3100000</v>
      </c>
    </row>
    <row r="60" spans="1:25" ht="12.75" customHeight="1" x14ac:dyDescent="0.2">
      <c r="C60" s="1" t="s">
        <v>12</v>
      </c>
      <c r="D60" s="1" t="s">
        <v>51</v>
      </c>
      <c r="F60" s="2"/>
      <c r="G60" s="69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3">
        <f t="shared" si="8"/>
        <v>0</v>
      </c>
    </row>
    <row r="61" spans="1:25" ht="12.75" customHeight="1" x14ac:dyDescent="0.2">
      <c r="C61" s="21" t="s">
        <v>13</v>
      </c>
      <c r="D61" s="21" t="s">
        <v>51</v>
      </c>
      <c r="E61" s="103"/>
      <c r="F61" s="105"/>
      <c r="G61" s="104"/>
      <c r="H61" s="106"/>
      <c r="I61" s="105"/>
      <c r="J61" s="103"/>
      <c r="K61" s="103"/>
      <c r="L61" s="103"/>
      <c r="M61" s="103"/>
      <c r="N61" s="103"/>
      <c r="O61" s="105"/>
      <c r="P61" s="22">
        <f>SUM(P58:P60)</f>
        <v>5283745.5861962661</v>
      </c>
      <c r="Q61" s="22">
        <f t="shared" ref="Q61:U61" si="9">SUM(Q58:Q60)</f>
        <v>0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5283745.5861962661</v>
      </c>
    </row>
    <row r="62" spans="1:25" ht="12.75" customHeight="1" x14ac:dyDescent="0.2">
      <c r="C62" s="1" t="s">
        <v>9</v>
      </c>
      <c r="D62" s="1" t="s">
        <v>47</v>
      </c>
      <c r="F62" s="2"/>
      <c r="G62" s="69"/>
      <c r="I62" s="2"/>
      <c r="O62" s="2"/>
      <c r="P62" s="6">
        <f t="shared" ref="P62:T64" si="10">SUMIFS(P$10:P$54,$E$10:$E$54,$C62,$D$10:$D$54,$D62)</f>
        <v>0</v>
      </c>
      <c r="Q62" s="6">
        <f t="shared" si="10"/>
        <v>375522.6054767411</v>
      </c>
      <c r="R62" s="6">
        <f t="shared" si="10"/>
        <v>375522.6054767411</v>
      </c>
      <c r="S62" s="6">
        <f t="shared" si="10"/>
        <v>375522.6054767411</v>
      </c>
      <c r="T62" s="6">
        <f t="shared" si="10"/>
        <v>375522.6054767411</v>
      </c>
      <c r="U62" s="73">
        <f t="shared" si="8"/>
        <v>1502090.4219069644</v>
      </c>
    </row>
    <row r="63" spans="1:25" ht="12.75" customHeight="1" x14ac:dyDescent="0.2">
      <c r="C63" s="1" t="s">
        <v>11</v>
      </c>
      <c r="D63" s="1" t="s">
        <v>47</v>
      </c>
      <c r="F63" s="2"/>
      <c r="G63" s="69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3">
        <f t="shared" si="8"/>
        <v>0</v>
      </c>
    </row>
    <row r="64" spans="1:25" ht="12.75" customHeight="1" x14ac:dyDescent="0.2">
      <c r="C64" s="1" t="s">
        <v>12</v>
      </c>
      <c r="D64" s="1" t="s">
        <v>47</v>
      </c>
      <c r="F64" s="2"/>
      <c r="G64" s="69"/>
      <c r="I64" s="2"/>
      <c r="O64" s="2"/>
      <c r="P64" s="6">
        <f t="shared" si="10"/>
        <v>0</v>
      </c>
      <c r="Q64" s="6">
        <f t="shared" si="10"/>
        <v>1500000</v>
      </c>
      <c r="R64" s="6">
        <f t="shared" si="10"/>
        <v>1500000</v>
      </c>
      <c r="S64" s="6">
        <f t="shared" si="10"/>
        <v>1500000</v>
      </c>
      <c r="T64" s="6">
        <f t="shared" si="10"/>
        <v>1500000</v>
      </c>
      <c r="U64" s="73">
        <f t="shared" si="8"/>
        <v>6000000</v>
      </c>
    </row>
    <row r="65" spans="3:22" ht="12.75" customHeight="1" x14ac:dyDescent="0.2">
      <c r="C65" s="21" t="s">
        <v>15</v>
      </c>
      <c r="D65" s="21" t="s">
        <v>47</v>
      </c>
      <c r="E65" s="103"/>
      <c r="F65" s="105"/>
      <c r="G65" s="104"/>
      <c r="H65" s="106"/>
      <c r="I65" s="105"/>
      <c r="J65" s="103"/>
      <c r="K65" s="103"/>
      <c r="L65" s="103"/>
      <c r="M65" s="103"/>
      <c r="N65" s="103"/>
      <c r="O65" s="105"/>
      <c r="P65" s="22">
        <f>SUM(P62:P64)</f>
        <v>0</v>
      </c>
      <c r="Q65" s="22">
        <f t="shared" ref="Q65" si="11">SUM(Q62:Q64)</f>
        <v>1875522.6054767412</v>
      </c>
      <c r="R65" s="22">
        <f t="shared" ref="R65" si="12">SUM(R62:R64)</f>
        <v>1875522.6054767412</v>
      </c>
      <c r="S65" s="22">
        <f t="shared" ref="S65" si="13">SUM(S62:S64)</f>
        <v>1875522.6054767412</v>
      </c>
      <c r="T65" s="22">
        <f t="shared" ref="T65" si="14">SUM(T62:T64)</f>
        <v>1875522.6054767412</v>
      </c>
      <c r="U65" s="22">
        <f t="shared" ref="U65" si="15">SUM(U62:U64)</f>
        <v>7502090.4219069649</v>
      </c>
    </row>
    <row r="66" spans="3:22" ht="12.75" customHeight="1" x14ac:dyDescent="0.2">
      <c r="F66" s="2"/>
      <c r="G66" s="69"/>
      <c r="I66" s="2"/>
      <c r="O66" s="2"/>
      <c r="P66" s="6"/>
      <c r="Q66" s="6"/>
      <c r="R66" s="6"/>
      <c r="S66" s="6"/>
      <c r="T66" s="6"/>
      <c r="U66" s="73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69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5283745.5861962661</v>
      </c>
      <c r="Q67" s="8">
        <f t="shared" ref="Q67:T67" si="16">Q61+Q65</f>
        <v>1875522.6054767412</v>
      </c>
      <c r="R67" s="8">
        <f t="shared" si="16"/>
        <v>1875522.6054767412</v>
      </c>
      <c r="S67" s="8">
        <f t="shared" si="16"/>
        <v>1875522.6054767412</v>
      </c>
      <c r="T67" s="8">
        <f t="shared" si="16"/>
        <v>1875522.6054767412</v>
      </c>
      <c r="U67" s="74">
        <f t="shared" si="8"/>
        <v>12785836.008103229</v>
      </c>
    </row>
    <row r="68" spans="3:22" ht="12.75" customHeight="1" x14ac:dyDescent="0.2">
      <c r="C68" s="45" t="s">
        <v>70</v>
      </c>
      <c r="D68" s="45"/>
      <c r="E68" s="45"/>
      <c r="F68" s="2"/>
      <c r="G68" s="45"/>
      <c r="H68" s="45"/>
      <c r="I68" s="2"/>
      <c r="J68" s="45"/>
      <c r="K68" s="45"/>
      <c r="L68" s="45"/>
      <c r="M68" s="45"/>
      <c r="N68" s="45"/>
      <c r="O68" s="2"/>
      <c r="P68" s="46">
        <f>P67-SUM(P$10:P$54)</f>
        <v>0</v>
      </c>
      <c r="Q68" s="46">
        <f t="shared" ref="Q68:T68" si="17">Q67-SUM(Q$10:Q$54)</f>
        <v>0</v>
      </c>
      <c r="R68" s="46">
        <f t="shared" si="17"/>
        <v>0</v>
      </c>
      <c r="S68" s="46">
        <f t="shared" si="17"/>
        <v>0</v>
      </c>
      <c r="T68" s="46">
        <f t="shared" si="17"/>
        <v>0</v>
      </c>
      <c r="U68" s="46">
        <f>U67-SUM(P$10:T$54)</f>
        <v>0</v>
      </c>
      <c r="V68" s="46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5" t="str">
        <f>"NPV ($ "&amp;Assumptions!$B$12&amp;")"</f>
        <v>NPV ($ June 2024)</v>
      </c>
      <c r="D70" s="56">
        <f>NPV(Real_Discount_rate,P$67:T$67)</f>
        <v>11761051.858603975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7" t="s">
        <v>71</v>
      </c>
      <c r="F73" s="2"/>
      <c r="I73" s="2"/>
      <c r="O73" s="2"/>
      <c r="P73" s="70" t="s">
        <v>3</v>
      </c>
      <c r="Q73" s="70" t="s">
        <v>4</v>
      </c>
      <c r="R73" s="70" t="s">
        <v>5</v>
      </c>
      <c r="S73" s="70" t="s">
        <v>6</v>
      </c>
      <c r="T73" s="70" t="s">
        <v>7</v>
      </c>
      <c r="U73" s="70" t="s">
        <v>8</v>
      </c>
    </row>
    <row r="74" spans="3:22" ht="12.75" customHeight="1" x14ac:dyDescent="0.2">
      <c r="C74" s="24" t="s">
        <v>9</v>
      </c>
      <c r="D74" s="24" t="s">
        <v>51</v>
      </c>
      <c r="E74" s="24"/>
      <c r="F74" s="2"/>
      <c r="G74" s="67"/>
      <c r="H74" s="68"/>
      <c r="I74" s="2"/>
      <c r="J74" s="24"/>
      <c r="K74" s="24"/>
      <c r="L74" s="24"/>
      <c r="M74" s="24"/>
      <c r="N74" s="24"/>
      <c r="O74" s="2"/>
      <c r="P74" s="34">
        <f t="shared" ref="P74:T76" si="18">P58*business_case_dollars</f>
        <v>2430318.0794342486</v>
      </c>
      <c r="Q74" s="34">
        <f t="shared" si="18"/>
        <v>0</v>
      </c>
      <c r="R74" s="34">
        <f t="shared" si="18"/>
        <v>0</v>
      </c>
      <c r="S74" s="34">
        <f t="shared" si="18"/>
        <v>0</v>
      </c>
      <c r="T74" s="34">
        <f t="shared" si="18"/>
        <v>0</v>
      </c>
      <c r="U74" s="72">
        <f>SUM(P74:T74)</f>
        <v>2430318.0794342486</v>
      </c>
    </row>
    <row r="75" spans="3:22" ht="12.75" customHeight="1" x14ac:dyDescent="0.2">
      <c r="C75" s="1" t="s">
        <v>11</v>
      </c>
      <c r="D75" s="1" t="s">
        <v>51</v>
      </c>
      <c r="F75" s="2"/>
      <c r="G75" s="69"/>
      <c r="I75" s="2"/>
      <c r="O75" s="2"/>
      <c r="P75" s="6">
        <f t="shared" si="18"/>
        <v>3450029.2038914496</v>
      </c>
      <c r="Q75" s="6">
        <f t="shared" si="18"/>
        <v>0</v>
      </c>
      <c r="R75" s="6">
        <f t="shared" si="18"/>
        <v>0</v>
      </c>
      <c r="S75" s="6">
        <f t="shared" si="18"/>
        <v>0</v>
      </c>
      <c r="T75" s="6">
        <f t="shared" si="18"/>
        <v>0</v>
      </c>
      <c r="U75" s="73">
        <f t="shared" ref="U75:U83" si="19">SUM(P75:T75)</f>
        <v>3450029.2038914496</v>
      </c>
    </row>
    <row r="76" spans="3:22" ht="12.75" customHeight="1" x14ac:dyDescent="0.2">
      <c r="C76" s="1" t="s">
        <v>12</v>
      </c>
      <c r="D76" s="1" t="s">
        <v>51</v>
      </c>
      <c r="F76" s="2"/>
      <c r="G76" s="69"/>
      <c r="I76" s="2"/>
      <c r="O76" s="2"/>
      <c r="P76" s="6">
        <f t="shared" si="18"/>
        <v>0</v>
      </c>
      <c r="Q76" s="6">
        <f t="shared" si="18"/>
        <v>0</v>
      </c>
      <c r="R76" s="6">
        <f t="shared" si="18"/>
        <v>0</v>
      </c>
      <c r="S76" s="6">
        <f t="shared" si="18"/>
        <v>0</v>
      </c>
      <c r="T76" s="6">
        <f t="shared" si="18"/>
        <v>0</v>
      </c>
      <c r="U76" s="73">
        <f t="shared" si="19"/>
        <v>0</v>
      </c>
    </row>
    <row r="77" spans="3:22" ht="12.75" customHeight="1" x14ac:dyDescent="0.2">
      <c r="C77" s="21" t="s">
        <v>13</v>
      </c>
      <c r="D77" s="21" t="s">
        <v>51</v>
      </c>
      <c r="E77" s="103"/>
      <c r="F77" s="105"/>
      <c r="G77" s="104"/>
      <c r="H77" s="106"/>
      <c r="I77" s="105"/>
      <c r="J77" s="103"/>
      <c r="K77" s="103"/>
      <c r="L77" s="103"/>
      <c r="M77" s="103"/>
      <c r="N77" s="103"/>
      <c r="O77" s="105"/>
      <c r="P77" s="22">
        <f>SUM(P74:P76)</f>
        <v>5880347.2833256982</v>
      </c>
      <c r="Q77" s="22">
        <f t="shared" ref="Q77" si="20">SUM(Q74:Q76)</f>
        <v>0</v>
      </c>
      <c r="R77" s="22">
        <f t="shared" ref="R77" si="21">SUM(R74:R76)</f>
        <v>0</v>
      </c>
      <c r="S77" s="22">
        <f t="shared" ref="S77" si="22">SUM(S74:S76)</f>
        <v>0</v>
      </c>
      <c r="T77" s="22">
        <f t="shared" ref="T77" si="23">SUM(T74:T76)</f>
        <v>0</v>
      </c>
      <c r="U77" s="22">
        <f t="shared" ref="U77" si="24">SUM(U74:U76)</f>
        <v>5880347.2833256982</v>
      </c>
    </row>
    <row r="78" spans="3:22" ht="12.75" customHeight="1" x14ac:dyDescent="0.2">
      <c r="C78" s="1" t="s">
        <v>9</v>
      </c>
      <c r="D78" s="1" t="s">
        <v>47</v>
      </c>
      <c r="F78" s="2"/>
      <c r="G78" s="69"/>
      <c r="I78" s="2"/>
      <c r="O78" s="2"/>
      <c r="P78" s="34">
        <f t="shared" ref="P78:T80" si="25">P62*business_case_dollars</f>
        <v>0</v>
      </c>
      <c r="Q78" s="34">
        <f t="shared" si="25"/>
        <v>417923.85665037547</v>
      </c>
      <c r="R78" s="34">
        <f t="shared" si="25"/>
        <v>417923.85665037547</v>
      </c>
      <c r="S78" s="34">
        <f t="shared" si="25"/>
        <v>417923.85665037547</v>
      </c>
      <c r="T78" s="34">
        <f t="shared" si="25"/>
        <v>417923.85665037547</v>
      </c>
      <c r="U78" s="72">
        <f>SUM(P78:T78)</f>
        <v>1671695.4266015019</v>
      </c>
    </row>
    <row r="79" spans="3:22" ht="12.75" customHeight="1" x14ac:dyDescent="0.2">
      <c r="C79" s="1" t="s">
        <v>11</v>
      </c>
      <c r="D79" s="1" t="s">
        <v>47</v>
      </c>
      <c r="F79" s="2"/>
      <c r="G79" s="69"/>
      <c r="I79" s="2"/>
      <c r="O79" s="2"/>
      <c r="P79" s="6">
        <f t="shared" si="25"/>
        <v>0</v>
      </c>
      <c r="Q79" s="6">
        <f t="shared" si="25"/>
        <v>0</v>
      </c>
      <c r="R79" s="6">
        <f t="shared" si="25"/>
        <v>0</v>
      </c>
      <c r="S79" s="6">
        <f t="shared" si="25"/>
        <v>0</v>
      </c>
      <c r="T79" s="6">
        <f t="shared" si="25"/>
        <v>0</v>
      </c>
      <c r="U79" s="73">
        <f t="shared" ref="U79:U80" si="26">SUM(P79:T79)</f>
        <v>0</v>
      </c>
    </row>
    <row r="80" spans="3:22" ht="12.75" customHeight="1" x14ac:dyDescent="0.2">
      <c r="C80" s="1" t="s">
        <v>12</v>
      </c>
      <c r="D80" s="1" t="s">
        <v>47</v>
      </c>
      <c r="F80" s="2"/>
      <c r="G80" s="69"/>
      <c r="I80" s="2"/>
      <c r="O80" s="2"/>
      <c r="P80" s="6">
        <f t="shared" si="25"/>
        <v>0</v>
      </c>
      <c r="Q80" s="6">
        <f t="shared" si="25"/>
        <v>1669368.9696248949</v>
      </c>
      <c r="R80" s="6">
        <f t="shared" si="25"/>
        <v>1669368.9696248949</v>
      </c>
      <c r="S80" s="6">
        <f t="shared" si="25"/>
        <v>1669368.9696248949</v>
      </c>
      <c r="T80" s="6">
        <f t="shared" si="25"/>
        <v>1669368.9696248949</v>
      </c>
      <c r="U80" s="73">
        <f t="shared" si="26"/>
        <v>6677475.8784995796</v>
      </c>
    </row>
    <row r="81" spans="3:22" ht="12.75" customHeight="1" x14ac:dyDescent="0.2">
      <c r="C81" s="21" t="s">
        <v>15</v>
      </c>
      <c r="D81" s="21" t="s">
        <v>47</v>
      </c>
      <c r="E81" s="103"/>
      <c r="F81" s="105"/>
      <c r="G81" s="104"/>
      <c r="H81" s="106"/>
      <c r="I81" s="105"/>
      <c r="J81" s="103"/>
      <c r="K81" s="103"/>
      <c r="L81" s="103"/>
      <c r="M81" s="103"/>
      <c r="N81" s="103"/>
      <c r="O81" s="105"/>
      <c r="P81" s="22">
        <f>SUM(P78:P80)</f>
        <v>0</v>
      </c>
      <c r="Q81" s="22">
        <f t="shared" ref="Q81" si="27">SUM(Q78:Q80)</f>
        <v>2087292.8262752704</v>
      </c>
      <c r="R81" s="22">
        <f t="shared" ref="R81" si="28">SUM(R78:R80)</f>
        <v>2087292.8262752704</v>
      </c>
      <c r="S81" s="22">
        <f t="shared" ref="S81" si="29">SUM(S78:S80)</f>
        <v>2087292.8262752704</v>
      </c>
      <c r="T81" s="22">
        <f t="shared" ref="T81" si="30">SUM(T78:T80)</f>
        <v>2087292.8262752704</v>
      </c>
      <c r="U81" s="22">
        <f t="shared" ref="U81" si="31">SUM(U78:U80)</f>
        <v>8349171.3051010817</v>
      </c>
    </row>
    <row r="82" spans="3:22" ht="12.75" customHeight="1" x14ac:dyDescent="0.2">
      <c r="F82" s="2"/>
      <c r="G82" s="69"/>
      <c r="I82" s="2"/>
      <c r="O82" s="2"/>
      <c r="P82" s="6"/>
      <c r="Q82" s="6"/>
      <c r="R82" s="6"/>
      <c r="S82" s="6"/>
      <c r="T82" s="6"/>
      <c r="U82" s="73"/>
    </row>
    <row r="83" spans="3:22" x14ac:dyDescent="0.2">
      <c r="C83" s="7" t="str">
        <f>"Total Expenditure ($ "&amp;Assumptions!$C$34&amp;")"</f>
        <v>Total Expenditure ($ June 2026)</v>
      </c>
      <c r="D83" s="7" t="s">
        <v>69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5880347.2833256982</v>
      </c>
      <c r="Q83" s="8">
        <f t="shared" ref="Q83:T83" si="32">Q77+Q81</f>
        <v>2087292.8262752704</v>
      </c>
      <c r="R83" s="8">
        <f t="shared" si="32"/>
        <v>2087292.8262752704</v>
      </c>
      <c r="S83" s="8">
        <f t="shared" si="32"/>
        <v>2087292.8262752704</v>
      </c>
      <c r="T83" s="8">
        <f t="shared" si="32"/>
        <v>2087292.8262752704</v>
      </c>
      <c r="U83" s="74">
        <f t="shared" si="19"/>
        <v>14229518.58842678</v>
      </c>
    </row>
    <row r="84" spans="3:22" x14ac:dyDescent="0.2">
      <c r="F84" s="2"/>
      <c r="I84" s="2"/>
      <c r="O84" s="2"/>
      <c r="P84" s="46">
        <f>SUM(P10:P54)*business_case_dollars-P83</f>
        <v>0</v>
      </c>
      <c r="Q84" s="46">
        <f>SUM(Q10:Q54)*business_case_dollars-Q83</f>
        <v>0</v>
      </c>
      <c r="R84" s="46">
        <f>SUM(R10:R54)*business_case_dollars-R83</f>
        <v>0</v>
      </c>
      <c r="S84" s="46">
        <f>SUM(S10:S54)*business_case_dollars-S83</f>
        <v>0</v>
      </c>
      <c r="T84" s="46">
        <f>SUM(T10:T54)*business_case_dollars-T83</f>
        <v>0</v>
      </c>
      <c r="U84" s="46">
        <f>SUM(P10:T54)*business_case_dollars-U83</f>
        <v>0</v>
      </c>
      <c r="V84" s="46">
        <f>SUM(P84:U84)</f>
        <v>0</v>
      </c>
    </row>
    <row r="85" spans="3:22" x14ac:dyDescent="0.2">
      <c r="C85" s="55" t="str">
        <f>"NPV ($ "&amp;Assumptions!$C$34&amp;")"</f>
        <v>NPV ($ June 2026)</v>
      </c>
      <c r="D85" s="56">
        <f>NPV(Real_Discount_rate,$P83:$T83)</f>
        <v>13089023.348601783</v>
      </c>
      <c r="F85" s="2"/>
      <c r="I85" s="2"/>
      <c r="O85" s="2"/>
      <c r="P85" s="52"/>
      <c r="Q85" s="52"/>
      <c r="R85" s="52"/>
      <c r="S85" s="52"/>
      <c r="T85" s="52"/>
    </row>
  </sheetData>
  <conditionalFormatting sqref="G10:G54">
    <cfRule type="expression" dxfId="6" priority="8">
      <formula>$E10="Contracts"</formula>
    </cfRule>
    <cfRule type="expression" dxfId="5" priority="9">
      <formula>$E10="Materials"</formula>
    </cfRule>
    <cfRule type="expression" dxfId="4" priority="10">
      <formula>$E10="Labour"</formula>
    </cfRule>
  </conditionalFormatting>
  <conditionalFormatting sqref="P68:U68">
    <cfRule type="expression" dxfId="3" priority="1">
      <formula>ABS(P68)&gt;0.001</formula>
    </cfRule>
  </conditionalFormatting>
  <conditionalFormatting sqref="P84:U84">
    <cfRule type="expression" dxfId="2" priority="2">
      <formula>ABS(P84)&gt;0.001</formula>
    </cfRule>
  </conditionalFormatting>
  <conditionalFormatting sqref="V68">
    <cfRule type="expression" dxfId="1" priority="14">
      <formula>ABS(V68)&gt;0.001</formula>
    </cfRule>
  </conditionalFormatting>
  <conditionalFormatting sqref="V84">
    <cfRule type="expression" dxfId="0" priority="4">
      <formula>ABS(V84)&gt;0.001</formula>
    </cfRule>
  </conditionalFormatting>
  <dataValidations count="2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 Q61:U61 P77:U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Cover</vt:lpstr>
      <vt:lpstr>CitiPower summary</vt:lpstr>
      <vt:lpstr>Piclo Benefits</vt:lpstr>
      <vt:lpstr>Opex Step Change</vt:lpstr>
      <vt:lpstr>Project Summary</vt:lpstr>
      <vt:lpstr>Assumptions</vt:lpstr>
      <vt:lpstr>Option 1</vt:lpstr>
      <vt:lpstr>Option 2</vt:lpstr>
      <vt:lpstr>Cover!Business</vt:lpstr>
      <vt:lpstr>Business</vt:lpstr>
      <vt:lpstr>Cover!business_case_dollars</vt:lpstr>
      <vt:lpstr>business_case_dollars</vt:lpstr>
      <vt:lpstr>Project_name</vt:lpstr>
      <vt:lpstr>Cover!Real_Discount_rate</vt:lpstr>
      <vt:lpstr>Real_Discount_rate</vt:lpstr>
      <vt:lpstr>'Option 1'!years</vt:lpstr>
      <vt:lpstr>'Option 2'!years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2025-01-08T10:53:32Z</dcterms:created>
  <dcterms:modified xsi:type="dcterms:W3CDTF">2025-01-26T23:48:59Z</dcterms:modified>
  <cp:category/>
  <cp:contentStatus/>
</cp:coreProperties>
</file>