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5037FAD8-2392-48B0-A677-7D23224EEE4B}" xr6:coauthVersionLast="47" xr6:coauthVersionMax="47" xr10:uidLastSave="{00000000-0000-0000-0000-000000000000}"/>
  <bookViews>
    <workbookView xWindow="-120" yWindow="-120" windowWidth="29040" windowHeight="15720" tabRatio="896" activeTab="3" xr2:uid="{00000000-000D-0000-FFFF-FFFF00000000}"/>
  </bookViews>
  <sheets>
    <sheet name="Cover" sheetId="90" r:id="rId1"/>
    <sheet name="CitiPower summary" sheetId="91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91" l="1"/>
  <c r="J25" i="91"/>
  <c r="K24" i="91"/>
  <c r="G33" i="91"/>
  <c r="H33" i="91"/>
  <c r="I33" i="91"/>
  <c r="J33" i="91"/>
  <c r="G34" i="91"/>
  <c r="H34" i="91"/>
  <c r="I34" i="91"/>
  <c r="J34" i="91"/>
  <c r="K33" i="91"/>
  <c r="F34" i="91"/>
  <c r="F33" i="91"/>
  <c r="G11" i="91"/>
  <c r="H11" i="91"/>
  <c r="I11" i="91"/>
  <c r="J11" i="91"/>
  <c r="G12" i="91"/>
  <c r="H12" i="91"/>
  <c r="I12" i="91"/>
  <c r="J12" i="91"/>
  <c r="F12" i="91"/>
  <c r="F11" i="91"/>
  <c r="G23" i="91"/>
  <c r="K23" i="91" s="1"/>
  <c r="H23" i="91"/>
  <c r="I23" i="91"/>
  <c r="J23" i="91"/>
  <c r="G22" i="91"/>
  <c r="H22" i="91"/>
  <c r="I22" i="91"/>
  <c r="J22" i="91"/>
  <c r="F23" i="91"/>
  <c r="F22" i="91"/>
  <c r="K22" i="91"/>
  <c r="J36" i="91"/>
  <c r="I36" i="91"/>
  <c r="H36" i="91"/>
  <c r="G36" i="91"/>
  <c r="G25" i="91"/>
  <c r="F52" i="82"/>
  <c r="F37" i="82"/>
  <c r="F22" i="82"/>
  <c r="D90" i="79"/>
  <c r="D75" i="79"/>
  <c r="D91" i="84"/>
  <c r="D76" i="84"/>
  <c r="D91" i="85"/>
  <c r="D76" i="85"/>
  <c r="K13" i="91"/>
  <c r="K36" i="91" l="1"/>
  <c r="H25" i="91"/>
  <c r="I25" i="91"/>
  <c r="K25" i="91"/>
  <c r="K34" i="91"/>
  <c r="F36" i="91"/>
  <c r="F38" i="91" s="1"/>
  <c r="F25" i="91"/>
  <c r="F27" i="91" s="1"/>
  <c r="D6" i="91"/>
  <c r="A3" i="91"/>
  <c r="A1" i="91"/>
  <c r="C5" i="90" a="1"/>
  <c r="C5" i="90" s="1"/>
  <c r="D6" i="90" a="1"/>
  <c r="D6" i="90" s="1"/>
  <c r="B19" i="74"/>
  <c r="B18" i="74"/>
  <c r="T57" i="79"/>
  <c r="S57" i="79"/>
  <c r="R57" i="79"/>
  <c r="Q57" i="79"/>
  <c r="P57" i="79"/>
  <c r="H57" i="79"/>
  <c r="G57" i="79"/>
  <c r="T56" i="79"/>
  <c r="S56" i="79"/>
  <c r="R56" i="79"/>
  <c r="Q56" i="79"/>
  <c r="P56" i="79"/>
  <c r="H56" i="79"/>
  <c r="G56" i="79"/>
  <c r="T55" i="79"/>
  <c r="S55" i="79"/>
  <c r="R55" i="79"/>
  <c r="Q55" i="79"/>
  <c r="P55" i="79"/>
  <c r="H55" i="79"/>
  <c r="G55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2" i="79"/>
  <c r="S52" i="79"/>
  <c r="R52" i="79"/>
  <c r="Q52" i="79"/>
  <c r="P52" i="79"/>
  <c r="H52" i="79"/>
  <c r="G52" i="79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T51" i="84"/>
  <c r="S51" i="84"/>
  <c r="R51" i="84"/>
  <c r="Q51" i="84"/>
  <c r="P51" i="84"/>
  <c r="H51" i="84"/>
  <c r="G51" i="84"/>
  <c r="T50" i="84"/>
  <c r="S50" i="84"/>
  <c r="R50" i="84"/>
  <c r="Q50" i="84"/>
  <c r="P50" i="84"/>
  <c r="H50" i="84"/>
  <c r="G50" i="84"/>
  <c r="T49" i="84"/>
  <c r="S49" i="84"/>
  <c r="R49" i="84"/>
  <c r="Q49" i="84"/>
  <c r="P49" i="84"/>
  <c r="H49" i="84"/>
  <c r="G49" i="84"/>
  <c r="T59" i="85"/>
  <c r="S59" i="85"/>
  <c r="R59" i="85"/>
  <c r="Q59" i="85"/>
  <c r="P59" i="85"/>
  <c r="H59" i="85"/>
  <c r="G59" i="85"/>
  <c r="T58" i="85"/>
  <c r="S58" i="85"/>
  <c r="R58" i="85"/>
  <c r="Q58" i="85"/>
  <c r="P58" i="85"/>
  <c r="H58" i="85"/>
  <c r="G58" i="85"/>
  <c r="T57" i="85"/>
  <c r="S57" i="85"/>
  <c r="R57" i="85"/>
  <c r="Q57" i="85"/>
  <c r="P57" i="85"/>
  <c r="H57" i="85"/>
  <c r="G57" i="85"/>
  <c r="T56" i="85"/>
  <c r="S56" i="85"/>
  <c r="R56" i="85"/>
  <c r="Q56" i="85"/>
  <c r="P56" i="85"/>
  <c r="H56" i="85"/>
  <c r="G56" i="85"/>
  <c r="T55" i="85"/>
  <c r="S55" i="85"/>
  <c r="R55" i="85"/>
  <c r="Q55" i="85"/>
  <c r="P55" i="85"/>
  <c r="H55" i="85"/>
  <c r="G55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C89" i="85" l="1"/>
  <c r="C89" i="84"/>
  <c r="C73" i="85"/>
  <c r="T68" i="85"/>
  <c r="S68" i="85"/>
  <c r="R68" i="85"/>
  <c r="Q68" i="85"/>
  <c r="P68" i="85"/>
  <c r="C73" i="84"/>
  <c r="U68" i="85" l="1"/>
  <c r="B14" i="74"/>
  <c r="C50" i="82" l="1"/>
  <c r="C35" i="82"/>
  <c r="C20" i="82"/>
  <c r="A3" i="82"/>
  <c r="B21" i="74" l="1"/>
  <c r="C91" i="85" l="1"/>
  <c r="C76" i="85"/>
  <c r="T60" i="85"/>
  <c r="S60" i="85"/>
  <c r="R60" i="85"/>
  <c r="Q60" i="85"/>
  <c r="P60" i="85"/>
  <c r="H60" i="85"/>
  <c r="G60" i="85"/>
  <c r="T52" i="85"/>
  <c r="S52" i="85"/>
  <c r="R52" i="85"/>
  <c r="Q52" i="85"/>
  <c r="P52" i="85"/>
  <c r="H52" i="85"/>
  <c r="G52" i="85"/>
  <c r="T51" i="85"/>
  <c r="S51" i="85"/>
  <c r="R51" i="85"/>
  <c r="Q51" i="85"/>
  <c r="P51" i="85"/>
  <c r="H51" i="85"/>
  <c r="G51" i="85"/>
  <c r="T50" i="85"/>
  <c r="S50" i="85"/>
  <c r="R50" i="85"/>
  <c r="Q50" i="85"/>
  <c r="P50" i="85"/>
  <c r="H50" i="85"/>
  <c r="G50" i="85"/>
  <c r="T49" i="85"/>
  <c r="S49" i="85"/>
  <c r="R49" i="85"/>
  <c r="Q49" i="85"/>
  <c r="P49" i="85"/>
  <c r="H49" i="85"/>
  <c r="G49" i="85"/>
  <c r="T48" i="85"/>
  <c r="S48" i="85"/>
  <c r="R48" i="85"/>
  <c r="Q48" i="85"/>
  <c r="P48" i="85"/>
  <c r="H48" i="85"/>
  <c r="G48" i="85"/>
  <c r="T47" i="85"/>
  <c r="S47" i="85"/>
  <c r="R47" i="85"/>
  <c r="Q47" i="85"/>
  <c r="P47" i="85"/>
  <c r="H47" i="85"/>
  <c r="G47" i="85"/>
  <c r="T46" i="85"/>
  <c r="S46" i="85"/>
  <c r="R46" i="85"/>
  <c r="Q46" i="85"/>
  <c r="P46" i="85"/>
  <c r="H46" i="85"/>
  <c r="G46" i="85"/>
  <c r="T45" i="85"/>
  <c r="S45" i="85"/>
  <c r="R45" i="85"/>
  <c r="Q45" i="85"/>
  <c r="P45" i="85"/>
  <c r="H45" i="85"/>
  <c r="G45" i="85"/>
  <c r="T44" i="85"/>
  <c r="S44" i="85"/>
  <c r="R44" i="85"/>
  <c r="Q44" i="85"/>
  <c r="P44" i="85"/>
  <c r="H44" i="85"/>
  <c r="G44" i="85"/>
  <c r="T43" i="85"/>
  <c r="S43" i="85"/>
  <c r="R43" i="85"/>
  <c r="Q43" i="85"/>
  <c r="P43" i="85"/>
  <c r="H43" i="85"/>
  <c r="G43" i="85"/>
  <c r="T42" i="85"/>
  <c r="S42" i="85"/>
  <c r="R42" i="85"/>
  <c r="Q42" i="85"/>
  <c r="P42" i="85"/>
  <c r="H42" i="85"/>
  <c r="G42" i="85"/>
  <c r="T41" i="85"/>
  <c r="S41" i="85"/>
  <c r="R41" i="85"/>
  <c r="Q41" i="85"/>
  <c r="P41" i="85"/>
  <c r="H41" i="85"/>
  <c r="G41" i="85"/>
  <c r="T40" i="85"/>
  <c r="S40" i="85"/>
  <c r="R40" i="85"/>
  <c r="Q40" i="85"/>
  <c r="P40" i="85"/>
  <c r="H40" i="85"/>
  <c r="G40" i="85"/>
  <c r="T39" i="85"/>
  <c r="S39" i="85"/>
  <c r="R39" i="85"/>
  <c r="Q39" i="85"/>
  <c r="P39" i="85"/>
  <c r="H39" i="85"/>
  <c r="G39" i="85"/>
  <c r="T38" i="85"/>
  <c r="S38" i="85"/>
  <c r="R38" i="85"/>
  <c r="Q38" i="85"/>
  <c r="P38" i="85"/>
  <c r="H38" i="85"/>
  <c r="G38" i="85"/>
  <c r="T37" i="85"/>
  <c r="S37" i="85"/>
  <c r="R37" i="85"/>
  <c r="Q37" i="85"/>
  <c r="P37" i="85"/>
  <c r="H37" i="85"/>
  <c r="G37" i="85"/>
  <c r="T36" i="85"/>
  <c r="S36" i="85"/>
  <c r="R36" i="85"/>
  <c r="Q36" i="85"/>
  <c r="P36" i="85"/>
  <c r="H36" i="85"/>
  <c r="G36" i="85"/>
  <c r="T35" i="85"/>
  <c r="S35" i="85"/>
  <c r="R35" i="85"/>
  <c r="Q35" i="85"/>
  <c r="P35" i="85"/>
  <c r="H35" i="85"/>
  <c r="G35" i="85"/>
  <c r="T34" i="85"/>
  <c r="S34" i="85"/>
  <c r="R34" i="85"/>
  <c r="Q34" i="85"/>
  <c r="P34" i="85"/>
  <c r="H34" i="85"/>
  <c r="G34" i="85"/>
  <c r="T33" i="85"/>
  <c r="S33" i="85"/>
  <c r="R33" i="85"/>
  <c r="Q33" i="85"/>
  <c r="P33" i="85"/>
  <c r="H33" i="85"/>
  <c r="G33" i="85"/>
  <c r="T32" i="85"/>
  <c r="S32" i="85"/>
  <c r="R32" i="85"/>
  <c r="Q32" i="85"/>
  <c r="P32" i="85"/>
  <c r="H32" i="85"/>
  <c r="G32" i="85"/>
  <c r="T31" i="85"/>
  <c r="S31" i="85"/>
  <c r="R31" i="85"/>
  <c r="Q31" i="85"/>
  <c r="P31" i="85"/>
  <c r="H31" i="85"/>
  <c r="G31" i="85"/>
  <c r="T30" i="85"/>
  <c r="S30" i="85"/>
  <c r="R30" i="85"/>
  <c r="Q30" i="85"/>
  <c r="P30" i="85"/>
  <c r="H30" i="85"/>
  <c r="G30" i="85"/>
  <c r="T29" i="85"/>
  <c r="S29" i="85"/>
  <c r="R29" i="85"/>
  <c r="Q29" i="85"/>
  <c r="P29" i="85"/>
  <c r="H29" i="85"/>
  <c r="G29" i="85"/>
  <c r="T28" i="85"/>
  <c r="S28" i="85"/>
  <c r="R28" i="85"/>
  <c r="Q28" i="85"/>
  <c r="P28" i="85"/>
  <c r="H28" i="85"/>
  <c r="G28" i="85"/>
  <c r="T27" i="85"/>
  <c r="S27" i="85"/>
  <c r="R27" i="85"/>
  <c r="Q27" i="85"/>
  <c r="P27" i="85"/>
  <c r="H27" i="85"/>
  <c r="G27" i="85"/>
  <c r="T26" i="85"/>
  <c r="S26" i="85"/>
  <c r="R26" i="85"/>
  <c r="Q26" i="85"/>
  <c r="P26" i="85"/>
  <c r="H26" i="85"/>
  <c r="G26" i="85"/>
  <c r="T25" i="85"/>
  <c r="S25" i="85"/>
  <c r="R25" i="85"/>
  <c r="Q25" i="85"/>
  <c r="P25" i="85"/>
  <c r="H25" i="85"/>
  <c r="G25" i="85"/>
  <c r="T24" i="85"/>
  <c r="S24" i="85"/>
  <c r="R24" i="85"/>
  <c r="Q24" i="85"/>
  <c r="P24" i="85"/>
  <c r="H24" i="85"/>
  <c r="G24" i="85"/>
  <c r="T23" i="85"/>
  <c r="S23" i="85"/>
  <c r="R23" i="85"/>
  <c r="Q23" i="85"/>
  <c r="P23" i="85"/>
  <c r="H23" i="85"/>
  <c r="G23" i="85"/>
  <c r="T22" i="85"/>
  <c r="S22" i="85"/>
  <c r="R22" i="85"/>
  <c r="Q22" i="85"/>
  <c r="P22" i="85"/>
  <c r="H22" i="85"/>
  <c r="G22" i="85"/>
  <c r="T21" i="85"/>
  <c r="S21" i="85"/>
  <c r="R21" i="85"/>
  <c r="Q21" i="85"/>
  <c r="P21" i="85"/>
  <c r="H21" i="85"/>
  <c r="G21" i="85"/>
  <c r="T20" i="85"/>
  <c r="S20" i="85"/>
  <c r="R20" i="85"/>
  <c r="Q20" i="85"/>
  <c r="P20" i="85"/>
  <c r="H20" i="85"/>
  <c r="G20" i="85"/>
  <c r="T19" i="85"/>
  <c r="S19" i="85"/>
  <c r="R19" i="85"/>
  <c r="Q19" i="85"/>
  <c r="P19" i="85"/>
  <c r="H19" i="85"/>
  <c r="G19" i="85"/>
  <c r="T18" i="85"/>
  <c r="S18" i="85"/>
  <c r="R18" i="85"/>
  <c r="Q18" i="85"/>
  <c r="P18" i="85"/>
  <c r="H18" i="85"/>
  <c r="G18" i="85"/>
  <c r="H17" i="85"/>
  <c r="G17" i="85"/>
  <c r="H16" i="85"/>
  <c r="G16" i="85"/>
  <c r="T15" i="85"/>
  <c r="S15" i="85"/>
  <c r="R15" i="85"/>
  <c r="Q15" i="85"/>
  <c r="P15" i="85"/>
  <c r="H15" i="85"/>
  <c r="G15" i="85"/>
  <c r="H14" i="85"/>
  <c r="G14" i="85"/>
  <c r="H13" i="85"/>
  <c r="G13" i="85"/>
  <c r="T13" i="85" s="1"/>
  <c r="H12" i="85"/>
  <c r="G12" i="85"/>
  <c r="T12" i="85" s="1"/>
  <c r="H11" i="85"/>
  <c r="G11" i="85"/>
  <c r="S11" i="85" s="1"/>
  <c r="H10" i="85"/>
  <c r="G10" i="85"/>
  <c r="R10" i="85" s="1"/>
  <c r="A5" i="85"/>
  <c r="V3" i="85"/>
  <c r="A2" i="85"/>
  <c r="A1" i="85"/>
  <c r="C91" i="84"/>
  <c r="C76" i="84"/>
  <c r="T60" i="84"/>
  <c r="S60" i="84"/>
  <c r="R60" i="84"/>
  <c r="Q60" i="84"/>
  <c r="P60" i="84"/>
  <c r="H60" i="84"/>
  <c r="G60" i="84"/>
  <c r="T59" i="84"/>
  <c r="S59" i="84"/>
  <c r="R59" i="84"/>
  <c r="Q59" i="84"/>
  <c r="P59" i="84"/>
  <c r="H59" i="84"/>
  <c r="G59" i="84"/>
  <c r="T58" i="84"/>
  <c r="S58" i="84"/>
  <c r="R58" i="84"/>
  <c r="Q58" i="84"/>
  <c r="P58" i="84"/>
  <c r="H58" i="84"/>
  <c r="G58" i="84"/>
  <c r="T57" i="84"/>
  <c r="S57" i="84"/>
  <c r="R57" i="84"/>
  <c r="Q57" i="84"/>
  <c r="P57" i="84"/>
  <c r="H57" i="84"/>
  <c r="G57" i="84"/>
  <c r="T56" i="84"/>
  <c r="S56" i="84"/>
  <c r="R56" i="84"/>
  <c r="Q56" i="84"/>
  <c r="P56" i="84"/>
  <c r="H56" i="84"/>
  <c r="G56" i="84"/>
  <c r="T55" i="84"/>
  <c r="S55" i="84"/>
  <c r="R55" i="84"/>
  <c r="Q55" i="84"/>
  <c r="P55" i="84"/>
  <c r="H55" i="84"/>
  <c r="G55" i="84"/>
  <c r="T48" i="84"/>
  <c r="S48" i="84"/>
  <c r="R48" i="84"/>
  <c r="Q48" i="84"/>
  <c r="P48" i="84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T38" i="84"/>
  <c r="S38" i="84"/>
  <c r="R38" i="84"/>
  <c r="Q38" i="84"/>
  <c r="P38" i="84"/>
  <c r="H38" i="84"/>
  <c r="G38" i="84"/>
  <c r="T37" i="84"/>
  <c r="S37" i="84"/>
  <c r="R37" i="84"/>
  <c r="Q37" i="84"/>
  <c r="P37" i="84"/>
  <c r="H37" i="84"/>
  <c r="G37" i="84"/>
  <c r="T36" i="84"/>
  <c r="S36" i="84"/>
  <c r="R36" i="84"/>
  <c r="Q36" i="84"/>
  <c r="P36" i="84"/>
  <c r="H36" i="84"/>
  <c r="G36" i="84"/>
  <c r="T35" i="84"/>
  <c r="S35" i="84"/>
  <c r="R35" i="84"/>
  <c r="Q35" i="84"/>
  <c r="P35" i="84"/>
  <c r="H35" i="84"/>
  <c r="G35" i="84"/>
  <c r="T34" i="84"/>
  <c r="S34" i="84"/>
  <c r="R34" i="84"/>
  <c r="Q34" i="84"/>
  <c r="P34" i="84"/>
  <c r="H34" i="84"/>
  <c r="G34" i="84"/>
  <c r="T33" i="84"/>
  <c r="S33" i="84"/>
  <c r="R33" i="84"/>
  <c r="Q33" i="84"/>
  <c r="P33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T30" i="84"/>
  <c r="S30" i="84"/>
  <c r="R30" i="84"/>
  <c r="Q30" i="84"/>
  <c r="P30" i="84"/>
  <c r="H30" i="84"/>
  <c r="G30" i="84"/>
  <c r="T29" i="84"/>
  <c r="S29" i="84"/>
  <c r="R29" i="84"/>
  <c r="Q29" i="84"/>
  <c r="P29" i="84"/>
  <c r="H29" i="84"/>
  <c r="G29" i="84"/>
  <c r="T28" i="84"/>
  <c r="S28" i="84"/>
  <c r="R28" i="84"/>
  <c r="Q28" i="84"/>
  <c r="P28" i="84"/>
  <c r="H28" i="84"/>
  <c r="G28" i="84"/>
  <c r="T27" i="84"/>
  <c r="S27" i="84"/>
  <c r="R27" i="84"/>
  <c r="Q27" i="84"/>
  <c r="P27" i="84"/>
  <c r="H27" i="84"/>
  <c r="G27" i="84"/>
  <c r="T26" i="84"/>
  <c r="S26" i="84"/>
  <c r="R26" i="84"/>
  <c r="Q26" i="84"/>
  <c r="P26" i="84"/>
  <c r="H26" i="84"/>
  <c r="G26" i="84"/>
  <c r="T25" i="84"/>
  <c r="S25" i="84"/>
  <c r="R25" i="84"/>
  <c r="Q25" i="84"/>
  <c r="P25" i="84"/>
  <c r="H25" i="84"/>
  <c r="G25" i="84"/>
  <c r="T24" i="84"/>
  <c r="S24" i="84"/>
  <c r="R24" i="84"/>
  <c r="Q24" i="84"/>
  <c r="P24" i="84"/>
  <c r="H24" i="84"/>
  <c r="G24" i="84"/>
  <c r="T23" i="84"/>
  <c r="S23" i="84"/>
  <c r="R23" i="84"/>
  <c r="Q23" i="84"/>
  <c r="P23" i="84"/>
  <c r="H23" i="84"/>
  <c r="G23" i="84"/>
  <c r="T22" i="84"/>
  <c r="S22" i="84"/>
  <c r="R22" i="84"/>
  <c r="Q22" i="84"/>
  <c r="P22" i="84"/>
  <c r="H22" i="84"/>
  <c r="G22" i="84"/>
  <c r="T21" i="84"/>
  <c r="S21" i="84"/>
  <c r="R21" i="84"/>
  <c r="Q21" i="84"/>
  <c r="P21" i="84"/>
  <c r="H21" i="84"/>
  <c r="G21" i="84"/>
  <c r="T20" i="84"/>
  <c r="S20" i="84"/>
  <c r="R20" i="84"/>
  <c r="Q20" i="84"/>
  <c r="P20" i="84"/>
  <c r="H20" i="84"/>
  <c r="G20" i="84"/>
  <c r="T19" i="84"/>
  <c r="S19" i="84"/>
  <c r="R19" i="84"/>
  <c r="Q19" i="84"/>
  <c r="P19" i="84"/>
  <c r="H19" i="84"/>
  <c r="G19" i="84"/>
  <c r="T18" i="84"/>
  <c r="S18" i="84"/>
  <c r="R18" i="84"/>
  <c r="Q18" i="84"/>
  <c r="P18" i="84"/>
  <c r="H18" i="84"/>
  <c r="G18" i="84"/>
  <c r="H17" i="84"/>
  <c r="G17" i="84"/>
  <c r="H16" i="84"/>
  <c r="G16" i="84"/>
  <c r="T15" i="84"/>
  <c r="S15" i="84"/>
  <c r="R15" i="84"/>
  <c r="Q15" i="84"/>
  <c r="P15" i="84"/>
  <c r="H15" i="84"/>
  <c r="G15" i="84"/>
  <c r="H14" i="84"/>
  <c r="G14" i="84"/>
  <c r="H13" i="84"/>
  <c r="G13" i="84"/>
  <c r="S13" i="84" s="1"/>
  <c r="H12" i="84"/>
  <c r="G12" i="84"/>
  <c r="T12" i="84" s="1"/>
  <c r="H11" i="84"/>
  <c r="G11" i="84"/>
  <c r="T11" i="84" s="1"/>
  <c r="H10" i="84"/>
  <c r="G10" i="84"/>
  <c r="P10" i="84" s="1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90" i="79"/>
  <c r="C88" i="79"/>
  <c r="C36" i="74"/>
  <c r="C37" i="74" s="1"/>
  <c r="T17" i="85" l="1"/>
  <c r="S17" i="85"/>
  <c r="R17" i="85"/>
  <c r="Q17" i="85"/>
  <c r="P17" i="85"/>
  <c r="T16" i="85"/>
  <c r="S16" i="85"/>
  <c r="R16" i="85"/>
  <c r="Q16" i="85"/>
  <c r="P16" i="85"/>
  <c r="T14" i="85"/>
  <c r="S14" i="85"/>
  <c r="R14" i="85"/>
  <c r="Q14" i="85"/>
  <c r="P14" i="85"/>
  <c r="T17" i="84"/>
  <c r="T68" i="84" s="1"/>
  <c r="S17" i="84"/>
  <c r="S68" i="84" s="1"/>
  <c r="R17" i="84"/>
  <c r="R68" i="84" s="1"/>
  <c r="Q17" i="84"/>
  <c r="Q68" i="84" s="1"/>
  <c r="P17" i="84"/>
  <c r="P68" i="84" s="1"/>
  <c r="P84" i="84" s="1"/>
  <c r="T16" i="84"/>
  <c r="S16" i="84"/>
  <c r="R16" i="84"/>
  <c r="Q16" i="84"/>
  <c r="P16" i="84"/>
  <c r="T14" i="84"/>
  <c r="S14" i="84"/>
  <c r="R14" i="84"/>
  <c r="Q14" i="84"/>
  <c r="P14" i="84"/>
  <c r="R84" i="85"/>
  <c r="H45" i="82" s="1"/>
  <c r="Q84" i="85"/>
  <c r="G45" i="82" s="1"/>
  <c r="R84" i="84"/>
  <c r="H30" i="82" s="1"/>
  <c r="T84" i="85"/>
  <c r="J45" i="82" s="1"/>
  <c r="S84" i="85"/>
  <c r="I45" i="82" s="1"/>
  <c r="P84" i="85"/>
  <c r="S69" i="85"/>
  <c r="R69" i="85"/>
  <c r="T69" i="85"/>
  <c r="P69" i="85"/>
  <c r="Q69" i="85"/>
  <c r="P69" i="84"/>
  <c r="T69" i="84"/>
  <c r="R69" i="84"/>
  <c r="S69" i="84"/>
  <c r="Q69" i="84"/>
  <c r="T11" i="85"/>
  <c r="T66" i="85"/>
  <c r="P13" i="84"/>
  <c r="R65" i="85"/>
  <c r="T13" i="84"/>
  <c r="P66" i="85"/>
  <c r="S66" i="85"/>
  <c r="T65" i="84"/>
  <c r="S10" i="85"/>
  <c r="S70" i="85" s="1"/>
  <c r="Q10" i="84"/>
  <c r="P65" i="84"/>
  <c r="S66" i="84"/>
  <c r="T10" i="85"/>
  <c r="T70" i="85" s="1"/>
  <c r="Q66" i="85"/>
  <c r="R11" i="84"/>
  <c r="R10" i="84"/>
  <c r="Q65" i="84"/>
  <c r="R65" i="84"/>
  <c r="T66" i="84"/>
  <c r="R66" i="85"/>
  <c r="Q66" i="84"/>
  <c r="S12" i="84"/>
  <c r="S10" i="84"/>
  <c r="P65" i="85"/>
  <c r="R66" i="84"/>
  <c r="T10" i="84"/>
  <c r="T70" i="84" s="1"/>
  <c r="S65" i="84"/>
  <c r="Q65" i="85"/>
  <c r="T65" i="85"/>
  <c r="P66" i="84"/>
  <c r="S65" i="85"/>
  <c r="P12" i="85"/>
  <c r="Q13" i="85"/>
  <c r="P13" i="85"/>
  <c r="P11" i="85"/>
  <c r="Q12" i="85"/>
  <c r="R13" i="85"/>
  <c r="P10" i="85"/>
  <c r="Q11" i="85"/>
  <c r="R12" i="85"/>
  <c r="S13" i="85"/>
  <c r="Q10" i="85"/>
  <c r="R11" i="85"/>
  <c r="R70" i="85" s="1"/>
  <c r="S12" i="85"/>
  <c r="P12" i="84"/>
  <c r="Q13" i="84"/>
  <c r="P11" i="84"/>
  <c r="P70" i="84" s="1"/>
  <c r="Q12" i="84"/>
  <c r="R13" i="84"/>
  <c r="Q11" i="84"/>
  <c r="R12" i="84"/>
  <c r="S11" i="84"/>
  <c r="R70" i="84" l="1"/>
  <c r="Q70" i="85"/>
  <c r="P70" i="85"/>
  <c r="P71" i="85" s="1"/>
  <c r="S84" i="84"/>
  <c r="I30" i="82" s="1"/>
  <c r="Q84" i="84"/>
  <c r="G30" i="82" s="1"/>
  <c r="T84" i="84"/>
  <c r="J30" i="82" s="1"/>
  <c r="R86" i="85"/>
  <c r="H47" i="82" s="1"/>
  <c r="T86" i="85"/>
  <c r="J47" i="82" s="1"/>
  <c r="S86" i="85"/>
  <c r="I47" i="82" s="1"/>
  <c r="U68" i="84"/>
  <c r="S70" i="84"/>
  <c r="S86" i="84" s="1"/>
  <c r="I32" i="82" s="1"/>
  <c r="Q70" i="84"/>
  <c r="P86" i="84"/>
  <c r="F32" i="82" s="1"/>
  <c r="T86" i="84"/>
  <c r="J32" i="82" s="1"/>
  <c r="U69" i="84"/>
  <c r="U69" i="85"/>
  <c r="F30" i="82"/>
  <c r="F45" i="82"/>
  <c r="U84" i="85"/>
  <c r="P85" i="85"/>
  <c r="F46" i="82" s="1"/>
  <c r="Q85" i="85"/>
  <c r="T71" i="85"/>
  <c r="T85" i="85"/>
  <c r="R71" i="85"/>
  <c r="R85" i="85"/>
  <c r="S71" i="85"/>
  <c r="S85" i="85"/>
  <c r="S85" i="84"/>
  <c r="T71" i="84"/>
  <c r="T85" i="84"/>
  <c r="Q85" i="84"/>
  <c r="R85" i="84"/>
  <c r="P71" i="84"/>
  <c r="P85" i="84"/>
  <c r="F31" i="82" s="1"/>
  <c r="T64" i="84"/>
  <c r="S64" i="84"/>
  <c r="T64" i="85"/>
  <c r="U66" i="84"/>
  <c r="R64" i="84"/>
  <c r="Q64" i="84"/>
  <c r="R64" i="85"/>
  <c r="P64" i="84"/>
  <c r="S64" i="85"/>
  <c r="U66" i="85"/>
  <c r="Q64" i="85"/>
  <c r="U65" i="85"/>
  <c r="U65" i="84"/>
  <c r="P64" i="85"/>
  <c r="C75" i="79"/>
  <c r="P86" i="85" l="1"/>
  <c r="F47" i="82" s="1"/>
  <c r="R86" i="84"/>
  <c r="H32" i="82" s="1"/>
  <c r="R71" i="84"/>
  <c r="S71" i="84"/>
  <c r="Q71" i="85"/>
  <c r="U70" i="85"/>
  <c r="U71" i="85" s="1"/>
  <c r="Q86" i="85"/>
  <c r="G47" i="82" s="1"/>
  <c r="K47" i="82" s="1"/>
  <c r="U70" i="84"/>
  <c r="U71" i="84" s="1"/>
  <c r="Q86" i="84"/>
  <c r="G32" i="82" s="1"/>
  <c r="Q71" i="84"/>
  <c r="U84" i="84"/>
  <c r="G46" i="82"/>
  <c r="T87" i="84"/>
  <c r="J31" i="82"/>
  <c r="J33" i="82" s="1"/>
  <c r="T87" i="85"/>
  <c r="J46" i="82"/>
  <c r="J48" i="82" s="1"/>
  <c r="S87" i="84"/>
  <c r="I31" i="82"/>
  <c r="I33" i="82" s="1"/>
  <c r="H31" i="82"/>
  <c r="K45" i="82"/>
  <c r="F48" i="82"/>
  <c r="G31" i="82"/>
  <c r="F33" i="82"/>
  <c r="K30" i="82"/>
  <c r="S87" i="85"/>
  <c r="I46" i="82"/>
  <c r="I48" i="82" s="1"/>
  <c r="R87" i="85"/>
  <c r="H46" i="82"/>
  <c r="H48" i="82" s="1"/>
  <c r="U85" i="85"/>
  <c r="P87" i="85"/>
  <c r="U85" i="84"/>
  <c r="P87" i="84"/>
  <c r="Q67" i="85"/>
  <c r="R67" i="85"/>
  <c r="R73" i="85" s="1"/>
  <c r="R74" i="85" s="1"/>
  <c r="P67" i="85"/>
  <c r="P73" i="85" s="1"/>
  <c r="S67" i="85"/>
  <c r="S73" i="85" s="1"/>
  <c r="S74" i="85" s="1"/>
  <c r="T67" i="85"/>
  <c r="T73" i="85" s="1"/>
  <c r="T74" i="85" s="1"/>
  <c r="Q67" i="84"/>
  <c r="R67" i="84"/>
  <c r="R73" i="84" s="1"/>
  <c r="R74" i="84" s="1"/>
  <c r="T67" i="84"/>
  <c r="T73" i="84" s="1"/>
  <c r="T74" i="84" s="1"/>
  <c r="P67" i="84"/>
  <c r="P73" i="84" s="1"/>
  <c r="S67" i="84"/>
  <c r="S73" i="84" s="1"/>
  <c r="S74" i="84" s="1"/>
  <c r="U64" i="84"/>
  <c r="U67" i="84" s="1"/>
  <c r="U64" i="85"/>
  <c r="U67" i="85" s="1"/>
  <c r="A2" i="79"/>
  <c r="A1" i="79"/>
  <c r="A2" i="74"/>
  <c r="A1" i="74"/>
  <c r="C72" i="79"/>
  <c r="T59" i="79"/>
  <c r="S59" i="79"/>
  <c r="R59" i="79"/>
  <c r="Q59" i="79"/>
  <c r="P59" i="79"/>
  <c r="H59" i="79"/>
  <c r="G59" i="79"/>
  <c r="T58" i="79"/>
  <c r="S58" i="79"/>
  <c r="R58" i="79"/>
  <c r="Q58" i="79"/>
  <c r="P58" i="79"/>
  <c r="H58" i="79"/>
  <c r="G58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T24" i="79"/>
  <c r="S24" i="79"/>
  <c r="R24" i="79"/>
  <c r="Q24" i="79"/>
  <c r="P24" i="79"/>
  <c r="H24" i="79"/>
  <c r="G24" i="79"/>
  <c r="H23" i="79"/>
  <c r="G23" i="79"/>
  <c r="P23" i="79" s="1"/>
  <c r="T22" i="79"/>
  <c r="S22" i="79"/>
  <c r="R22" i="79"/>
  <c r="Q22" i="79"/>
  <c r="P22" i="79"/>
  <c r="H22" i="79"/>
  <c r="G22" i="79"/>
  <c r="T21" i="79"/>
  <c r="S21" i="79"/>
  <c r="R21" i="79"/>
  <c r="Q21" i="79"/>
  <c r="P21" i="79"/>
  <c r="H21" i="79"/>
  <c r="G21" i="79"/>
  <c r="H20" i="79"/>
  <c r="G20" i="79"/>
  <c r="T20" i="79" s="1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H16" i="79"/>
  <c r="G16" i="79"/>
  <c r="H15" i="79"/>
  <c r="G15" i="79"/>
  <c r="T14" i="79"/>
  <c r="S14" i="79"/>
  <c r="R14" i="79"/>
  <c r="Q14" i="79"/>
  <c r="P14" i="79"/>
  <c r="H14" i="79"/>
  <c r="G14" i="79"/>
  <c r="H13" i="79"/>
  <c r="G13" i="79"/>
  <c r="H12" i="79"/>
  <c r="G12" i="79"/>
  <c r="T12" i="79" s="1"/>
  <c r="H11" i="79"/>
  <c r="G11" i="79"/>
  <c r="P11" i="79" s="1"/>
  <c r="H10" i="79"/>
  <c r="G10" i="79"/>
  <c r="T10" i="79" s="1"/>
  <c r="A5" i="79"/>
  <c r="V3" i="79"/>
  <c r="Q87" i="85" l="1"/>
  <c r="G48" i="82"/>
  <c r="U86" i="85"/>
  <c r="U87" i="85" s="1"/>
  <c r="K32" i="82"/>
  <c r="H33" i="82"/>
  <c r="R87" i="84"/>
  <c r="Q73" i="85"/>
  <c r="Q74" i="85" s="1"/>
  <c r="Q73" i="84"/>
  <c r="Q74" i="84" s="1"/>
  <c r="U86" i="84"/>
  <c r="U87" i="84" s="1"/>
  <c r="G33" i="82"/>
  <c r="Q87" i="84"/>
  <c r="T16" i="79"/>
  <c r="T67" i="79" s="1"/>
  <c r="S16" i="79"/>
  <c r="S67" i="79" s="1"/>
  <c r="R16" i="79"/>
  <c r="R67" i="79" s="1"/>
  <c r="Q16" i="79"/>
  <c r="Q67" i="79" s="1"/>
  <c r="P16" i="79"/>
  <c r="P67" i="79" s="1"/>
  <c r="T15" i="79"/>
  <c r="S15" i="79"/>
  <c r="R15" i="79"/>
  <c r="Q15" i="79"/>
  <c r="P15" i="79"/>
  <c r="T13" i="79"/>
  <c r="S13" i="79"/>
  <c r="R13" i="79"/>
  <c r="Q13" i="79"/>
  <c r="P13" i="79"/>
  <c r="T69" i="79"/>
  <c r="K31" i="82"/>
  <c r="K46" i="82"/>
  <c r="K48" i="82" s="1"/>
  <c r="P74" i="84"/>
  <c r="P68" i="79"/>
  <c r="Q68" i="79"/>
  <c r="T68" i="79"/>
  <c r="S68" i="79"/>
  <c r="R68" i="79"/>
  <c r="P74" i="85"/>
  <c r="S11" i="79"/>
  <c r="T11" i="79"/>
  <c r="T23" i="79"/>
  <c r="T64" i="79" s="1"/>
  <c r="S23" i="79"/>
  <c r="Q23" i="79"/>
  <c r="R23" i="79"/>
  <c r="Q11" i="79"/>
  <c r="R11" i="79"/>
  <c r="R65" i="79"/>
  <c r="Q65" i="79"/>
  <c r="P65" i="79"/>
  <c r="Q20" i="79"/>
  <c r="P20" i="79"/>
  <c r="S20" i="79"/>
  <c r="R20" i="79"/>
  <c r="S65" i="79"/>
  <c r="T65" i="79"/>
  <c r="P10" i="79"/>
  <c r="P69" i="79" s="1"/>
  <c r="S10" i="79"/>
  <c r="S69" i="79" s="1"/>
  <c r="Q10" i="79"/>
  <c r="Q69" i="79" s="1"/>
  <c r="R10" i="79"/>
  <c r="R69" i="79" s="1"/>
  <c r="P12" i="79"/>
  <c r="Q12" i="79"/>
  <c r="R12" i="79"/>
  <c r="S12" i="79"/>
  <c r="U73" i="85" l="1"/>
  <c r="U73" i="84"/>
  <c r="U74" i="84" s="1"/>
  <c r="K33" i="82"/>
  <c r="T85" i="79"/>
  <c r="J17" i="82" s="1"/>
  <c r="U67" i="79"/>
  <c r="P83" i="79"/>
  <c r="Q83" i="79"/>
  <c r="G15" i="82" s="1"/>
  <c r="R83" i="79"/>
  <c r="H15" i="82" s="1"/>
  <c r="S83" i="79"/>
  <c r="I15" i="82" s="1"/>
  <c r="T83" i="79"/>
  <c r="J15" i="82" s="1"/>
  <c r="Q85" i="79"/>
  <c r="G17" i="82" s="1"/>
  <c r="S85" i="79"/>
  <c r="I17" i="82" s="1"/>
  <c r="P85" i="79"/>
  <c r="F17" i="82" s="1"/>
  <c r="V74" i="84"/>
  <c r="R84" i="79"/>
  <c r="R85" i="79"/>
  <c r="H17" i="82" s="1"/>
  <c r="S70" i="79"/>
  <c r="S84" i="79"/>
  <c r="T70" i="79"/>
  <c r="T84" i="79"/>
  <c r="Q70" i="79"/>
  <c r="Q84" i="79"/>
  <c r="P70" i="79"/>
  <c r="U68" i="79"/>
  <c r="P84" i="79"/>
  <c r="U69" i="79"/>
  <c r="U74" i="85"/>
  <c r="V74" i="85" s="1"/>
  <c r="R70" i="79"/>
  <c r="P64" i="79"/>
  <c r="R64" i="79"/>
  <c r="T63" i="79"/>
  <c r="S64" i="79"/>
  <c r="U65" i="79"/>
  <c r="P63" i="79"/>
  <c r="R63" i="79"/>
  <c r="Q63" i="79"/>
  <c r="Q64" i="79"/>
  <c r="S63" i="79"/>
  <c r="U83" i="79" l="1"/>
  <c r="F15" i="82"/>
  <c r="K15" i="82" s="1"/>
  <c r="K17" i="82"/>
  <c r="U85" i="79"/>
  <c r="U70" i="79"/>
  <c r="I16" i="82"/>
  <c r="I18" i="82" s="1"/>
  <c r="S86" i="79"/>
  <c r="G16" i="82"/>
  <c r="G18" i="82" s="1"/>
  <c r="Q86" i="79"/>
  <c r="R86" i="79"/>
  <c r="H16" i="82"/>
  <c r="H18" i="82" s="1"/>
  <c r="J16" i="82"/>
  <c r="J18" i="82" s="1"/>
  <c r="T86" i="79"/>
  <c r="P86" i="79"/>
  <c r="U84" i="79"/>
  <c r="F16" i="82"/>
  <c r="P66" i="79"/>
  <c r="P72" i="79" s="1"/>
  <c r="S66" i="79"/>
  <c r="S72" i="79" s="1"/>
  <c r="S73" i="79" s="1"/>
  <c r="T66" i="79"/>
  <c r="T72" i="79" s="1"/>
  <c r="T73" i="79" s="1"/>
  <c r="Q66" i="79"/>
  <c r="Q72" i="79" s="1"/>
  <c r="Q73" i="79" s="1"/>
  <c r="R66" i="79"/>
  <c r="R72" i="79" s="1"/>
  <c r="R73" i="79" s="1"/>
  <c r="U64" i="79"/>
  <c r="U63" i="79"/>
  <c r="U86" i="79" l="1"/>
  <c r="K16" i="82"/>
  <c r="K18" i="82" s="1"/>
  <c r="F18" i="82"/>
  <c r="U66" i="79"/>
  <c r="P73" i="79"/>
  <c r="U72" i="79"/>
  <c r="K12" i="91" l="1"/>
  <c r="U73" i="79"/>
  <c r="V73" i="79" s="1"/>
  <c r="T82" i="85" l="1"/>
  <c r="P82" i="85"/>
  <c r="F43" i="82" s="1"/>
  <c r="P82" i="84"/>
  <c r="F28" i="82" s="1"/>
  <c r="R81" i="85"/>
  <c r="Q81" i="84"/>
  <c r="T80" i="84"/>
  <c r="R82" i="85"/>
  <c r="Q82" i="85"/>
  <c r="P81" i="85"/>
  <c r="F42" i="82" s="1"/>
  <c r="T81" i="85"/>
  <c r="S82" i="84"/>
  <c r="P81" i="84"/>
  <c r="F27" i="82" s="1"/>
  <c r="R81" i="84"/>
  <c r="T81" i="84"/>
  <c r="T80" i="85"/>
  <c r="Q82" i="84"/>
  <c r="S81" i="84"/>
  <c r="S81" i="85"/>
  <c r="R82" i="84"/>
  <c r="S82" i="85"/>
  <c r="Q81" i="85"/>
  <c r="T82" i="84"/>
  <c r="S80" i="84"/>
  <c r="R80" i="84"/>
  <c r="Q80" i="85"/>
  <c r="S80" i="85"/>
  <c r="Q80" i="84"/>
  <c r="P80" i="84"/>
  <c r="R80" i="85"/>
  <c r="P80" i="85"/>
  <c r="T81" i="79"/>
  <c r="J13" i="82" s="1"/>
  <c r="P81" i="79"/>
  <c r="F13" i="82" s="1"/>
  <c r="Q81" i="79"/>
  <c r="G13" i="82" s="1"/>
  <c r="R81" i="79"/>
  <c r="H13" i="82" s="1"/>
  <c r="S81" i="79"/>
  <c r="I13" i="82" s="1"/>
  <c r="T80" i="79"/>
  <c r="J12" i="82" s="1"/>
  <c r="T79" i="79"/>
  <c r="S80" i="79"/>
  <c r="I12" i="82" s="1"/>
  <c r="P80" i="79"/>
  <c r="F12" i="82" s="1"/>
  <c r="R80" i="79"/>
  <c r="H12" i="82" s="1"/>
  <c r="S79" i="79"/>
  <c r="Q79" i="79"/>
  <c r="R79" i="79"/>
  <c r="P79" i="79"/>
  <c r="Q80" i="79"/>
  <c r="G12" i="82" s="1"/>
  <c r="S83" i="85" l="1"/>
  <c r="S89" i="85" s="1"/>
  <c r="S90" i="85" s="1"/>
  <c r="Q83" i="85"/>
  <c r="Q89" i="85" s="1"/>
  <c r="Q90" i="85" s="1"/>
  <c r="J41" i="82"/>
  <c r="T83" i="85"/>
  <c r="T89" i="85" s="1"/>
  <c r="T90" i="85" s="1"/>
  <c r="F41" i="82"/>
  <c r="F44" i="82" s="1"/>
  <c r="P83" i="85"/>
  <c r="P89" i="85" s="1"/>
  <c r="R83" i="85"/>
  <c r="R89" i="85" s="1"/>
  <c r="R90" i="85" s="1"/>
  <c r="S83" i="84"/>
  <c r="S89" i="84" s="1"/>
  <c r="S90" i="84" s="1"/>
  <c r="R83" i="84"/>
  <c r="R89" i="84" s="1"/>
  <c r="R90" i="84" s="1"/>
  <c r="T83" i="84"/>
  <c r="T89" i="84" s="1"/>
  <c r="T90" i="84" s="1"/>
  <c r="Q83" i="84"/>
  <c r="Q89" i="84" s="1"/>
  <c r="Q90" i="84" s="1"/>
  <c r="F26" i="82"/>
  <c r="F29" i="82" s="1"/>
  <c r="P83" i="84"/>
  <c r="P89" i="84" s="1"/>
  <c r="J11" i="82"/>
  <c r="J14" i="82" s="1"/>
  <c r="T82" i="79"/>
  <c r="T88" i="79" s="1"/>
  <c r="T89" i="79" s="1"/>
  <c r="F11" i="82"/>
  <c r="F14" i="82" s="1"/>
  <c r="P82" i="79"/>
  <c r="P88" i="79" s="1"/>
  <c r="P89" i="79" s="1"/>
  <c r="H11" i="82"/>
  <c r="H14" i="82" s="1"/>
  <c r="R82" i="79"/>
  <c r="R88" i="79" s="1"/>
  <c r="R89" i="79" s="1"/>
  <c r="G11" i="82"/>
  <c r="G14" i="82" s="1"/>
  <c r="Q82" i="79"/>
  <c r="Q88" i="79" s="1"/>
  <c r="Q89" i="79" s="1"/>
  <c r="I11" i="82"/>
  <c r="I14" i="82" s="1"/>
  <c r="S82" i="79"/>
  <c r="S88" i="79" s="1"/>
  <c r="S89" i="79" s="1"/>
  <c r="H43" i="82"/>
  <c r="G43" i="82"/>
  <c r="I43" i="82"/>
  <c r="H42" i="82"/>
  <c r="G42" i="82"/>
  <c r="J42" i="82"/>
  <c r="I42" i="82"/>
  <c r="J43" i="82"/>
  <c r="J26" i="82"/>
  <c r="G27" i="82"/>
  <c r="G28" i="82"/>
  <c r="J27" i="82"/>
  <c r="H27" i="82"/>
  <c r="G26" i="82"/>
  <c r="I26" i="82"/>
  <c r="I28" i="82"/>
  <c r="H26" i="82"/>
  <c r="J28" i="82"/>
  <c r="H28" i="82"/>
  <c r="I27" i="82"/>
  <c r="G41" i="82"/>
  <c r="I41" i="82"/>
  <c r="H41" i="82"/>
  <c r="U80" i="85"/>
  <c r="U80" i="84"/>
  <c r="U81" i="84"/>
  <c r="U82" i="84"/>
  <c r="U82" i="85"/>
  <c r="U81" i="85"/>
  <c r="U81" i="79"/>
  <c r="U80" i="79"/>
  <c r="U79" i="79"/>
  <c r="F35" i="82" l="1"/>
  <c r="F14" i="91"/>
  <c r="F50" i="82"/>
  <c r="F20" i="82"/>
  <c r="J20" i="82"/>
  <c r="G20" i="82"/>
  <c r="H20" i="82"/>
  <c r="I20" i="82"/>
  <c r="H29" i="82"/>
  <c r="I44" i="82"/>
  <c r="J44" i="82"/>
  <c r="G44" i="82"/>
  <c r="J29" i="82"/>
  <c r="H44" i="82"/>
  <c r="I29" i="82"/>
  <c r="G29" i="82"/>
  <c r="U83" i="85"/>
  <c r="U89" i="85"/>
  <c r="U90" i="85" s="1"/>
  <c r="P90" i="85"/>
  <c r="U83" i="84"/>
  <c r="U89" i="84"/>
  <c r="U90" i="84" s="1"/>
  <c r="P90" i="84"/>
  <c r="U82" i="79"/>
  <c r="K11" i="82"/>
  <c r="K12" i="82"/>
  <c r="K13" i="82"/>
  <c r="K42" i="82"/>
  <c r="K41" i="82"/>
  <c r="K43" i="82"/>
  <c r="U88" i="79"/>
  <c r="H35" i="82" l="1"/>
  <c r="H14" i="91"/>
  <c r="G35" i="82"/>
  <c r="G14" i="91"/>
  <c r="I35" i="82"/>
  <c r="I14" i="91"/>
  <c r="J35" i="82"/>
  <c r="J14" i="91"/>
  <c r="H50" i="82"/>
  <c r="G50" i="82"/>
  <c r="J50" i="82"/>
  <c r="I50" i="82"/>
  <c r="U89" i="79"/>
  <c r="V89" i="79" s="1"/>
  <c r="K44" i="82"/>
  <c r="K50" i="82" s="1"/>
  <c r="K14" i="82"/>
  <c r="V90" i="85"/>
  <c r="V90" i="84"/>
  <c r="F16" i="91" l="1"/>
  <c r="K11" i="91"/>
  <c r="K14" i="91" s="1"/>
  <c r="K20" i="82"/>
  <c r="L20" i="82" s="1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<sst xmlns="http://schemas.openxmlformats.org/spreadsheetml/2006/main" count="682" uniqueCount="94">
  <si>
    <t>Total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</si>
  <si>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</si>
  <si>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</si>
  <si>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</si>
  <si>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</si>
  <si>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</si>
  <si>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</si>
  <si>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</si>
  <si>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</si>
  <si>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</si>
  <si>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</si>
  <si>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</si>
  <si>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</si>
  <si>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</si>
  <si>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</si>
  <si>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</si>
  <si>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</si>
  <si>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</si>
  <si>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</si>
  <si>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</si>
  <si>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</si>
  <si>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</si>
  <si>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</si>
  <si>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</si>
  <si>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</si>
  <si>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</si>
  <si>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</si>
  <si>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</si>
  <si>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</si>
  <si>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</si>
  <si>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</si>
  <si>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</si>
  <si>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United Energy</t>
  </si>
  <si>
    <t>Options</t>
  </si>
  <si>
    <t>Rosetta - BAU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</si>
  <si>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</si>
  <si>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</si>
  <si>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</si>
  <si>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</si>
  <si>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</si>
  <si>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</si>
  <si>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</si>
  <si>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</si>
  <si>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</si>
  <si>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</si>
  <si>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</si>
  <si>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</si>
  <si>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</si>
  <si>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</si>
  <si>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</si>
  <si>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</si>
  <si>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Rosetta - annual SAAS license (expanded to include LV data)</t>
  </si>
  <si>
    <t>Capex</t>
  </si>
  <si>
    <t>Publishing of DAPR Data (including LV)  - Procurement, Requirements, High Level Design</t>
  </si>
  <si>
    <t>Publishing of DAPR Data (including LV)  - Detailed Design &amp; Implementation</t>
  </si>
  <si>
    <t>Publishing of DAPR Data (including LV) - Systems and Data Integration</t>
  </si>
  <si>
    <t>Publishing of DAPR Data (including LV) -IT Infrastructure</t>
  </si>
  <si>
    <t>Publishing of DAPR Data (including LV) -Project Management</t>
  </si>
  <si>
    <t>Publishing of DAPR Data (including LV)- IT support</t>
  </si>
  <si>
    <t>Summary</t>
  </si>
  <si>
    <t>Capex &amp; Opex</t>
  </si>
  <si>
    <t>Check</t>
  </si>
  <si>
    <t>Summary for Regulation - for Business Case</t>
  </si>
  <si>
    <t>Customer Digital Twin Portal - annual SAAS license (eg Plan Engage)</t>
  </si>
  <si>
    <t>Customer Digital Twin  - Procurement, Requirements, High Level Design</t>
  </si>
  <si>
    <t>Customer Digital Twin  - Detailed Design &amp; Implementation</t>
  </si>
  <si>
    <t>Customer Digital Twin - Systems and Data Integration</t>
  </si>
  <si>
    <t>Customer Digital Twin -IT Infrastructure</t>
  </si>
  <si>
    <t xml:space="preserve"> Customer Digital Twin -Project Management</t>
  </si>
  <si>
    <t>Customer Digital Twin - IT support</t>
  </si>
  <si>
    <t>Advanced Customer Digital Twin Portal - annual SAAS license (eg ESRI)</t>
  </si>
  <si>
    <t>Advanced Customer Digital Twin  - Procurement, Requirements, High Level Design</t>
  </si>
  <si>
    <t>Advanced Customer Digital Twin  - Detailed Design &amp; Implementation</t>
  </si>
  <si>
    <t>Advanced Customer Digital Twin - Systems and Data Integration</t>
  </si>
  <si>
    <t>Advanced Customer Digital Twin -IT Infrastructure</t>
  </si>
  <si>
    <t>Advanced Customer Digital Twin - IT support</t>
  </si>
  <si>
    <t>Lagged conversion to Jun 26</t>
  </si>
  <si>
    <t>Regulatory proposal 2026-31</t>
  </si>
  <si>
    <t>Model number:</t>
  </si>
  <si>
    <t>Network data visibility</t>
  </si>
  <si>
    <t>June 2026</t>
  </si>
  <si>
    <t>June 2023</t>
  </si>
  <si>
    <t>June 2024</t>
  </si>
  <si>
    <t>June 2025</t>
  </si>
  <si>
    <t xml:space="preserve">Digital Twin Data Store - annual SAAS license </t>
  </si>
  <si>
    <t>Advanced Customer Digital Twin -Project Management</t>
  </si>
  <si>
    <t xml:space="preserve">Advanced Customer Digital Twin / Portal </t>
  </si>
  <si>
    <t>Customer Digital Twin / Portal</t>
  </si>
  <si>
    <t>Opex (excl real price escalation)</t>
  </si>
  <si>
    <t>Totex ($ June 2026)</t>
  </si>
  <si>
    <t>* refer to CP MOD 8.03 - Opex step changes - Jan2025 - Public</t>
  </si>
  <si>
    <t>Opex (incl real price escalation) *</t>
  </si>
  <si>
    <t>CP, PAL &amp; UE</t>
  </si>
  <si>
    <t xml:space="preserve">Escalation: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</si>
</sst>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172" fontId="42" fillId="0" borderId="0">
      <alignment horizontal="center" vertical="center"/>
    </xf>
    <xf numFmtId="9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5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7" fillId="0" borderId="0" xfId="13" applyFont="1" applyAlignment="1">
      <alignment horizontal="left" vertical="center"/>
    </xf>
    <xf numFmtId="1" fontId="28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9" fillId="6" borderId="0" xfId="0" applyFont="1" applyFill="1"/>
    <xf numFmtId="167" fontId="30" fillId="6" borderId="0" xfId="0" applyNumberFormat="1" applyFont="1" applyFill="1"/>
    <xf numFmtId="0" fontId="34" fillId="5" borderId="0" xfId="14" applyFont="1" applyFill="1"/>
    <xf numFmtId="0" fontId="35" fillId="0" borderId="0" xfId="0" applyFont="1"/>
    <xf numFmtId="0" fontId="36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6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7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5" fillId="0" borderId="0" xfId="0" applyFont="1" applyAlignment="1">
      <alignment horizontal="right"/>
    </xf>
    <xf numFmtId="171" fontId="33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7" fillId="0" borderId="2" xfId="0" applyFont="1" applyBorder="1"/>
    <xf numFmtId="0" fontId="12" fillId="0" borderId="2" xfId="0" applyFont="1" applyBorder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10" fontId="31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8" fillId="0" borderId="3" xfId="0" applyFont="1" applyBorder="1"/>
    <xf numFmtId="10" fontId="31" fillId="2" borderId="1" xfId="26" applyNumberFormat="1" applyFont="1" applyFill="1" applyBorder="1" applyProtection="1">
      <protection locked="0"/>
    </xf>
    <xf numFmtId="10" fontId="31" fillId="2" borderId="1" xfId="26" applyNumberFormat="1" applyFont="1" applyFill="1" applyBorder="1" applyAlignment="1" applyProtection="1">
      <alignment horizontal="right"/>
      <protection locked="0"/>
    </xf>
    <xf numFmtId="1" fontId="31" fillId="2" borderId="1" xfId="26" applyNumberFormat="1" applyFont="1" applyFill="1" applyBorder="1" applyAlignment="1" applyProtection="1">
      <alignment horizontal="right"/>
      <protection locked="0"/>
    </xf>
    <xf numFmtId="0" fontId="33" fillId="2" borderId="7" xfId="0" applyFont="1" applyFill="1" applyBorder="1" applyAlignment="1" applyProtection="1">
      <alignment vertical="center"/>
      <protection locked="0"/>
    </xf>
    <xf numFmtId="0" fontId="33" fillId="2" borderId="6" xfId="0" applyFont="1" applyFill="1" applyBorder="1" applyAlignment="1" applyProtection="1">
      <alignment vertical="center"/>
      <protection locked="0"/>
    </xf>
    <xf numFmtId="0" fontId="33" fillId="2" borderId="5" xfId="0" applyFont="1" applyFill="1" applyBorder="1" applyAlignment="1" applyProtection="1">
      <alignment vertical="center"/>
      <protection locked="0"/>
    </xf>
    <xf numFmtId="168" fontId="33" fillId="2" borderId="1" xfId="0" applyNumberFormat="1" applyFont="1" applyFill="1" applyBorder="1" applyAlignment="1" applyProtection="1">
      <alignment horizontal="right" vertical="top"/>
      <protection locked="0"/>
    </xf>
    <xf numFmtId="0" fontId="40" fillId="0" borderId="0" xfId="0" applyFont="1" applyAlignment="1">
      <alignment horizontal="left"/>
    </xf>
    <xf numFmtId="10" fontId="31" fillId="2" borderId="13" xfId="26" applyNumberFormat="1" applyFont="1" applyFill="1" applyBorder="1" applyProtection="1">
      <protection locked="0"/>
    </xf>
    <xf numFmtId="10" fontId="31" fillId="2" borderId="2" xfId="26" applyNumberFormat="1" applyFont="1" applyFill="1" applyBorder="1" applyProtection="1">
      <protection locked="0"/>
    </xf>
    <xf numFmtId="10" fontId="31" fillId="2" borderId="12" xfId="26" applyNumberFormat="1" applyFont="1" applyFill="1" applyBorder="1" applyProtection="1">
      <protection locked="0"/>
    </xf>
    <xf numFmtId="10" fontId="31" fillId="2" borderId="6" xfId="26" applyNumberFormat="1" applyFont="1" applyFill="1" applyBorder="1" applyProtection="1">
      <protection locked="0"/>
    </xf>
    <xf numFmtId="10" fontId="31" fillId="2" borderId="5" xfId="26" applyNumberFormat="1" applyFont="1" applyFill="1" applyBorder="1" applyProtection="1">
      <protection locked="0"/>
    </xf>
    <xf numFmtId="10" fontId="31" fillId="2" borderId="7" xfId="26" applyNumberFormat="1" applyFont="1" applyFill="1" applyBorder="1" applyProtection="1">
      <protection locked="0"/>
    </xf>
    <xf numFmtId="10" fontId="31" fillId="0" borderId="0" xfId="26" applyNumberFormat="1" applyFont="1" applyFill="1" applyBorder="1" applyProtection="1">
      <protection locked="0"/>
    </xf>
    <xf numFmtId="9" fontId="31" fillId="2" borderId="1" xfId="26" applyFont="1" applyFill="1" applyBorder="1" applyProtection="1">
      <protection locked="0"/>
    </xf>
    <xf numFmtId="9" fontId="31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7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3" fillId="0" borderId="0" xfId="0" applyFont="1"/>
    <xf numFmtId="0" fontId="36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4" fillId="0" borderId="5" xfId="0" applyFont="1" applyBorder="1"/>
    <xf numFmtId="0" fontId="31" fillId="9" borderId="6" xfId="0" applyFont="1" applyFill="1" applyBorder="1" applyAlignment="1" applyProtection="1">
      <alignment vertical="center"/>
      <protection locked="0"/>
    </xf>
    <xf numFmtId="0" fontId="31" fillId="9" borderId="15" xfId="0" applyFont="1" applyFill="1" applyBorder="1" applyAlignment="1" applyProtection="1">
      <alignment vertical="center"/>
      <protection locked="0"/>
    </xf>
    <xf numFmtId="0" fontId="28" fillId="0" borderId="2" xfId="0" applyFont="1" applyBorder="1" applyAlignment="1">
      <alignment horizontal="left"/>
    </xf>
    <xf numFmtId="0" fontId="39" fillId="0" borderId="2" xfId="0" applyFont="1" applyBorder="1"/>
    <xf numFmtId="0" fontId="45" fillId="0" borderId="2" xfId="0" applyFont="1" applyBorder="1"/>
    <xf numFmtId="0" fontId="28" fillId="0" borderId="2" xfId="0" applyFont="1" applyBorder="1" applyAlignment="1">
      <alignment horizontal="right"/>
    </xf>
    <xf numFmtId="169" fontId="28" fillId="0" borderId="2" xfId="0" applyNumberFormat="1" applyFont="1" applyBorder="1" applyAlignment="1">
      <alignment horizontal="right"/>
    </xf>
    <xf numFmtId="10" fontId="28" fillId="0" borderId="0" xfId="26" applyNumberFormat="1" applyFont="1" applyFill="1"/>
    <xf numFmtId="7" fontId="28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1" fillId="10" borderId="0" xfId="33" applyFill="1"/>
    <xf numFmtId="0" fontId="1" fillId="0" borderId="0" xfId="33"/>
    <xf numFmtId="0" fontId="11" fillId="0" borderId="0" xfId="34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2" fontId="50" fillId="0" borderId="0" xfId="33" applyNumberFormat="1" applyFont="1" applyAlignment="1">
      <alignment horizontal="left"/>
    </xf>
    <xf numFmtId="0" fontId="51" fillId="0" borderId="0" xfId="33" applyFont="1"/>
    <xf numFmtId="173" fontId="52" fillId="0" borderId="0" xfId="33" applyNumberFormat="1" applyFont="1" applyAlignment="1">
      <alignment horizontal="left"/>
    </xf>
    <xf numFmtId="0" fontId="53" fillId="0" borderId="0" xfId="33" applyFont="1"/>
    <xf numFmtId="0" fontId="54" fillId="0" borderId="5" xfId="0" applyFont="1" applyBorder="1"/>
    <xf numFmtId="49" fontId="23" fillId="0" borderId="0" xfId="0" applyNumberFormat="1" applyFont="1" applyAlignment="1">
      <alignment horizontal="right"/>
    </xf>
    <xf numFmtId="0" fontId="13" fillId="4" borderId="12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12" fillId="0" borderId="16" xfId="0" applyFont="1" applyBorder="1"/>
    <xf numFmtId="0" fontId="55" fillId="0" borderId="0" xfId="0" applyFont="1"/>
    <xf numFmtId="10" fontId="31" fillId="2" borderId="1" xfId="26" applyNumberFormat="1" applyFont="1" applyFill="1" applyBorder="1" applyAlignment="1">
      <alignment horizontal="right"/>
    </xf>
    <xf numFmtId="8" fontId="33" fillId="2" borderId="1" xfId="0" applyNumberFormat="1" applyFont="1" applyFill="1" applyBorder="1" applyAlignment="1">
      <alignment horizontal="right"/>
    </xf>
    <xf numFmtId="6" fontId="54" fillId="0" borderId="5" xfId="0" applyNumberFormat="1" applyFont="1" applyBorder="1"/>
    <xf numFmtId="49" fontId="31" fillId="2" borderId="1" xfId="26" applyNumberFormat="1" applyFont="1" applyFill="1" applyBorder="1" applyAlignment="1">
      <alignment horizontal="right"/>
    </xf>
    <xf numFmtId="7" fontId="31" fillId="2" borderId="1" xfId="26" applyNumberFormat="1" applyFont="1" applyFill="1" applyBorder="1" applyAlignment="1">
      <alignment horizontal="right"/>
    </xf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FB0768F3-51CE-438C-90F0-52D0EC9BB1C8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BC3E15BE-FF17-490B-B197-D5DBE9D0B17B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63911E26-51A9-4F96-B9F7-513A96F4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2D1E-EF2C-4A5A-9756-A853FD2C4C2A}">
  <dimension ref="A1:K43"/>
  <sheetViews>
    <sheetView showGridLines="0" workbookViewId="0">
      <selection activeCell="E20" sqref="E20"/>
    </sheetView>
  </sheetViews>
  <sheetFormatPr defaultColWidth="0" defaultRowHeight="12.95" customHeight="1" zeroHeight="1" x14ac:dyDescent="0.2"/>
  <cols>
    <col min="1" max="1" width="12.85546875" style="124" customWidth="1"/>
    <col min="2" max="2" width="2.5703125" style="124" customWidth="1"/>
    <col min="3" max="3" width="16.85546875" style="124" customWidth="1"/>
    <col min="4" max="11" width="10.5703125" style="124" customWidth="1"/>
    <col min="12" max="16384" width="10.5703125" style="124" hidden="1"/>
  </cols>
  <sheetData>
    <row r="1" spans="1:11" ht="15" x14ac:dyDescent="0.2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3.25" x14ac:dyDescent="0.35">
      <c r="A2" s="122"/>
      <c r="B2" s="123"/>
      <c r="C2" s="125" t="s">
        <v>31</v>
      </c>
      <c r="D2" s="126"/>
      <c r="E2" s="126"/>
      <c r="F2" s="123"/>
      <c r="G2" s="123"/>
      <c r="H2" s="123"/>
      <c r="I2" s="123"/>
      <c r="J2" s="123"/>
      <c r="K2" s="123"/>
    </row>
    <row r="3" spans="1:11" ht="15.75" x14ac:dyDescent="0.25">
      <c r="A3" s="122"/>
      <c r="B3" s="123"/>
      <c r="C3" s="127" t="s">
        <v>77</v>
      </c>
      <c r="D3" s="126"/>
      <c r="E3" s="126"/>
      <c r="F3" s="123"/>
      <c r="G3" s="123"/>
      <c r="H3" s="123"/>
      <c r="I3" s="123"/>
      <c r="J3" s="123"/>
      <c r="K3" s="123"/>
    </row>
    <row r="4" spans="1:11" ht="15" x14ac:dyDescent="0.25">
      <c r="A4" s="122"/>
      <c r="B4" s="123"/>
      <c r="C4" s="123"/>
      <c r="D4" s="126"/>
      <c r="E4" s="126"/>
      <c r="F4" s="123"/>
      <c r="G4" s="123"/>
      <c r="H4" s="123"/>
      <c r="I4" s="123"/>
      <c r="J4" s="123"/>
      <c r="K4" s="123"/>
    </row>
    <row r="5" spans="1:11" ht="15" x14ac:dyDescent="0.25">
      <c r="A5" s="122"/>
      <c r="B5" s="123"/>
      <c r="C5" s="12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Network data visibility</v>
      </c>
      <c r="D5" s="123"/>
      <c r="E5" s="123"/>
      <c r="F5" s="123"/>
      <c r="G5" s="123"/>
      <c r="H5" s="123"/>
      <c r="I5" s="123"/>
      <c r="J5" s="123"/>
      <c r="K5" s="123"/>
    </row>
    <row r="6" spans="1:11" ht="15" x14ac:dyDescent="0.25">
      <c r="A6" s="122"/>
      <c r="B6" s="123"/>
      <c r="C6" s="129" t="s">
        <v>78</v>
      </c>
      <c r="D6" s="130" t="str" cm="1">
        <f t="array" aca="1" ref="D6" ca="1">LEFT(_xlfn.TEXTAFTER(CELL("filename")," MOD "),FIND(" - ",_xlfn.TEXTAFTER(CELL("filename")," MOD "),1)-1)</f>
        <v>2.03</v>
      </c>
      <c r="E6" s="129"/>
      <c r="F6" s="123"/>
      <c r="G6" s="123"/>
      <c r="H6" s="123"/>
      <c r="I6" s="123"/>
      <c r="J6" s="123"/>
      <c r="K6" s="123"/>
    </row>
    <row r="7" spans="1:11" ht="15" x14ac:dyDescent="0.25">
      <c r="A7" s="122"/>
      <c r="B7" s="123"/>
      <c r="C7" s="123"/>
      <c r="D7" s="123"/>
      <c r="E7" s="123"/>
      <c r="F7" s="131"/>
      <c r="G7" s="131"/>
      <c r="H7" s="131"/>
      <c r="I7" s="123"/>
      <c r="J7" s="131"/>
      <c r="K7" s="131"/>
    </row>
    <row r="8" spans="1:11" ht="15" x14ac:dyDescent="0.25">
      <c r="A8" s="122"/>
      <c r="B8" s="123"/>
      <c r="C8" s="132">
        <v>45688</v>
      </c>
      <c r="D8" s="123"/>
      <c r="E8" s="123"/>
      <c r="F8" s="131"/>
      <c r="G8" s="131"/>
      <c r="H8" s="131"/>
      <c r="I8" s="123"/>
      <c r="J8" s="131"/>
      <c r="K8" s="131"/>
    </row>
    <row r="9" spans="1:11" ht="15" x14ac:dyDescent="0.25">
      <c r="A9" s="122"/>
      <c r="B9" s="123"/>
      <c r="C9" s="133"/>
      <c r="D9" s="133"/>
      <c r="E9" s="123"/>
      <c r="F9" s="131"/>
      <c r="G9" s="131"/>
      <c r="H9" s="131"/>
      <c r="I9" s="131"/>
      <c r="J9" s="131"/>
      <c r="K9" s="131"/>
    </row>
    <row r="10" spans="1:11" ht="15" x14ac:dyDescent="0.25">
      <c r="A10" s="122"/>
      <c r="B10" s="123"/>
      <c r="C10" s="133"/>
      <c r="D10" s="133"/>
      <c r="E10" s="123"/>
      <c r="F10" s="131"/>
      <c r="G10" s="131"/>
      <c r="H10" s="131"/>
      <c r="I10" s="131"/>
      <c r="J10" s="131"/>
      <c r="K10" s="131"/>
    </row>
    <row r="11" spans="1:11" ht="15" x14ac:dyDescent="0.25">
      <c r="A11" s="122"/>
      <c r="B11" s="123"/>
      <c r="C11" s="133"/>
      <c r="D11" s="133"/>
      <c r="E11" s="123"/>
      <c r="F11" s="131"/>
      <c r="G11" s="131"/>
      <c r="H11" s="131"/>
      <c r="I11" s="131"/>
      <c r="J11" s="131"/>
      <c r="K11" s="131"/>
    </row>
    <row r="12" spans="1:11" ht="15" x14ac:dyDescent="0.25">
      <c r="A12" s="122"/>
      <c r="B12" s="123"/>
      <c r="C12" s="133"/>
      <c r="D12" s="133"/>
      <c r="E12" s="123"/>
      <c r="F12" s="131"/>
      <c r="G12" s="131"/>
      <c r="H12" s="131"/>
      <c r="I12" s="131"/>
      <c r="J12" s="131"/>
      <c r="K12" s="131"/>
    </row>
    <row r="13" spans="1:11" ht="15" x14ac:dyDescent="0.25">
      <c r="A13" s="122"/>
      <c r="B13" s="123"/>
      <c r="C13" s="133"/>
      <c r="D13" s="133"/>
      <c r="E13" s="123"/>
      <c r="F13" s="131"/>
      <c r="G13" s="131"/>
      <c r="H13" s="131"/>
      <c r="I13" s="131"/>
      <c r="J13" s="131"/>
      <c r="K13" s="131"/>
    </row>
    <row r="14" spans="1:11" ht="15" x14ac:dyDescent="0.25">
      <c r="A14" s="122"/>
      <c r="B14" s="123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ht="15" x14ac:dyDescent="0.25">
      <c r="A15" s="122"/>
      <c r="B15" s="123"/>
      <c r="C15" s="128"/>
      <c r="D15" s="131"/>
      <c r="E15" s="131"/>
      <c r="F15" s="131"/>
      <c r="G15" s="131"/>
      <c r="H15" s="131"/>
      <c r="I15" s="131"/>
      <c r="J15" s="131"/>
      <c r="K15" s="131"/>
    </row>
    <row r="16" spans="1:11" ht="15" x14ac:dyDescent="0.25">
      <c r="A16" s="122"/>
      <c r="B16" s="123"/>
      <c r="C16" s="128"/>
      <c r="D16" s="131"/>
      <c r="E16" s="131"/>
      <c r="F16" s="131"/>
      <c r="G16" s="131"/>
      <c r="H16" s="131"/>
      <c r="I16" s="131"/>
      <c r="J16" s="131"/>
      <c r="K16" s="131"/>
    </row>
    <row r="17" spans="1:11" ht="15" x14ac:dyDescent="0.25">
      <c r="A17" s="122"/>
      <c r="B17" s="123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ht="15" x14ac:dyDescent="0.25">
      <c r="A18" s="122"/>
      <c r="B18" s="123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5" x14ac:dyDescent="0.25">
      <c r="A19" s="122"/>
      <c r="B19" s="123"/>
      <c r="C19" s="131"/>
      <c r="D19" s="131"/>
      <c r="E19" s="131"/>
      <c r="F19" s="131"/>
      <c r="H19" s="131"/>
      <c r="I19" s="131"/>
      <c r="J19" s="131"/>
      <c r="K19" s="131"/>
    </row>
    <row r="20" spans="1:11" ht="15" x14ac:dyDescent="0.25">
      <c r="A20" s="122"/>
      <c r="B20" s="123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15" x14ac:dyDescent="0.25">
      <c r="A21" s="122"/>
      <c r="B21" s="123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5" x14ac:dyDescent="0.25">
      <c r="A22" s="122"/>
      <c r="B22" s="123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15" x14ac:dyDescent="0.25">
      <c r="A23" s="122"/>
      <c r="B23" s="123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ht="15" x14ac:dyDescent="0.25">
      <c r="A24" s="122"/>
      <c r="B24" s="123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ht="15" x14ac:dyDescent="0.25">
      <c r="A25" s="122"/>
      <c r="B25" s="123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15" x14ac:dyDescent="0.25">
      <c r="A26" s="122"/>
      <c r="B26" s="123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 ht="15" x14ac:dyDescent="0.25">
      <c r="A27" s="122"/>
      <c r="B27" s="123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ht="15" x14ac:dyDescent="0.25">
      <c r="A28" s="122"/>
      <c r="B28" s="123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15" x14ac:dyDescent="0.25">
      <c r="A29" s="122"/>
      <c r="B29" s="123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15" x14ac:dyDescent="0.25">
      <c r="A30" s="122"/>
      <c r="B30" s="123"/>
      <c r="C30" s="131"/>
      <c r="D30" s="123"/>
      <c r="E30" s="131"/>
      <c r="F30" s="131"/>
      <c r="G30" s="131"/>
      <c r="H30" s="131"/>
      <c r="I30" s="131"/>
      <c r="J30" s="131"/>
      <c r="K30" s="131"/>
    </row>
    <row r="31" spans="1:11" ht="15" x14ac:dyDescent="0.25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ht="15" x14ac:dyDescent="0.25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ht="15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15" x14ac:dyDescent="0.25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15" x14ac:dyDescent="0.25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ht="15" x14ac:dyDescent="0.2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ht="15" x14ac:dyDescent="0.2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1" ht="15" x14ac:dyDescent="0.2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15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ht="15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15" x14ac:dyDescent="0.25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15" x14ac:dyDescent="0.2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1" ht="15" x14ac:dyDescent="0.2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3E25-FD68-476E-B24B-E587E921361C}">
  <dimension ref="A1:P40"/>
  <sheetViews>
    <sheetView showGridLines="0" workbookViewId="0">
      <selection activeCell="V30" sqref="V30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2" width="3.42578125" style="1" customWidth="1"/>
    <col min="13" max="13" width="11.28515625" style="1" bestFit="1" customWidth="1"/>
    <col min="14" max="16384" width="9.140625" style="1"/>
  </cols>
  <sheetData>
    <row r="1" spans="1:16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7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52</v>
      </c>
      <c r="D11" s="107"/>
      <c r="E11" s="2"/>
      <c r="F11" s="6">
        <f>'Project Summary'!F14*Assumptions!$B$19</f>
        <v>0</v>
      </c>
      <c r="G11" s="6">
        <f>'Project Summary'!G14*Assumptions!$B$19</f>
        <v>25347.990435968419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25347.990435968419</v>
      </c>
      <c r="M11" s="98"/>
      <c r="P11"/>
    </row>
    <row r="12" spans="1:16" ht="12.75" customHeight="1" x14ac:dyDescent="0.25">
      <c r="C12" s="1" t="s">
        <v>88</v>
      </c>
      <c r="D12" s="107"/>
      <c r="E12" s="2"/>
      <c r="F12" s="6">
        <f>'Project Summary'!F18*Assumptions!$B$19</f>
        <v>0</v>
      </c>
      <c r="G12" s="6">
        <f>'Project Summary'!G18*Assumptions!$B$19</f>
        <v>36419.543546852277</v>
      </c>
      <c r="H12" s="6">
        <f>'Project Summary'!H18*Assumptions!$B$19</f>
        <v>35056.748362122795</v>
      </c>
      <c r="I12" s="6">
        <f>'Project Summary'!I18*Assumptions!$B$19</f>
        <v>35056.748362122795</v>
      </c>
      <c r="J12" s="6">
        <f>'Project Summary'!J18*Assumptions!$B$19</f>
        <v>35056.748362122795</v>
      </c>
      <c r="K12" s="6">
        <f>SUM(F12:J12)</f>
        <v>141589.78863322068</v>
      </c>
      <c r="M12" s="98"/>
      <c r="P12"/>
    </row>
    <row r="13" spans="1:16" x14ac:dyDescent="0.2">
      <c r="C13" s="1" t="s">
        <v>91</v>
      </c>
      <c r="D13" s="107"/>
      <c r="F13" s="6">
        <v>0</v>
      </c>
      <c r="G13" s="6">
        <v>38172.738262806466</v>
      </c>
      <c r="H13" s="6">
        <v>37081.460964741076</v>
      </c>
      <c r="I13" s="6">
        <v>37457.230090296936</v>
      </c>
      <c r="J13" s="6">
        <v>37820.002364571708</v>
      </c>
      <c r="K13" s="6">
        <f>SUM(F13:J13)</f>
        <v>150531.43168241618</v>
      </c>
      <c r="M13" s="98"/>
    </row>
    <row r="14" spans="1:16" x14ac:dyDescent="0.2">
      <c r="C14" s="101" t="s">
        <v>89</v>
      </c>
      <c r="D14" s="134"/>
      <c r="E14" s="101"/>
      <c r="F14" s="105">
        <f>F11+F13</f>
        <v>0</v>
      </c>
      <c r="G14" s="105">
        <f t="shared" ref="G14:K14" si="0">G11+G13</f>
        <v>63520.728698774881</v>
      </c>
      <c r="H14" s="105">
        <f t="shared" si="0"/>
        <v>37081.460964741076</v>
      </c>
      <c r="I14" s="105">
        <f t="shared" si="0"/>
        <v>37457.230090296936</v>
      </c>
      <c r="J14" s="105">
        <f t="shared" si="0"/>
        <v>37820.002364571708</v>
      </c>
      <c r="K14" s="105">
        <f t="shared" si="0"/>
        <v>175879.42211838459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4"/>
      <c r="E16" s="134"/>
      <c r="F16" s="142">
        <f>NPV(Real_Discount_rate,F14:J14)</f>
        <v>157227.87236284101</v>
      </c>
    </row>
    <row r="18" spans="2:11" x14ac:dyDescent="0.2">
      <c r="C18" s="139" t="s">
        <v>90</v>
      </c>
    </row>
    <row r="21" spans="2:11" x14ac:dyDescent="0.2">
      <c r="B21" s="36" t="s">
        <v>3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5" t="s">
        <v>0</v>
      </c>
    </row>
    <row r="22" spans="2:11" x14ac:dyDescent="0.2">
      <c r="C22" s="1" t="s">
        <v>52</v>
      </c>
      <c r="D22" s="107"/>
      <c r="E22" s="2"/>
      <c r="F22" s="6">
        <f>'Project Summary'!F29*Assumptions!$B$19</f>
        <v>281076.5068504563</v>
      </c>
      <c r="G22" s="6">
        <f>'Project Summary'!G29*Assumptions!$B$19</f>
        <v>391803.61560972698</v>
      </c>
      <c r="H22" s="6">
        <f>'Project Summary'!H29*Assumptions!$B$19</f>
        <v>0</v>
      </c>
      <c r="I22" s="6">
        <f>'Project Summary'!I29*Assumptions!$B$19</f>
        <v>0</v>
      </c>
      <c r="J22" s="6">
        <f>'Project Summary'!J29*Assumptions!$B$19</f>
        <v>0</v>
      </c>
      <c r="K22" s="6">
        <f>SUM(F22:J22)</f>
        <v>672880.12246018322</v>
      </c>
    </row>
    <row r="23" spans="2:11" x14ac:dyDescent="0.2">
      <c r="C23" s="1" t="s">
        <v>88</v>
      </c>
      <c r="D23" s="107"/>
      <c r="E23" s="2"/>
      <c r="F23" s="6">
        <f>'Project Summary'!F33*Assumptions!$B$19</f>
        <v>188740.95833813655</v>
      </c>
      <c r="G23" s="6">
        <f>'Project Summary'!G33*Assumptions!$B$19</f>
        <v>258854.4550623821</v>
      </c>
      <c r="H23" s="6">
        <f>'Project Summary'!H33*Assumptions!$B$19</f>
        <v>257082.82132223379</v>
      </c>
      <c r="I23" s="6">
        <f>'Project Summary'!I33*Assumptions!$B$19</f>
        <v>257082.82132223379</v>
      </c>
      <c r="J23" s="6">
        <f>'Project Summary'!J33*Assumptions!$B$19</f>
        <v>257082.82132223379</v>
      </c>
      <c r="K23" s="6">
        <f>SUM(F23:J23)</f>
        <v>1218843.8773672201</v>
      </c>
    </row>
    <row r="24" spans="2:11" x14ac:dyDescent="0.2">
      <c r="C24" s="1" t="s">
        <v>91</v>
      </c>
      <c r="D24" s="107"/>
      <c r="F24" s="6">
        <v>196253.88746212923</v>
      </c>
      <c r="G24" s="6">
        <v>271315.40922653151</v>
      </c>
      <c r="H24" s="6">
        <v>271930.71374143456</v>
      </c>
      <c r="I24" s="6">
        <v>274686.35399551084</v>
      </c>
      <c r="J24" s="6">
        <v>277346.68400685914</v>
      </c>
      <c r="K24" s="6">
        <f>SUM(F24:J24)</f>
        <v>1291533.0484324652</v>
      </c>
    </row>
    <row r="25" spans="2:11" x14ac:dyDescent="0.2">
      <c r="C25" s="101" t="s">
        <v>89</v>
      </c>
      <c r="D25" s="134"/>
      <c r="E25" s="101"/>
      <c r="F25" s="105">
        <f>F22+F24</f>
        <v>477330.39431258553</v>
      </c>
      <c r="G25" s="105">
        <f t="shared" ref="G25:K25" si="1">G22+G24</f>
        <v>663119.0248362585</v>
      </c>
      <c r="H25" s="105">
        <f t="shared" si="1"/>
        <v>271930.71374143456</v>
      </c>
      <c r="I25" s="105">
        <f t="shared" si="1"/>
        <v>274686.35399551084</v>
      </c>
      <c r="J25" s="105">
        <f t="shared" si="1"/>
        <v>277346.68400685914</v>
      </c>
      <c r="K25" s="105">
        <f t="shared" si="1"/>
        <v>1964413.1708926484</v>
      </c>
    </row>
    <row r="26" spans="2:11" x14ac:dyDescent="0.2">
      <c r="D26" s="107"/>
      <c r="F26" s="6"/>
      <c r="G26" s="6"/>
      <c r="H26" s="6"/>
      <c r="I26" s="6"/>
      <c r="J26" s="6"/>
      <c r="K26" s="6"/>
    </row>
    <row r="27" spans="2:11" x14ac:dyDescent="0.2">
      <c r="C27" s="101" t="s">
        <v>18</v>
      </c>
      <c r="D27" s="134"/>
      <c r="E27" s="134"/>
      <c r="F27" s="142">
        <f>NPV(Real_Discount_rate,F25:J25)</f>
        <v>1798375.1698780248</v>
      </c>
    </row>
    <row r="29" spans="2:11" x14ac:dyDescent="0.2">
      <c r="C29" s="139" t="s">
        <v>90</v>
      </c>
    </row>
    <row r="32" spans="2:11" x14ac:dyDescent="0.2">
      <c r="B32" s="36" t="s">
        <v>19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5" t="s">
        <v>0</v>
      </c>
    </row>
    <row r="33" spans="3:11" x14ac:dyDescent="0.2">
      <c r="C33" s="1" t="s">
        <v>52</v>
      </c>
      <c r="D33" s="107"/>
      <c r="E33" s="2"/>
      <c r="F33" s="6">
        <f>'Project Summary'!F44*Assumptions!$B$19</f>
        <v>434459.10489175993</v>
      </c>
      <c r="G33" s="6">
        <f>'Project Summary'!G44*Assumptions!$B$19</f>
        <v>543482.71967011876</v>
      </c>
      <c r="H33" s="6">
        <f>'Project Summary'!H44*Assumptions!$B$19</f>
        <v>0</v>
      </c>
      <c r="I33" s="6">
        <f>'Project Summary'!I44*Assumptions!$B$19</f>
        <v>0</v>
      </c>
      <c r="J33" s="6">
        <f>'Project Summary'!J44*Assumptions!$B$19</f>
        <v>0</v>
      </c>
      <c r="K33" s="6">
        <f>SUM(F33:J33)</f>
        <v>977941.82456187869</v>
      </c>
    </row>
    <row r="34" spans="3:11" x14ac:dyDescent="0.2">
      <c r="C34" s="1" t="s">
        <v>88</v>
      </c>
      <c r="D34" s="107"/>
      <c r="E34" s="2"/>
      <c r="F34" s="6">
        <f>'Project Summary'!F48*Assumptions!$B$19</f>
        <v>186969.32459798822</v>
      </c>
      <c r="G34" s="6">
        <f>'Project Summary'!G48*Assumptions!$B$19</f>
        <v>373938.64919597644</v>
      </c>
      <c r="H34" s="6">
        <f>'Project Summary'!H48*Assumptions!$B$19</f>
        <v>373938.64919597644</v>
      </c>
      <c r="I34" s="6">
        <f>'Project Summary'!I48*Assumptions!$B$19</f>
        <v>373938.64919597644</v>
      </c>
      <c r="J34" s="6">
        <f>'Project Summary'!J48*Assumptions!$B$19</f>
        <v>373938.64919597644</v>
      </c>
      <c r="K34" s="6">
        <f>SUM(F34:J34)</f>
        <v>1682723.921381894</v>
      </c>
    </row>
    <row r="35" spans="3:11" x14ac:dyDescent="0.2">
      <c r="C35" s="1" t="s">
        <v>91</v>
      </c>
      <c r="D35" s="107"/>
      <c r="F35" s="6">
        <v>194411.73294662507</v>
      </c>
      <c r="G35" s="6">
        <v>391939.62339868839</v>
      </c>
      <c r="H35" s="6">
        <v>395535.58362390479</v>
      </c>
      <c r="I35" s="6">
        <v>399543.78762983397</v>
      </c>
      <c r="J35" s="6">
        <v>403413.35855543154</v>
      </c>
      <c r="K35" s="6">
        <f>SUM(F35:J35)</f>
        <v>1784844.0861544837</v>
      </c>
    </row>
    <row r="36" spans="3:11" x14ac:dyDescent="0.2">
      <c r="C36" s="101" t="s">
        <v>89</v>
      </c>
      <c r="D36" s="134"/>
      <c r="E36" s="101"/>
      <c r="F36" s="105">
        <f>F33+F35</f>
        <v>628870.83783838502</v>
      </c>
      <c r="G36" s="105">
        <f t="shared" ref="G36:K36" si="2">G33+G35</f>
        <v>935422.34306880715</v>
      </c>
      <c r="H36" s="105">
        <f t="shared" si="2"/>
        <v>395535.58362390479</v>
      </c>
      <c r="I36" s="105">
        <f t="shared" si="2"/>
        <v>399543.78762983397</v>
      </c>
      <c r="J36" s="105">
        <f t="shared" si="2"/>
        <v>403413.35855543154</v>
      </c>
      <c r="K36" s="105">
        <f t="shared" si="2"/>
        <v>2762785.9107163623</v>
      </c>
    </row>
    <row r="37" spans="3:11" x14ac:dyDescent="0.2">
      <c r="D37" s="107"/>
      <c r="F37" s="6"/>
      <c r="G37" s="6"/>
      <c r="H37" s="6"/>
      <c r="I37" s="6"/>
      <c r="J37" s="6"/>
      <c r="K37" s="6"/>
    </row>
    <row r="38" spans="3:11" x14ac:dyDescent="0.2">
      <c r="C38" s="101" t="s">
        <v>18</v>
      </c>
      <c r="D38" s="134"/>
      <c r="E38" s="134"/>
      <c r="F38" s="142">
        <f>NPV(Real_Discount_rate,F36:J36)</f>
        <v>2525424.4267494725</v>
      </c>
    </row>
    <row r="40" spans="3:11" x14ac:dyDescent="0.2">
      <c r="C40" s="139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90" zoomScaleNormal="90" workbookViewId="0">
      <selection activeCell="F18" sqref="F1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Network data visibility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7" t="s">
        <v>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1'!P79</f>
        <v>0</v>
      </c>
      <c r="G11" s="6">
        <f>'Option 1'!Q79</f>
        <v>120704.71636175438</v>
      </c>
      <c r="H11" s="6">
        <f>'Option 1'!R79</f>
        <v>0</v>
      </c>
      <c r="I11" s="6">
        <f>'Option 1'!S79</f>
        <v>0</v>
      </c>
      <c r="J11" s="6">
        <f>'Option 1'!T79</f>
        <v>0</v>
      </c>
      <c r="K11" s="6">
        <f>SUM(F11:J11)</f>
        <v>120704.71636175438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1'!P80</f>
        <v>0</v>
      </c>
      <c r="G12" s="6">
        <f>'Option 1'!Q80</f>
        <v>0</v>
      </c>
      <c r="H12" s="6">
        <f>'Option 1'!R80</f>
        <v>0</v>
      </c>
      <c r="I12" s="6">
        <f>'Option 1'!S80</f>
        <v>0</v>
      </c>
      <c r="J12" s="6">
        <f>'Option 1'!T80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1'!P81</f>
        <v>0</v>
      </c>
      <c r="G13" s="6">
        <f>'Option 1'!Q81</f>
        <v>0</v>
      </c>
      <c r="H13" s="6">
        <f>'Option 1'!R81</f>
        <v>0</v>
      </c>
      <c r="I13" s="6">
        <f>'Option 1'!S81</f>
        <v>0</v>
      </c>
      <c r="J13" s="6">
        <f>'Option 1'!T81</f>
        <v>0</v>
      </c>
      <c r="K13" s="6">
        <f t="shared" si="0"/>
        <v>0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0</v>
      </c>
      <c r="G14" s="105">
        <f t="shared" ref="G14:K14" si="1">SUM(G11:G13)</f>
        <v>120704.71636175438</v>
      </c>
      <c r="H14" s="105">
        <f t="shared" si="1"/>
        <v>0</v>
      </c>
      <c r="I14" s="105">
        <f t="shared" si="1"/>
        <v>0</v>
      </c>
      <c r="J14" s="105">
        <f t="shared" si="1"/>
        <v>0</v>
      </c>
      <c r="K14" s="105">
        <f t="shared" si="1"/>
        <v>120704.71636175438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1'!P83</f>
        <v>0</v>
      </c>
      <c r="G15" s="6">
        <f>'Option 1'!Q83</f>
        <v>6489.5008796642151</v>
      </c>
      <c r="H15" s="6">
        <f>'Option 1'!R83</f>
        <v>0</v>
      </c>
      <c r="I15" s="6">
        <f>'Option 1'!S83</f>
        <v>0</v>
      </c>
      <c r="J15" s="6">
        <f>'Option 1'!T83</f>
        <v>0</v>
      </c>
      <c r="K15" s="6">
        <f>SUM(F15:J15)</f>
        <v>6489.5008796642151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1'!P84</f>
        <v>0</v>
      </c>
      <c r="G16" s="6">
        <f>'Option 1'!Q84</f>
        <v>0</v>
      </c>
      <c r="H16" s="6">
        <f>'Option 1'!R84</f>
        <v>0</v>
      </c>
      <c r="I16" s="6">
        <f>'Option 1'!S84</f>
        <v>0</v>
      </c>
      <c r="J16" s="6">
        <f>'Option 1'!T84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1'!P85</f>
        <v>0</v>
      </c>
      <c r="G17" s="6">
        <f>'Option 1'!Q85</f>
        <v>166936.8969624895</v>
      </c>
      <c r="H17" s="6">
        <f>'Option 1'!R85</f>
        <v>166936.8969624895</v>
      </c>
      <c r="I17" s="6">
        <f>'Option 1'!S85</f>
        <v>166936.8969624895</v>
      </c>
      <c r="J17" s="6">
        <f>'Option 1'!T85</f>
        <v>166936.8969624895</v>
      </c>
      <c r="K17" s="6">
        <f t="shared" si="2"/>
        <v>667747.58784995798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173426.3978421537</v>
      </c>
      <c r="H18" s="105">
        <f t="shared" si="3"/>
        <v>166936.8969624895</v>
      </c>
      <c r="I18" s="105">
        <f t="shared" si="3"/>
        <v>166936.8969624895</v>
      </c>
      <c r="J18" s="105">
        <f t="shared" si="3"/>
        <v>166936.8969624895</v>
      </c>
      <c r="K18" s="105">
        <f t="shared" si="3"/>
        <v>674237.08872962219</v>
      </c>
      <c r="M18" s="98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1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294131.11420390807</v>
      </c>
      <c r="H20" s="22">
        <f t="shared" si="4"/>
        <v>166936.8969624895</v>
      </c>
      <c r="I20" s="22">
        <f t="shared" si="4"/>
        <v>166936.8969624895</v>
      </c>
      <c r="J20" s="22">
        <f t="shared" si="4"/>
        <v>166936.8969624895</v>
      </c>
      <c r="K20" s="22">
        <f t="shared" si="4"/>
        <v>794941.80509137653</v>
      </c>
      <c r="L20" s="59">
        <f>K20-'Option 1'!$U$88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711174.30811733368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3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2'!P80</f>
        <v>1338459.5564307442</v>
      </c>
      <c r="G26" s="6">
        <f>'Option 2'!Q80</f>
        <v>1865731.5029034619</v>
      </c>
      <c r="H26" s="6">
        <f>'Option 2'!R80</f>
        <v>0</v>
      </c>
      <c r="I26" s="6">
        <f>'Option 2'!S80</f>
        <v>0</v>
      </c>
      <c r="J26" s="6">
        <f>'Option 2'!T80</f>
        <v>0</v>
      </c>
      <c r="K26" s="6">
        <f>SUM(F26:J26)</f>
        <v>3204191.0593342064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2'!P81</f>
        <v>0</v>
      </c>
      <c r="G27" s="6">
        <f>'Option 2'!Q81</f>
        <v>0</v>
      </c>
      <c r="H27" s="6">
        <f>'Option 2'!R81</f>
        <v>0</v>
      </c>
      <c r="I27" s="6">
        <f>'Option 2'!S81</f>
        <v>0</v>
      </c>
      <c r="J27" s="6">
        <f>'Option 2'!T81</f>
        <v>0</v>
      </c>
      <c r="K27" s="6">
        <f t="shared" ref="K27:K28" si="6">SUM(F27:J27)</f>
        <v>0</v>
      </c>
      <c r="M27" s="98"/>
    </row>
    <row r="28" spans="2:13" x14ac:dyDescent="0.2">
      <c r="C28" s="1" t="s">
        <v>14</v>
      </c>
      <c r="D28" s="107" t="s">
        <v>12</v>
      </c>
      <c r="F28" s="6">
        <f>'Option 2'!P82</f>
        <v>0</v>
      </c>
      <c r="G28" s="6">
        <f>'Option 2'!Q82</f>
        <v>0</v>
      </c>
      <c r="H28" s="6">
        <f>'Option 2'!R82</f>
        <v>0</v>
      </c>
      <c r="I28" s="6">
        <f>'Option 2'!S82</f>
        <v>0</v>
      </c>
      <c r="J28" s="6">
        <f>'Option 2'!T82</f>
        <v>0</v>
      </c>
      <c r="K28" s="6">
        <f t="shared" si="6"/>
        <v>0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1338459.5564307442</v>
      </c>
      <c r="G29" s="105">
        <f t="shared" ref="G29" si="7">SUM(G26:G28)</f>
        <v>1865731.5029034619</v>
      </c>
      <c r="H29" s="105">
        <f t="shared" ref="H29" si="8">SUM(H26:H28)</f>
        <v>0</v>
      </c>
      <c r="I29" s="105">
        <f t="shared" ref="I29" si="9">SUM(I26:I28)</f>
        <v>0</v>
      </c>
      <c r="J29" s="105">
        <f t="shared" ref="J29" si="10">SUM(J26:J28)</f>
        <v>0</v>
      </c>
      <c r="K29" s="105">
        <f t="shared" ref="K29" si="11">SUM(K26:K28)</f>
        <v>3204191.0593342064</v>
      </c>
      <c r="M29" s="98"/>
    </row>
    <row r="30" spans="2:13" x14ac:dyDescent="0.2">
      <c r="C30" s="1" t="s">
        <v>11</v>
      </c>
      <c r="D30" s="107" t="s">
        <v>16</v>
      </c>
      <c r="F30" s="6">
        <f>'Option 2'!P84</f>
        <v>8436.3511435634809</v>
      </c>
      <c r="G30" s="6">
        <f>'Option 2'!Q84</f>
        <v>8436.3511435634809</v>
      </c>
      <c r="H30" s="6">
        <f>'Option 2'!R84</f>
        <v>0</v>
      </c>
      <c r="I30" s="6">
        <f>'Option 2'!S84</f>
        <v>0</v>
      </c>
      <c r="J30" s="6">
        <f>'Option 2'!T84</f>
        <v>0</v>
      </c>
      <c r="K30" s="6">
        <f>SUM(F30:J30)</f>
        <v>16872.702287126962</v>
      </c>
      <c r="M30" s="98"/>
    </row>
    <row r="31" spans="2:13" x14ac:dyDescent="0.2">
      <c r="C31" s="1" t="s">
        <v>13</v>
      </c>
      <c r="D31" s="107" t="s">
        <v>16</v>
      </c>
      <c r="F31" s="6">
        <f>'Option 2'!P85</f>
        <v>0</v>
      </c>
      <c r="G31" s="6">
        <f>'Option 2'!Q85</f>
        <v>0</v>
      </c>
      <c r="H31" s="6">
        <f>'Option 2'!R85</f>
        <v>0</v>
      </c>
      <c r="I31" s="6">
        <f>'Option 2'!S85</f>
        <v>0</v>
      </c>
      <c r="J31" s="6">
        <f>'Option 2'!T85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2'!P86</f>
        <v>890330.11713327724</v>
      </c>
      <c r="G32" s="6">
        <f>'Option 2'!Q86</f>
        <v>1224203.9110582562</v>
      </c>
      <c r="H32" s="6">
        <f>'Option 2'!R86</f>
        <v>1224203.9110582562</v>
      </c>
      <c r="I32" s="6">
        <f>'Option 2'!S86</f>
        <v>1224203.9110582562</v>
      </c>
      <c r="J32" s="6">
        <f>'Option 2'!T86</f>
        <v>1224203.9110582562</v>
      </c>
      <c r="K32" s="6">
        <f t="shared" si="12"/>
        <v>5787145.7613663021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898766.46827684075</v>
      </c>
      <c r="G33" s="105">
        <f t="shared" ref="G33" si="13">SUM(G30:G32)</f>
        <v>1232640.2622018196</v>
      </c>
      <c r="H33" s="105">
        <f t="shared" ref="H33" si="14">SUM(H30:H32)</f>
        <v>1224203.9110582562</v>
      </c>
      <c r="I33" s="105">
        <f t="shared" ref="I33" si="15">SUM(I30:I32)</f>
        <v>1224203.9110582562</v>
      </c>
      <c r="J33" s="105">
        <f t="shared" ref="J33" si="16">SUM(J30:J32)</f>
        <v>1224203.9110582562</v>
      </c>
      <c r="K33" s="105">
        <f t="shared" ref="K33" si="17">SUM(K30:K32)</f>
        <v>5804018.4636534294</v>
      </c>
      <c r="M33" s="98"/>
    </row>
    <row r="34" spans="2:13" x14ac:dyDescent="0.2">
      <c r="D34" s="49"/>
      <c r="F34" s="6"/>
      <c r="G34" s="6"/>
      <c r="H34" s="6"/>
      <c r="I34" s="6"/>
      <c r="J34" s="6"/>
      <c r="K34" s="6"/>
      <c r="M34" s="98"/>
    </row>
    <row r="35" spans="2:13" x14ac:dyDescent="0.2">
      <c r="C35" s="111" t="str">
        <f>"Total Cost ($ "&amp;Assumptions!$C$35&amp;")"</f>
        <v>Total Cost ($ June 2026)</v>
      </c>
      <c r="D35" s="21"/>
      <c r="E35" s="21"/>
      <c r="F35" s="22">
        <f t="shared" ref="F35:K35" si="18">F29+F33</f>
        <v>2237226.0247075851</v>
      </c>
      <c r="G35" s="22">
        <f t="shared" si="18"/>
        <v>3098371.7651052815</v>
      </c>
      <c r="H35" s="22">
        <f t="shared" si="18"/>
        <v>1224203.9110582562</v>
      </c>
      <c r="I35" s="22">
        <f t="shared" si="18"/>
        <v>1224203.9110582562</v>
      </c>
      <c r="J35" s="22">
        <f t="shared" si="18"/>
        <v>1224203.9110582562</v>
      </c>
      <c r="K35" s="22">
        <f t="shared" si="18"/>
        <v>9008209.5229876358</v>
      </c>
      <c r="L35" s="59">
        <f>K35-'Option 2'!$U$89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8255665.849917219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5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3'!P80</f>
        <v>2068852.880436952</v>
      </c>
      <c r="G41" s="6">
        <f>'Option 3'!Q80</f>
        <v>2588012.9508100892</v>
      </c>
      <c r="H41" s="6">
        <f>'Option 3'!R80</f>
        <v>0</v>
      </c>
      <c r="I41" s="6">
        <f>'Option 3'!S80</f>
        <v>0</v>
      </c>
      <c r="J41" s="6">
        <f>'Option 3'!T80</f>
        <v>0</v>
      </c>
      <c r="K41" s="6">
        <f>SUM(F41:J41)</f>
        <v>4656865.831247041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3'!P81</f>
        <v>0</v>
      </c>
      <c r="G42" s="6">
        <f>'Option 3'!Q81</f>
        <v>0</v>
      </c>
      <c r="H42" s="6">
        <f>'Option 3'!R81</f>
        <v>0</v>
      </c>
      <c r="I42" s="6">
        <f>'Option 3'!S81</f>
        <v>0</v>
      </c>
      <c r="J42" s="6">
        <f>'Option 3'!T81</f>
        <v>0</v>
      </c>
      <c r="K42" s="6">
        <f t="shared" ref="K42:K43" si="20">SUM(F42:J42)</f>
        <v>0</v>
      </c>
      <c r="M42" s="98"/>
    </row>
    <row r="43" spans="2:13" x14ac:dyDescent="0.2">
      <c r="C43" s="1" t="s">
        <v>14</v>
      </c>
      <c r="D43" s="107" t="s">
        <v>12</v>
      </c>
      <c r="F43" s="6">
        <f>'Option 3'!P82</f>
        <v>0</v>
      </c>
      <c r="G43" s="6">
        <f>'Option 3'!Q82</f>
        <v>0</v>
      </c>
      <c r="H43" s="6">
        <f>'Option 3'!R82</f>
        <v>0</v>
      </c>
      <c r="I43" s="6">
        <f>'Option 3'!S82</f>
        <v>0</v>
      </c>
      <c r="J43" s="6">
        <f>'Option 3'!T82</f>
        <v>0</v>
      </c>
      <c r="K43" s="6">
        <f t="shared" si="20"/>
        <v>0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2068852.880436952</v>
      </c>
      <c r="G44" s="105">
        <f t="shared" ref="G44" si="21">SUM(G41:G43)</f>
        <v>2588012.9508100892</v>
      </c>
      <c r="H44" s="105">
        <f t="shared" ref="H44" si="22">SUM(H41:H43)</f>
        <v>0</v>
      </c>
      <c r="I44" s="105">
        <f t="shared" ref="I44" si="23">SUM(I41:I43)</f>
        <v>0</v>
      </c>
      <c r="J44" s="105">
        <f t="shared" ref="J44" si="24">SUM(J41:J43)</f>
        <v>0</v>
      </c>
      <c r="K44" s="105">
        <f t="shared" ref="K44" si="25">SUM(K41:K43)</f>
        <v>4656865.831247041</v>
      </c>
      <c r="M44" s="98"/>
    </row>
    <row r="45" spans="2:13" x14ac:dyDescent="0.2">
      <c r="C45" s="1" t="s">
        <v>11</v>
      </c>
      <c r="D45" s="107" t="s">
        <v>16</v>
      </c>
      <c r="F45" s="6">
        <f>'Option 3'!P84</f>
        <v>0</v>
      </c>
      <c r="G45" s="6">
        <f>'Option 3'!Q84</f>
        <v>0</v>
      </c>
      <c r="H45" s="6">
        <f>'Option 3'!R84</f>
        <v>0</v>
      </c>
      <c r="I45" s="6">
        <f>'Option 3'!S84</f>
        <v>0</v>
      </c>
      <c r="J45" s="6">
        <f>'Option 3'!T84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3'!P85</f>
        <v>0</v>
      </c>
      <c r="G46" s="6">
        <f>'Option 3'!Q85</f>
        <v>0</v>
      </c>
      <c r="H46" s="6">
        <f>'Option 3'!R85</f>
        <v>0</v>
      </c>
      <c r="I46" s="6">
        <f>'Option 3'!S85</f>
        <v>0</v>
      </c>
      <c r="J46" s="6">
        <f>'Option 3'!T85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3'!P86</f>
        <v>890330.11713327724</v>
      </c>
      <c r="G47" s="6">
        <f>'Option 3'!Q86</f>
        <v>1780660.2342665545</v>
      </c>
      <c r="H47" s="6">
        <f>'Option 3'!R86</f>
        <v>1780660.2342665545</v>
      </c>
      <c r="I47" s="6">
        <f>'Option 3'!S86</f>
        <v>1780660.2342665545</v>
      </c>
      <c r="J47" s="6">
        <f>'Option 3'!T86</f>
        <v>1780660.2342665545</v>
      </c>
      <c r="K47" s="6">
        <f t="shared" si="26"/>
        <v>8012971.0541994963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890330.11713327724</v>
      </c>
      <c r="G48" s="105">
        <f t="shared" ref="G48" si="27">SUM(G45:G47)</f>
        <v>1780660.2342665545</v>
      </c>
      <c r="H48" s="105">
        <f t="shared" ref="H48" si="28">SUM(H45:H47)</f>
        <v>1780660.2342665545</v>
      </c>
      <c r="I48" s="105">
        <f t="shared" ref="I48" si="29">SUM(I45:I47)</f>
        <v>1780660.2342665545</v>
      </c>
      <c r="J48" s="105">
        <f t="shared" ref="J48" si="30">SUM(J45:J47)</f>
        <v>1780660.2342665545</v>
      </c>
      <c r="K48" s="105">
        <f t="shared" ref="K48" si="31">SUM(K45:K47)</f>
        <v>8012971.0541994963</v>
      </c>
      <c r="M48" s="98"/>
    </row>
    <row r="49" spans="2:13" x14ac:dyDescent="0.2">
      <c r="D49" s="49"/>
      <c r="F49" s="6"/>
      <c r="G49" s="6"/>
      <c r="H49" s="6"/>
      <c r="I49" s="6"/>
      <c r="J49" s="6"/>
      <c r="K49" s="6"/>
      <c r="M49" s="98"/>
    </row>
    <row r="50" spans="2:13" x14ac:dyDescent="0.2">
      <c r="C50" s="111" t="str">
        <f>"Total Cost ($ "&amp;Assumptions!$C35&amp;")"</f>
        <v>Total Cost ($ June 2026)</v>
      </c>
      <c r="D50" s="21"/>
      <c r="E50" s="21"/>
      <c r="F50" s="22">
        <f t="shared" ref="F50:K50" si="32">F44+F48</f>
        <v>2959182.9975702292</v>
      </c>
      <c r="G50" s="22">
        <f t="shared" si="32"/>
        <v>4368673.1850766437</v>
      </c>
      <c r="H50" s="22">
        <f t="shared" si="32"/>
        <v>1780660.2342665545</v>
      </c>
      <c r="I50" s="22">
        <f t="shared" si="32"/>
        <v>1780660.2342665545</v>
      </c>
      <c r="J50" s="22">
        <f t="shared" si="32"/>
        <v>1780660.2342665545</v>
      </c>
      <c r="K50" s="22">
        <f t="shared" si="32"/>
        <v>12669836.885446537</v>
      </c>
      <c r="L50" s="59">
        <f>K50-'Option 3'!$U$89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11594381.339424845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FFDE86-E0D4-440B-978C-D267B35C3CFD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tabSelected="1" zoomScale="90" zoomScaleNormal="90" workbookViewId="0">
      <selection activeCell="A15" sqref="A15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Network data visibility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8" t="s">
        <v>79</v>
      </c>
      <c r="C6" s="78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9" t="s">
        <v>92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40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80" t="s">
        <v>82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41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30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2" ht="12.75" customHeight="1" x14ac:dyDescent="0.25">
      <c r="A18" s="44" t="s">
        <v>1</v>
      </c>
      <c r="B18" s="93">
        <f>0.7*0.7</f>
        <v>0.48999999999999994</v>
      </c>
    </row>
    <row r="19" spans="1:12" ht="12.75" customHeight="1" x14ac:dyDescent="0.25">
      <c r="A19" s="44" t="s">
        <v>31</v>
      </c>
      <c r="B19" s="93">
        <f>0.7*0.3</f>
        <v>0.21</v>
      </c>
      <c r="D19" s="44"/>
      <c r="E19" s="44"/>
    </row>
    <row r="20" spans="1:12" ht="12.75" customHeight="1" x14ac:dyDescent="0.25">
      <c r="A20" s="44" t="s">
        <v>32</v>
      </c>
      <c r="B20" s="94">
        <v>0.3</v>
      </c>
      <c r="D20" s="44"/>
      <c r="E20" s="44"/>
    </row>
    <row r="21" spans="1:12" ht="12.75" customHeight="1" x14ac:dyDescent="0.25">
      <c r="A21" s="44"/>
      <c r="B21" s="95">
        <f>SUM(B18:B20)</f>
        <v>1</v>
      </c>
      <c r="D21" s="44"/>
      <c r="E21" s="44"/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4" t="s">
        <v>4</v>
      </c>
      <c r="B24" s="86" t="s">
        <v>34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3</v>
      </c>
      <c r="B25" s="89" t="s">
        <v>87</v>
      </c>
      <c r="C25" s="90"/>
      <c r="D25" s="90"/>
      <c r="E25" s="90"/>
      <c r="F25" s="90"/>
      <c r="G25" s="91"/>
    </row>
    <row r="26" spans="1:12" ht="12.75" customHeight="1" x14ac:dyDescent="0.25">
      <c r="A26" s="44" t="s">
        <v>19</v>
      </c>
      <c r="B26" s="89" t="s">
        <v>86</v>
      </c>
      <c r="C26" s="90"/>
      <c r="D26" s="90"/>
      <c r="E26" s="90"/>
      <c r="F26" s="90"/>
      <c r="G26" s="91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44"/>
      <c r="B28" s="92"/>
      <c r="C28" s="92"/>
      <c r="D28" s="92"/>
      <c r="E28" s="92"/>
      <c r="F28" s="92"/>
      <c r="G28" s="92"/>
    </row>
    <row r="29" spans="1:12" ht="12.75" customHeight="1" x14ac:dyDescent="0.25">
      <c r="A29" s="39" t="s">
        <v>93</v>
      </c>
      <c r="B29" s="39"/>
      <c r="C29" s="39"/>
      <c r="D29" s="40"/>
      <c r="E29" s="135" t="s">
        <v>81</v>
      </c>
      <c r="F29" s="135" t="s">
        <v>82</v>
      </c>
      <c r="G29" s="135" t="s">
        <v>83</v>
      </c>
      <c r="H29" s="135" t="s">
        <v>80</v>
      </c>
      <c r="I29" s="100"/>
      <c r="J29" s="40"/>
      <c r="K29" s="40"/>
    </row>
    <row r="30" spans="1:12" ht="12.75" customHeight="1" x14ac:dyDescent="0.25">
      <c r="A30" s="114" t="s">
        <v>76</v>
      </c>
      <c r="B30" s="115"/>
      <c r="C30" s="116"/>
      <c r="D30" s="117"/>
      <c r="E30" s="118">
        <v>1.1757125218136175</v>
      </c>
      <c r="F30" s="118">
        <v>1.1129126464165966</v>
      </c>
      <c r="G30" s="118">
        <v>1.050660524730181</v>
      </c>
      <c r="H30" s="118">
        <v>1.014889156509222</v>
      </c>
      <c r="I30" s="119"/>
      <c r="J30" s="117"/>
      <c r="K30" s="117"/>
      <c r="L30" s="64"/>
    </row>
    <row r="31" spans="1:12" ht="12.75" customHeight="1" x14ac:dyDescent="0.25">
      <c r="B31" s="1"/>
      <c r="D31" s="57"/>
      <c r="I31" s="71"/>
      <c r="J31" s="58"/>
      <c r="K31" s="58"/>
    </row>
    <row r="32" spans="1:12" ht="12.75" customHeight="1" x14ac:dyDescent="0.25">
      <c r="A32" s="1"/>
      <c r="B32" s="1"/>
      <c r="D32" s="41"/>
      <c r="I32" s="71"/>
      <c r="J32" s="71"/>
      <c r="K32" s="71"/>
    </row>
    <row r="33" spans="1:11" ht="12.75" customHeight="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2.75" customHeight="1" x14ac:dyDescent="0.25"/>
    <row r="35" spans="1:11" ht="12.75" customHeight="1" x14ac:dyDescent="0.25">
      <c r="A35" s="44" t="s">
        <v>35</v>
      </c>
      <c r="C35" s="143" t="s">
        <v>80</v>
      </c>
      <c r="D35" t="s">
        <v>28</v>
      </c>
    </row>
    <row r="36" spans="1:11" ht="12.75" customHeight="1" x14ac:dyDescent="0.25">
      <c r="A36" s="44" t="s">
        <v>36</v>
      </c>
      <c r="C36" s="43" t="str">
        <f>$B$12</f>
        <v>June 2024</v>
      </c>
    </row>
    <row r="37" spans="1:11" ht="12.75" customHeight="1" x14ac:dyDescent="0.25">
      <c r="A37" s="44" t="s">
        <v>37</v>
      </c>
      <c r="C37" s="96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2.75" customHeight="1" x14ac:dyDescent="0.25"/>
    <row r="41" spans="1:11" ht="12.75" customHeight="1" x14ac:dyDescent="0.25">
      <c r="A41" s="44" t="s">
        <v>38</v>
      </c>
      <c r="C41" s="144" t="s">
        <v>39</v>
      </c>
      <c r="D41" t="s">
        <v>40</v>
      </c>
    </row>
    <row r="42" spans="1:11" ht="12.75" customHeight="1" x14ac:dyDescent="0.25">
      <c r="A42" s="44" t="s">
        <v>36</v>
      </c>
      <c r="C42" s="120">
        <v>135.18960020374115</v>
      </c>
      <c r="D42" t="s">
        <v>41</v>
      </c>
    </row>
    <row r="43" spans="1:11" ht="12.75" customHeight="1" x14ac:dyDescent="0.25">
      <c r="A43" s="44" t="s">
        <v>37</v>
      </c>
      <c r="C43" s="121">
        <v>145.77740895836223</v>
      </c>
      <c r="D43" t="s">
        <v>42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90"/>
  <sheetViews>
    <sheetView showGridLines="0" zoomScale="90" zoomScaleNormal="90" workbookViewId="0">
      <pane ySplit="9" topLeftCell="A10" activePane="bottomLeft" state="frozen"/>
      <selection activeCell="Q1" sqref="Q1:T3"/>
      <selection pane="bottomLeft" activeCell="Q1" sqref="Q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3"/>
      <c r="R3" s="13"/>
      <c r="S3" s="13"/>
      <c r="T3" s="13"/>
      <c r="V3" s="48" t="b">
        <f>SUM(V7:V60)=0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43</v>
      </c>
      <c r="D7" s="66" t="s">
        <v>44</v>
      </c>
      <c r="E7" s="136" t="s">
        <v>45</v>
      </c>
      <c r="F7" s="16"/>
      <c r="G7" s="109" t="s">
        <v>11</v>
      </c>
      <c r="H7" s="19" t="s">
        <v>46</v>
      </c>
      <c r="J7" s="19" t="s">
        <v>47</v>
      </c>
      <c r="K7" s="20"/>
      <c r="L7" s="20"/>
      <c r="M7" s="20"/>
      <c r="N7" s="20"/>
      <c r="P7" s="19" t="s">
        <v>48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49</v>
      </c>
      <c r="E8" s="137"/>
      <c r="F8" s="16"/>
      <c r="G8" s="110" t="s">
        <v>50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112" t="s">
        <v>51</v>
      </c>
      <c r="D10" s="83" t="s">
        <v>49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150000</v>
      </c>
      <c r="L10" s="84">
        <v>150000</v>
      </c>
      <c r="M10" s="84">
        <v>150000</v>
      </c>
      <c r="N10" s="84">
        <v>150000</v>
      </c>
      <c r="O10" s="2"/>
      <c r="P10" s="5">
        <f t="shared" ref="P10:P40" si="0">IF($E10="Labour",$G10*J10,J10)</f>
        <v>0</v>
      </c>
      <c r="Q10" s="5">
        <f t="shared" ref="Q10:Q40" si="1">IF($E10="Labour",$G10*K10,K10)</f>
        <v>150000</v>
      </c>
      <c r="R10" s="5">
        <f t="shared" ref="R10:R40" si="2">IF($E10="Labour",$G10*L10,L10)</f>
        <v>150000</v>
      </c>
      <c r="S10" s="5">
        <f t="shared" ref="S10:S40" si="3">IF($E10="Labour",$G10*M10,M10)</f>
        <v>150000</v>
      </c>
      <c r="T10" s="5">
        <f t="shared" ref="T10:T40" si="4">IF($E10="Labour",$G10*N10,N10)</f>
        <v>150000</v>
      </c>
    </row>
    <row r="11" spans="1:25" ht="12.75" customHeight="1" x14ac:dyDescent="0.2">
      <c r="A11" s="4"/>
      <c r="C11" s="113" t="s">
        <v>53</v>
      </c>
      <c r="D11" s="83" t="s">
        <v>52</v>
      </c>
      <c r="E11" s="81" t="s">
        <v>11</v>
      </c>
      <c r="F11" s="2"/>
      <c r="G11" s="65">
        <f>IF($E11="Labour",Assumptions!$B$14,)</f>
        <v>145.77740895836223</v>
      </c>
      <c r="H11" s="9" t="str">
        <f t="shared" ref="H11:H59" si="5">IF($E11="Labour","Hours","$")</f>
        <v>Hours</v>
      </c>
      <c r="I11" s="2"/>
      <c r="J11" s="84"/>
      <c r="K11" s="84">
        <v>64</v>
      </c>
      <c r="L11" s="84"/>
      <c r="M11" s="84"/>
      <c r="N11" s="84"/>
      <c r="O11" s="2"/>
      <c r="P11" s="5">
        <f t="shared" si="0"/>
        <v>0</v>
      </c>
      <c r="Q11" s="5">
        <f t="shared" si="1"/>
        <v>9329.7541733351827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5">
      <c r="A12" s="4"/>
      <c r="C12" s="113" t="s">
        <v>54</v>
      </c>
      <c r="D12" s="83" t="s">
        <v>52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/>
      <c r="K12" s="84">
        <v>400</v>
      </c>
      <c r="L12" s="84"/>
      <c r="M12" s="84"/>
      <c r="N12" s="84"/>
      <c r="O12" s="2"/>
      <c r="P12" s="5">
        <f t="shared" si="0"/>
        <v>0</v>
      </c>
      <c r="Q12" s="5">
        <f t="shared" si="1"/>
        <v>58310.963583344892</v>
      </c>
      <c r="R12" s="5">
        <f t="shared" si="2"/>
        <v>0</v>
      </c>
      <c r="S12" s="5">
        <f t="shared" si="3"/>
        <v>0</v>
      </c>
      <c r="T12" s="5">
        <f t="shared" si="4"/>
        <v>0</v>
      </c>
      <c r="Y12"/>
    </row>
    <row r="13" spans="1:25" ht="12.75" customHeight="1" x14ac:dyDescent="0.25">
      <c r="A13" s="4"/>
      <c r="C13" s="113" t="s">
        <v>55</v>
      </c>
      <c r="D13" s="83" t="s">
        <v>52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/>
      <c r="K13" s="84">
        <v>200</v>
      </c>
      <c r="L13" s="84"/>
      <c r="M13" s="84"/>
      <c r="N13" s="84"/>
      <c r="O13" s="2"/>
      <c r="P13" s="5">
        <f t="shared" si="0"/>
        <v>0</v>
      </c>
      <c r="Q13" s="5">
        <f t="shared" si="1"/>
        <v>29155.481791672446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113" t="s">
        <v>56</v>
      </c>
      <c r="D14" s="83" t="s">
        <v>52</v>
      </c>
      <c r="E14" s="81" t="s">
        <v>13</v>
      </c>
      <c r="F14" s="2"/>
      <c r="G14" s="65">
        <f>IF($E14="Labour",Assumptions!$B$14,)</f>
        <v>0</v>
      </c>
      <c r="H14" s="9" t="str">
        <f t="shared" si="5"/>
        <v>$</v>
      </c>
      <c r="I14" s="2"/>
      <c r="J14" s="84"/>
      <c r="K14" s="84">
        <v>0</v>
      </c>
      <c r="L14" s="84"/>
      <c r="M14" s="84"/>
      <c r="N14" s="84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113" t="s">
        <v>57</v>
      </c>
      <c r="D15" s="83" t="s">
        <v>52</v>
      </c>
      <c r="E15" s="81" t="s">
        <v>11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/>
      <c r="K15" s="84">
        <v>80</v>
      </c>
      <c r="L15" s="84"/>
      <c r="M15" s="84"/>
      <c r="N15" s="84"/>
      <c r="O15" s="2"/>
      <c r="P15" s="5">
        <f t="shared" si="0"/>
        <v>0</v>
      </c>
      <c r="Q15" s="5">
        <f t="shared" si="1"/>
        <v>11662.192716668978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113" t="s">
        <v>58</v>
      </c>
      <c r="D16" s="83" t="s">
        <v>49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>
        <v>40</v>
      </c>
      <c r="L16" s="84"/>
      <c r="M16" s="84"/>
      <c r="N16" s="84"/>
      <c r="O16" s="2"/>
      <c r="P16" s="5">
        <f t="shared" si="0"/>
        <v>0</v>
      </c>
      <c r="Q16" s="5">
        <f t="shared" si="1"/>
        <v>5831.0963583344892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/>
      <c r="D17" s="83" t="s">
        <v>52</v>
      </c>
      <c r="E17" s="81" t="s">
        <v>14</v>
      </c>
      <c r="F17" s="2"/>
      <c r="G17" s="65">
        <f>IF($E17="Labour",Assumptions!$B$14,)</f>
        <v>0</v>
      </c>
      <c r="H17" s="9" t="str">
        <f t="shared" si="5"/>
        <v>$</v>
      </c>
      <c r="I17" s="2"/>
      <c r="J17" s="84"/>
      <c r="K17" s="84"/>
      <c r="L17" s="84"/>
      <c r="M17" s="84"/>
      <c r="N17" s="84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52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52</v>
      </c>
      <c r="E19" s="81" t="s">
        <v>13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52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52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52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52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52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52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49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49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49</v>
      </c>
      <c r="E28" s="81" t="s">
        <v>14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52</v>
      </c>
      <c r="E29" s="81" t="s">
        <v>13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52</v>
      </c>
      <c r="E30" s="81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52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52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52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52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52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52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52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52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">
      <c r="A39" s="4"/>
      <c r="C39" s="82"/>
      <c r="D39" s="83" t="s">
        <v>52</v>
      </c>
      <c r="E39" s="81" t="s">
        <v>13</v>
      </c>
      <c r="G39" s="65">
        <f>IF($E39="Labour",Assumptions!$B$14,)</f>
        <v>0</v>
      </c>
      <c r="H39" s="9" t="str">
        <f t="shared" si="5"/>
        <v>$</v>
      </c>
      <c r="J39" s="84"/>
      <c r="K39" s="84"/>
      <c r="L39" s="84"/>
      <c r="M39" s="84"/>
      <c r="N39" s="84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</row>
    <row r="40" spans="1:25" ht="12.75" customHeight="1" x14ac:dyDescent="0.2">
      <c r="A40" s="4"/>
      <c r="C40" s="82"/>
      <c r="D40" s="83" t="s">
        <v>52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52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ref="P41:P59" si="6">IF($E41="Labour",$G41*J41,J41)</f>
        <v>0</v>
      </c>
      <c r="Q41" s="5">
        <f t="shared" ref="Q41:Q59" si="7">IF($E41="Labour",$G41*K41,K41)</f>
        <v>0</v>
      </c>
      <c r="R41" s="5">
        <f t="shared" ref="R41:R59" si="8">IF($E41="Labour",$G41*L41,L41)</f>
        <v>0</v>
      </c>
      <c r="S41" s="5">
        <f t="shared" ref="S41:S59" si="9">IF($E41="Labour",$G41*M41,M41)</f>
        <v>0</v>
      </c>
      <c r="T41" s="5">
        <f t="shared" ref="T41:T59" si="10">IF($E41="Labour",$G41*N41,N41)</f>
        <v>0</v>
      </c>
    </row>
    <row r="42" spans="1:25" ht="12.75" customHeight="1" x14ac:dyDescent="0.2">
      <c r="A42" s="4"/>
      <c r="C42" s="82"/>
      <c r="D42" s="83" t="s">
        <v>52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6"/>
        <v>0</v>
      </c>
      <c r="Q42" s="5">
        <f t="shared" si="7"/>
        <v>0</v>
      </c>
      <c r="R42" s="5">
        <f t="shared" si="8"/>
        <v>0</v>
      </c>
      <c r="S42" s="5">
        <f t="shared" si="9"/>
        <v>0</v>
      </c>
      <c r="T42" s="5">
        <f t="shared" si="10"/>
        <v>0</v>
      </c>
    </row>
    <row r="43" spans="1:25" ht="12.75" customHeight="1" x14ac:dyDescent="0.2">
      <c r="A43" s="4"/>
      <c r="C43" s="82"/>
      <c r="D43" s="83" t="s">
        <v>52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52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52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52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52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52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52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52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52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52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52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52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52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52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52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52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52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  <c r="U59" s="106"/>
    </row>
    <row r="60" spans="1:25" ht="12.75" customHeight="1" x14ac:dyDescent="0.25">
      <c r="F60" s="2"/>
      <c r="I60" s="2"/>
      <c r="O60" s="2"/>
      <c r="Y60"/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C62" s="3" t="s">
        <v>59</v>
      </c>
      <c r="F62" s="2"/>
      <c r="I62" s="2"/>
      <c r="O62" s="2"/>
      <c r="P62" s="70" t="s">
        <v>6</v>
      </c>
      <c r="Q62" s="70" t="s">
        <v>7</v>
      </c>
      <c r="R62" s="70" t="s">
        <v>8</v>
      </c>
      <c r="S62" s="70" t="s">
        <v>9</v>
      </c>
      <c r="T62" s="70" t="s">
        <v>10</v>
      </c>
      <c r="U62" s="70" t="s">
        <v>0</v>
      </c>
      <c r="Y62"/>
    </row>
    <row r="63" spans="1:25" ht="12.75" customHeight="1" x14ac:dyDescent="0.2">
      <c r="C63" s="24" t="s">
        <v>11</v>
      </c>
      <c r="D63" s="24" t="s">
        <v>52</v>
      </c>
      <c r="E63" s="24"/>
      <c r="F63" s="2"/>
      <c r="G63" s="67"/>
      <c r="H63" s="68"/>
      <c r="I63" s="2"/>
      <c r="J63" s="24"/>
      <c r="K63" s="24"/>
      <c r="L63" s="24"/>
      <c r="M63" s="24"/>
      <c r="N63" s="24"/>
      <c r="O63" s="2"/>
      <c r="P63" s="25">
        <f t="shared" ref="P63:T65" si="11">SUMIFS(P$10:P$59,$E$10:$E$59,$C63,$D$10:$D$59,$D63)</f>
        <v>0</v>
      </c>
      <c r="Q63" s="25">
        <f t="shared" si="11"/>
        <v>108458.39226502148</v>
      </c>
      <c r="R63" s="25">
        <f t="shared" si="11"/>
        <v>0</v>
      </c>
      <c r="S63" s="25">
        <f t="shared" si="11"/>
        <v>0</v>
      </c>
      <c r="T63" s="25">
        <f t="shared" si="11"/>
        <v>0</v>
      </c>
      <c r="U63" s="72">
        <f>SUM(P63:T63)</f>
        <v>108458.39226502148</v>
      </c>
    </row>
    <row r="64" spans="1:25" ht="12.75" customHeight="1" x14ac:dyDescent="0.2">
      <c r="C64" s="1" t="s">
        <v>13</v>
      </c>
      <c r="D64" s="1" t="s">
        <v>52</v>
      </c>
      <c r="F64" s="2"/>
      <c r="G64" s="69"/>
      <c r="I64" s="2"/>
      <c r="O64" s="2"/>
      <c r="P64" s="6">
        <f t="shared" si="11"/>
        <v>0</v>
      </c>
      <c r="Q64" s="6">
        <f t="shared" si="11"/>
        <v>0</v>
      </c>
      <c r="R64" s="6">
        <f t="shared" si="11"/>
        <v>0</v>
      </c>
      <c r="S64" s="6">
        <f t="shared" si="11"/>
        <v>0</v>
      </c>
      <c r="T64" s="6">
        <f t="shared" si="11"/>
        <v>0</v>
      </c>
      <c r="U64" s="73">
        <f t="shared" ref="U64:U72" si="12">SUM(P64:T64)</f>
        <v>0</v>
      </c>
    </row>
    <row r="65" spans="3:22" ht="12.75" customHeight="1" x14ac:dyDescent="0.2">
      <c r="C65" s="1" t="s">
        <v>14</v>
      </c>
      <c r="D65" s="1" t="s">
        <v>52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si="12"/>
        <v>0</v>
      </c>
    </row>
    <row r="66" spans="3:22" ht="12.75" customHeight="1" x14ac:dyDescent="0.2">
      <c r="C66" s="21" t="s">
        <v>15</v>
      </c>
      <c r="D66" s="21" t="s">
        <v>52</v>
      </c>
      <c r="E66" s="101"/>
      <c r="F66" s="103"/>
      <c r="G66" s="102"/>
      <c r="H66" s="104"/>
      <c r="I66" s="103"/>
      <c r="J66" s="101"/>
      <c r="K66" s="101"/>
      <c r="L66" s="101"/>
      <c r="M66" s="101"/>
      <c r="N66" s="101"/>
      <c r="O66" s="103"/>
      <c r="P66" s="22">
        <f>SUM(P63:P65)</f>
        <v>0</v>
      </c>
      <c r="Q66" s="22">
        <f t="shared" ref="Q66:U66" si="13">SUM(Q63:Q65)</f>
        <v>108458.39226502148</v>
      </c>
      <c r="R66" s="22">
        <f t="shared" si="13"/>
        <v>0</v>
      </c>
      <c r="S66" s="22">
        <f t="shared" si="13"/>
        <v>0</v>
      </c>
      <c r="T66" s="22">
        <f t="shared" si="13"/>
        <v>0</v>
      </c>
      <c r="U66" s="22">
        <f t="shared" si="13"/>
        <v>108458.39226502148</v>
      </c>
    </row>
    <row r="67" spans="3:22" ht="12.75" customHeight="1" x14ac:dyDescent="0.2">
      <c r="C67" s="1" t="s">
        <v>11</v>
      </c>
      <c r="D67" s="1" t="s">
        <v>49</v>
      </c>
      <c r="F67" s="2"/>
      <c r="G67" s="69"/>
      <c r="I67" s="2"/>
      <c r="O67" s="2"/>
      <c r="P67" s="6">
        <f t="shared" ref="P67:T69" si="14">SUMIFS(P$10:P$59,$E$10:$E$59,$C67,$D$10:$D$59,$D67)</f>
        <v>0</v>
      </c>
      <c r="Q67" s="6">
        <f t="shared" si="14"/>
        <v>5831.0963583344892</v>
      </c>
      <c r="R67" s="6">
        <f t="shared" si="14"/>
        <v>0</v>
      </c>
      <c r="S67" s="6">
        <f t="shared" si="14"/>
        <v>0</v>
      </c>
      <c r="T67" s="6">
        <f t="shared" si="14"/>
        <v>0</v>
      </c>
      <c r="U67" s="73">
        <f t="shared" si="12"/>
        <v>5831.0963583344892</v>
      </c>
    </row>
    <row r="68" spans="3:22" ht="12.75" customHeight="1" x14ac:dyDescent="0.2">
      <c r="C68" s="1" t="s">
        <v>13</v>
      </c>
      <c r="D68" s="1" t="s">
        <v>49</v>
      </c>
      <c r="F68" s="2"/>
      <c r="G68" s="69"/>
      <c r="I68" s="2"/>
      <c r="O68" s="2"/>
      <c r="P68" s="6">
        <f t="shared" si="14"/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0</v>
      </c>
    </row>
    <row r="69" spans="3:22" ht="12.75" customHeight="1" x14ac:dyDescent="0.2">
      <c r="C69" s="1" t="s">
        <v>14</v>
      </c>
      <c r="D69" s="1" t="s">
        <v>49</v>
      </c>
      <c r="F69" s="2"/>
      <c r="G69" s="69"/>
      <c r="I69" s="2"/>
      <c r="O69" s="2"/>
      <c r="P69" s="6">
        <f t="shared" si="14"/>
        <v>0</v>
      </c>
      <c r="Q69" s="6">
        <f t="shared" si="14"/>
        <v>150000</v>
      </c>
      <c r="R69" s="6">
        <f t="shared" si="14"/>
        <v>150000</v>
      </c>
      <c r="S69" s="6">
        <f t="shared" si="14"/>
        <v>150000</v>
      </c>
      <c r="T69" s="6">
        <f t="shared" si="14"/>
        <v>150000</v>
      </c>
      <c r="U69" s="73">
        <f t="shared" si="12"/>
        <v>600000</v>
      </c>
    </row>
    <row r="70" spans="3:22" ht="12.75" customHeight="1" x14ac:dyDescent="0.2">
      <c r="C70" s="21" t="s">
        <v>17</v>
      </c>
      <c r="D70" s="21" t="s">
        <v>49</v>
      </c>
      <c r="E70" s="101"/>
      <c r="F70" s="103"/>
      <c r="G70" s="102"/>
      <c r="H70" s="104"/>
      <c r="I70" s="103"/>
      <c r="J70" s="101"/>
      <c r="K70" s="101"/>
      <c r="L70" s="101"/>
      <c r="M70" s="101"/>
      <c r="N70" s="101"/>
      <c r="O70" s="103"/>
      <c r="P70" s="22">
        <f>SUM(P67:P69)</f>
        <v>0</v>
      </c>
      <c r="Q70" s="22">
        <f t="shared" ref="Q70" si="15">SUM(Q67:Q69)</f>
        <v>155831.0963583345</v>
      </c>
      <c r="R70" s="22">
        <f t="shared" ref="R70" si="16">SUM(R67:R69)</f>
        <v>150000</v>
      </c>
      <c r="S70" s="22">
        <f t="shared" ref="S70" si="17">SUM(S67:S69)</f>
        <v>150000</v>
      </c>
      <c r="T70" s="22">
        <f t="shared" ref="T70" si="18">SUM(T67:T69)</f>
        <v>150000</v>
      </c>
      <c r="U70" s="22">
        <f t="shared" ref="U70" si="19">SUM(U67:U69)</f>
        <v>605831.09635833453</v>
      </c>
    </row>
    <row r="71" spans="3:22" ht="12.75" customHeight="1" x14ac:dyDescent="0.2">
      <c r="F71" s="2"/>
      <c r="G71" s="69"/>
      <c r="I71" s="2"/>
      <c r="O71" s="2"/>
      <c r="P71" s="6"/>
      <c r="Q71" s="6"/>
      <c r="R71" s="6"/>
      <c r="S71" s="6"/>
      <c r="T71" s="6"/>
      <c r="U71" s="73"/>
    </row>
    <row r="72" spans="3:22" ht="12.75" customHeight="1" x14ac:dyDescent="0.2">
      <c r="C72" s="7" t="str">
        <f>"Total Expenditure ($ "&amp;Assumptions!$B$12&amp;")"</f>
        <v>Total Expenditure ($ June 2024)</v>
      </c>
      <c r="D72" s="7" t="s">
        <v>60</v>
      </c>
      <c r="E72" s="7"/>
      <c r="F72" s="2"/>
      <c r="G72" s="7"/>
      <c r="H72" s="10"/>
      <c r="I72" s="2"/>
      <c r="J72" s="7"/>
      <c r="K72" s="7"/>
      <c r="L72" s="7"/>
      <c r="M72" s="7"/>
      <c r="N72" s="7"/>
      <c r="O72" s="2"/>
      <c r="P72" s="8">
        <f>P66+P70</f>
        <v>0</v>
      </c>
      <c r="Q72" s="8">
        <f t="shared" ref="Q72:T72" si="20">Q66+Q70</f>
        <v>264289.48862335598</v>
      </c>
      <c r="R72" s="8">
        <f t="shared" si="20"/>
        <v>150000</v>
      </c>
      <c r="S72" s="8">
        <f t="shared" si="20"/>
        <v>150000</v>
      </c>
      <c r="T72" s="8">
        <f t="shared" si="20"/>
        <v>150000</v>
      </c>
      <c r="U72" s="74">
        <f t="shared" si="12"/>
        <v>714289.48862335598</v>
      </c>
    </row>
    <row r="73" spans="3:22" ht="12.75" customHeight="1" x14ac:dyDescent="0.2">
      <c r="C73" s="45" t="s">
        <v>61</v>
      </c>
      <c r="D73" s="45"/>
      <c r="E73" s="45"/>
      <c r="F73" s="2"/>
      <c r="G73" s="45"/>
      <c r="H73" s="45"/>
      <c r="I73" s="2"/>
      <c r="J73" s="45"/>
      <c r="K73" s="45"/>
      <c r="L73" s="45"/>
      <c r="M73" s="45"/>
      <c r="N73" s="45"/>
      <c r="O73" s="2"/>
      <c r="P73" s="46">
        <f>P72-SUM(P$10:P$59)</f>
        <v>0</v>
      </c>
      <c r="Q73" s="46">
        <f>Q72-SUM(Q$10:Q$59)</f>
        <v>0</v>
      </c>
      <c r="R73" s="46">
        <f>R72-SUM(R$10:R$59)</f>
        <v>0</v>
      </c>
      <c r="S73" s="46">
        <f>S72-SUM(S$10:S$59)</f>
        <v>0</v>
      </c>
      <c r="T73" s="46">
        <f>T72-SUM(T$10:T$59)</f>
        <v>0</v>
      </c>
      <c r="U73" s="46">
        <f>U72-SUM(P$10:T$59)</f>
        <v>0</v>
      </c>
      <c r="V73" s="46">
        <f>SUM(P73:U73)</f>
        <v>0</v>
      </c>
    </row>
    <row r="74" spans="3:22" ht="12.75" customHeight="1" x14ac:dyDescent="0.2">
      <c r="F74" s="2"/>
      <c r="I74" s="2"/>
      <c r="O74" s="2"/>
    </row>
    <row r="75" spans="3:22" ht="12.75" customHeight="1" x14ac:dyDescent="0.2">
      <c r="C75" s="55" t="str">
        <f>"NPV ($ "&amp;Assumptions!$B$12&amp;")"</f>
        <v>NPV ($ June 2024)</v>
      </c>
      <c r="D75" s="56">
        <f>NPV(Real_Discount_rate,P72:T72)</f>
        <v>639020.78065803542</v>
      </c>
      <c r="F75" s="2"/>
      <c r="I75" s="2"/>
      <c r="O75" s="2"/>
    </row>
    <row r="76" spans="3:22" ht="12.75" customHeight="1" x14ac:dyDescent="0.2"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C78" s="77" t="s">
        <v>62</v>
      </c>
      <c r="F78" s="2"/>
      <c r="I78" s="2"/>
      <c r="O78" s="2"/>
      <c r="P78" s="70" t="s">
        <v>6</v>
      </c>
      <c r="Q78" s="70" t="s">
        <v>7</v>
      </c>
      <c r="R78" s="70" t="s">
        <v>8</v>
      </c>
      <c r="S78" s="70" t="s">
        <v>9</v>
      </c>
      <c r="T78" s="70" t="s">
        <v>10</v>
      </c>
      <c r="U78" s="70" t="s">
        <v>0</v>
      </c>
    </row>
    <row r="79" spans="3:22" ht="12.75" customHeight="1" x14ac:dyDescent="0.2">
      <c r="C79" s="24" t="s">
        <v>11</v>
      </c>
      <c r="D79" s="24" t="s">
        <v>52</v>
      </c>
      <c r="E79" s="24"/>
      <c r="F79" s="2"/>
      <c r="G79" s="67"/>
      <c r="H79" s="68"/>
      <c r="I79" s="2"/>
      <c r="J79" s="24"/>
      <c r="K79" s="24"/>
      <c r="L79" s="24"/>
      <c r="M79" s="24"/>
      <c r="N79" s="24"/>
      <c r="O79" s="2"/>
      <c r="P79" s="34">
        <f t="shared" ref="P79:T81" si="21">P63*business_case_dollars</f>
        <v>0</v>
      </c>
      <c r="Q79" s="34">
        <f t="shared" si="21"/>
        <v>120704.71636175438</v>
      </c>
      <c r="R79" s="34">
        <f t="shared" si="21"/>
        <v>0</v>
      </c>
      <c r="S79" s="34">
        <f t="shared" si="21"/>
        <v>0</v>
      </c>
      <c r="T79" s="34">
        <f t="shared" si="21"/>
        <v>0</v>
      </c>
      <c r="U79" s="72">
        <f>SUM(P79:T79)</f>
        <v>120704.71636175438</v>
      </c>
    </row>
    <row r="80" spans="3:22" ht="12.75" customHeight="1" x14ac:dyDescent="0.2">
      <c r="C80" s="1" t="s">
        <v>13</v>
      </c>
      <c r="D80" s="1" t="s">
        <v>52</v>
      </c>
      <c r="F80" s="2"/>
      <c r="G80" s="69"/>
      <c r="I80" s="2"/>
      <c r="O80" s="2"/>
      <c r="P80" s="6">
        <f t="shared" si="21"/>
        <v>0</v>
      </c>
      <c r="Q80" s="6">
        <f t="shared" si="21"/>
        <v>0</v>
      </c>
      <c r="R80" s="6">
        <f t="shared" si="21"/>
        <v>0</v>
      </c>
      <c r="S80" s="6">
        <f t="shared" si="21"/>
        <v>0</v>
      </c>
      <c r="T80" s="6">
        <f t="shared" si="21"/>
        <v>0</v>
      </c>
      <c r="U80" s="73">
        <f t="shared" ref="U80:U88" si="22">SUM(P80:T80)</f>
        <v>0</v>
      </c>
    </row>
    <row r="81" spans="3:22" ht="12.75" customHeight="1" x14ac:dyDescent="0.2">
      <c r="C81" s="1" t="s">
        <v>14</v>
      </c>
      <c r="D81" s="1" t="s">
        <v>52</v>
      </c>
      <c r="F81" s="2"/>
      <c r="G81" s="69"/>
      <c r="I81" s="2"/>
      <c r="O81" s="2"/>
      <c r="P81" s="6">
        <f t="shared" si="21"/>
        <v>0</v>
      </c>
      <c r="Q81" s="6">
        <f t="shared" si="21"/>
        <v>0</v>
      </c>
      <c r="R81" s="6">
        <f t="shared" si="21"/>
        <v>0</v>
      </c>
      <c r="S81" s="6">
        <f t="shared" si="21"/>
        <v>0</v>
      </c>
      <c r="T81" s="6">
        <f t="shared" si="21"/>
        <v>0</v>
      </c>
      <c r="U81" s="73">
        <f t="shared" si="22"/>
        <v>0</v>
      </c>
    </row>
    <row r="82" spans="3:22" ht="12.75" customHeight="1" x14ac:dyDescent="0.2">
      <c r="C82" s="21" t="s">
        <v>15</v>
      </c>
      <c r="D82" s="21" t="s">
        <v>52</v>
      </c>
      <c r="E82" s="101"/>
      <c r="F82" s="103"/>
      <c r="G82" s="102"/>
      <c r="H82" s="104"/>
      <c r="I82" s="103"/>
      <c r="J82" s="101"/>
      <c r="K82" s="101"/>
      <c r="L82" s="101"/>
      <c r="M82" s="101"/>
      <c r="N82" s="101"/>
      <c r="O82" s="103"/>
      <c r="P82" s="22">
        <f>SUM(P79:P81)</f>
        <v>0</v>
      </c>
      <c r="Q82" s="22">
        <f t="shared" ref="Q82" si="23">SUM(Q79:Q81)</f>
        <v>120704.71636175438</v>
      </c>
      <c r="R82" s="22">
        <f t="shared" ref="R82" si="24">SUM(R79:R81)</f>
        <v>0</v>
      </c>
      <c r="S82" s="22">
        <f t="shared" ref="S82" si="25">SUM(S79:S81)</f>
        <v>0</v>
      </c>
      <c r="T82" s="22">
        <f t="shared" ref="T82" si="26">SUM(T79:T81)</f>
        <v>0</v>
      </c>
      <c r="U82" s="22">
        <f t="shared" ref="U82" si="27">SUM(U79:U81)</f>
        <v>120704.71636175438</v>
      </c>
    </row>
    <row r="83" spans="3:22" ht="12.75" customHeight="1" x14ac:dyDescent="0.2">
      <c r="C83" s="1" t="s">
        <v>11</v>
      </c>
      <c r="D83" s="1" t="s">
        <v>49</v>
      </c>
      <c r="F83" s="2"/>
      <c r="G83" s="69"/>
      <c r="I83" s="2"/>
      <c r="O83" s="2"/>
      <c r="P83" s="34">
        <f t="shared" ref="P83:T85" si="28">P67*business_case_dollars</f>
        <v>0</v>
      </c>
      <c r="Q83" s="34">
        <f t="shared" si="28"/>
        <v>6489.5008796642151</v>
      </c>
      <c r="R83" s="34">
        <f t="shared" si="28"/>
        <v>0</v>
      </c>
      <c r="S83" s="34">
        <f t="shared" si="28"/>
        <v>0</v>
      </c>
      <c r="T83" s="34">
        <f t="shared" si="28"/>
        <v>0</v>
      </c>
      <c r="U83" s="72">
        <f>SUM(P83:T83)</f>
        <v>6489.5008796642151</v>
      </c>
    </row>
    <row r="84" spans="3:22" ht="12.75" customHeight="1" x14ac:dyDescent="0.2">
      <c r="C84" s="1" t="s">
        <v>13</v>
      </c>
      <c r="D84" s="1" t="s">
        <v>49</v>
      </c>
      <c r="F84" s="2"/>
      <c r="G84" s="69"/>
      <c r="I84" s="2"/>
      <c r="O84" s="2"/>
      <c r="P84" s="6">
        <f t="shared" si="28"/>
        <v>0</v>
      </c>
      <c r="Q84" s="6">
        <f t="shared" si="28"/>
        <v>0</v>
      </c>
      <c r="R84" s="6">
        <f t="shared" si="28"/>
        <v>0</v>
      </c>
      <c r="S84" s="6">
        <f t="shared" si="28"/>
        <v>0</v>
      </c>
      <c r="T84" s="6">
        <f t="shared" si="28"/>
        <v>0</v>
      </c>
      <c r="U84" s="73">
        <f t="shared" ref="U84:U85" si="29">SUM(P84:T84)</f>
        <v>0</v>
      </c>
    </row>
    <row r="85" spans="3:22" ht="12.75" customHeight="1" x14ac:dyDescent="0.2">
      <c r="C85" s="1" t="s">
        <v>14</v>
      </c>
      <c r="D85" s="1" t="s">
        <v>49</v>
      </c>
      <c r="F85" s="2"/>
      <c r="G85" s="69"/>
      <c r="I85" s="2"/>
      <c r="O85" s="2"/>
      <c r="P85" s="6">
        <f t="shared" si="28"/>
        <v>0</v>
      </c>
      <c r="Q85" s="6">
        <f t="shared" si="28"/>
        <v>166936.8969624895</v>
      </c>
      <c r="R85" s="6">
        <f t="shared" si="28"/>
        <v>166936.8969624895</v>
      </c>
      <c r="S85" s="6">
        <f t="shared" si="28"/>
        <v>166936.8969624895</v>
      </c>
      <c r="T85" s="6">
        <f t="shared" si="28"/>
        <v>166936.8969624895</v>
      </c>
      <c r="U85" s="73">
        <f t="shared" si="29"/>
        <v>667747.58784995798</v>
      </c>
    </row>
    <row r="86" spans="3:22" ht="12.75" customHeight="1" x14ac:dyDescent="0.2">
      <c r="C86" s="21" t="s">
        <v>17</v>
      </c>
      <c r="D86" s="21" t="s">
        <v>49</v>
      </c>
      <c r="E86" s="101"/>
      <c r="F86" s="103"/>
      <c r="G86" s="102"/>
      <c r="H86" s="104"/>
      <c r="I86" s="103"/>
      <c r="J86" s="101"/>
      <c r="K86" s="101"/>
      <c r="L86" s="101"/>
      <c r="M86" s="101"/>
      <c r="N86" s="101"/>
      <c r="O86" s="103"/>
      <c r="P86" s="22">
        <f>SUM(P83:P85)</f>
        <v>0</v>
      </c>
      <c r="Q86" s="22">
        <f t="shared" ref="Q86" si="30">SUM(Q83:Q85)</f>
        <v>173426.3978421537</v>
      </c>
      <c r="R86" s="22">
        <f t="shared" ref="R86" si="31">SUM(R83:R85)</f>
        <v>166936.8969624895</v>
      </c>
      <c r="S86" s="22">
        <f t="shared" ref="S86" si="32">SUM(S83:S85)</f>
        <v>166936.8969624895</v>
      </c>
      <c r="T86" s="22">
        <f t="shared" ref="T86" si="33">SUM(T83:T85)</f>
        <v>166936.8969624895</v>
      </c>
      <c r="U86" s="22">
        <f t="shared" ref="U86" si="34">SUM(U83:U85)</f>
        <v>674237.08872962219</v>
      </c>
    </row>
    <row r="87" spans="3:22" ht="12.75" customHeight="1" x14ac:dyDescent="0.2">
      <c r="F87" s="2"/>
      <c r="G87" s="69"/>
      <c r="I87" s="2"/>
      <c r="O87" s="2"/>
      <c r="P87" s="6"/>
      <c r="Q87" s="6"/>
      <c r="R87" s="6"/>
      <c r="S87" s="6"/>
      <c r="T87" s="6"/>
      <c r="U87" s="73"/>
    </row>
    <row r="88" spans="3:22" x14ac:dyDescent="0.2">
      <c r="C88" s="7" t="str">
        <f>"Total Expenditure ($ "&amp;Assumptions!$C$35&amp;")"</f>
        <v>Total Expenditure ($ June 2026)</v>
      </c>
      <c r="D88" s="7" t="s">
        <v>60</v>
      </c>
      <c r="E88" s="7"/>
      <c r="F88" s="2"/>
      <c r="G88" s="7"/>
      <c r="H88" s="10"/>
      <c r="I88" s="2"/>
      <c r="J88" s="7"/>
      <c r="K88" s="7"/>
      <c r="L88" s="7"/>
      <c r="M88" s="7"/>
      <c r="N88" s="7"/>
      <c r="O88" s="2"/>
      <c r="P88" s="8">
        <f>P82+P86</f>
        <v>0</v>
      </c>
      <c r="Q88" s="8">
        <f t="shared" ref="Q88:T88" si="35">Q82+Q86</f>
        <v>294131.11420390807</v>
      </c>
      <c r="R88" s="8">
        <f t="shared" si="35"/>
        <v>166936.8969624895</v>
      </c>
      <c r="S88" s="8">
        <f t="shared" si="35"/>
        <v>166936.8969624895</v>
      </c>
      <c r="T88" s="8">
        <f t="shared" si="35"/>
        <v>166936.8969624895</v>
      </c>
      <c r="U88" s="74">
        <f t="shared" si="22"/>
        <v>794941.80509137653</v>
      </c>
    </row>
    <row r="89" spans="3:22" x14ac:dyDescent="0.2">
      <c r="F89" s="2"/>
      <c r="I89" s="2"/>
      <c r="O89" s="2"/>
      <c r="P89" s="46">
        <f>SUM(P10:P59)*business_case_dollars-P88</f>
        <v>0</v>
      </c>
      <c r="Q89" s="46">
        <f>SUM(Q10:Q59)*business_case_dollars-Q88</f>
        <v>0</v>
      </c>
      <c r="R89" s="46">
        <f>SUM(R10:R59)*business_case_dollars-R88</f>
        <v>0</v>
      </c>
      <c r="S89" s="46">
        <f>SUM(S10:S59)*business_case_dollars-S88</f>
        <v>0</v>
      </c>
      <c r="T89" s="46">
        <f>SUM(T10:T59)*business_case_dollars-T88</f>
        <v>0</v>
      </c>
      <c r="U89" s="46">
        <f>SUM(P10:T59)*business_case_dollars-U88</f>
        <v>0</v>
      </c>
      <c r="V89" s="46">
        <f>SUM(P89:U89)</f>
        <v>0</v>
      </c>
    </row>
    <row r="90" spans="3:22" x14ac:dyDescent="0.2">
      <c r="C90" s="55" t="str">
        <f>"NPV ($ "&amp;Assumptions!$C$35&amp;")"</f>
        <v>NPV ($ June 2026)</v>
      </c>
      <c r="D90" s="56">
        <f>NPV(Real_Discount_rate,P88:T88)</f>
        <v>711174.30811733368</v>
      </c>
      <c r="F90" s="2"/>
      <c r="I90" s="2"/>
      <c r="O90" s="2"/>
      <c r="P90" s="52"/>
      <c r="Q90" s="52"/>
      <c r="R90" s="52"/>
      <c r="S90" s="52"/>
      <c r="T90" s="52"/>
    </row>
  </sheetData>
  <conditionalFormatting sqref="G10:G59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73:U73">
    <cfRule type="expression" dxfId="17" priority="1">
      <formula>ABS(P73)&gt;0.001</formula>
    </cfRule>
  </conditionalFormatting>
  <conditionalFormatting sqref="P89:U89">
    <cfRule type="expression" dxfId="16" priority="2">
      <formula>ABS(P89)&gt;0.001</formula>
    </cfRule>
  </conditionalFormatting>
  <conditionalFormatting sqref="V73">
    <cfRule type="expression" dxfId="15" priority="14">
      <formula>ABS(V73)&gt;0.001</formula>
    </cfRule>
  </conditionalFormatting>
  <conditionalFormatting sqref="V89">
    <cfRule type="expression" dxfId="14" priority="4">
      <formula>ABS(V89)&gt;0.001</formula>
    </cfRule>
  </conditionalFormatting>
  <dataValidations count="2">
    <dataValidation type="list" allowBlank="1" showInputMessage="1" showErrorMessage="1" sqref="E10:E59" xr:uid="{B0E8B852-301B-4563-9163-FFDB1711704F}">
      <formula1>"Labour, Materials, Contracts"</formula1>
    </dataValidation>
    <dataValidation type="list" allowBlank="1" showInputMessage="1" showErrorMessage="1" sqref="D10:D59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6 Q66:U66 P82:U8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91"/>
  <sheetViews>
    <sheetView showGridLines="0" zoomScale="90" zoomScaleNormal="90" workbookViewId="0">
      <pane ySplit="9" topLeftCell="A10" activePane="bottomLeft" state="frozen"/>
      <selection activeCell="Q1" sqref="Q1:T3"/>
      <selection pane="bottomLeft" activeCell="Q1" sqref="Q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3"/>
      <c r="R3" s="13"/>
      <c r="S3" s="13"/>
      <c r="T3" s="13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43</v>
      </c>
      <c r="D7" s="66" t="s">
        <v>44</v>
      </c>
      <c r="E7" s="136" t="s">
        <v>45</v>
      </c>
      <c r="F7" s="16"/>
      <c r="G7" s="109" t="s">
        <v>11</v>
      </c>
      <c r="H7" s="19" t="s">
        <v>46</v>
      </c>
      <c r="J7" s="19" t="s">
        <v>47</v>
      </c>
      <c r="K7" s="20"/>
      <c r="L7" s="20"/>
      <c r="M7" s="20"/>
      <c r="N7" s="20"/>
      <c r="P7" s="19" t="s">
        <v>48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49</v>
      </c>
      <c r="E8" s="137"/>
      <c r="F8" s="16"/>
      <c r="G8" s="110" t="s">
        <v>50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112" t="s">
        <v>63</v>
      </c>
      <c r="D10" s="83" t="s">
        <v>49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300000</v>
      </c>
      <c r="L10" s="84">
        <v>300000</v>
      </c>
      <c r="M10" s="84">
        <v>300000</v>
      </c>
      <c r="N10" s="84">
        <v>300000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300000</v>
      </c>
      <c r="R10" s="5">
        <f t="shared" ref="R10:R41" si="2">IF($E10="Labour",$G10*L10,L10)</f>
        <v>300000</v>
      </c>
      <c r="S10" s="5">
        <f t="shared" ref="S10:S41" si="3">IF($E10="Labour",$G10*M10,M10)</f>
        <v>300000</v>
      </c>
      <c r="T10" s="5">
        <f t="shared" ref="T10:T41" si="4">IF($E10="Labour",$G10*N10,N10)</f>
        <v>300000</v>
      </c>
    </row>
    <row r="11" spans="1:25" ht="12.75" customHeight="1" x14ac:dyDescent="0.2">
      <c r="A11" s="4"/>
      <c r="C11" s="113" t="s">
        <v>84</v>
      </c>
      <c r="D11" s="83" t="s">
        <v>49</v>
      </c>
      <c r="E11" s="81" t="s">
        <v>14</v>
      </c>
      <c r="F11" s="2"/>
      <c r="G11" s="65">
        <f>IF($E11="Labour",Assumptions!$B$14,)</f>
        <v>0</v>
      </c>
      <c r="H11" s="9" t="str">
        <f t="shared" ref="H11:H60" si="5">IF($E11="Labour","Hours","$")</f>
        <v>$</v>
      </c>
      <c r="I11" s="2"/>
      <c r="J11" s="84">
        <v>800000</v>
      </c>
      <c r="K11" s="84">
        <v>800000</v>
      </c>
      <c r="L11" s="84">
        <v>800000</v>
      </c>
      <c r="M11" s="84">
        <v>800000</v>
      </c>
      <c r="N11" s="84">
        <v>800000</v>
      </c>
      <c r="O11" s="2"/>
      <c r="P11" s="5">
        <f t="shared" si="0"/>
        <v>800000</v>
      </c>
      <c r="Q11" s="5">
        <f t="shared" si="1"/>
        <v>800000</v>
      </c>
      <c r="R11" s="5">
        <f t="shared" si="2"/>
        <v>800000</v>
      </c>
      <c r="S11" s="5">
        <f t="shared" si="3"/>
        <v>800000</v>
      </c>
      <c r="T11" s="5">
        <f t="shared" si="4"/>
        <v>800000</v>
      </c>
    </row>
    <row r="12" spans="1:25" ht="12.75" customHeight="1" x14ac:dyDescent="0.2">
      <c r="A12" s="4"/>
      <c r="C12" s="112" t="s">
        <v>64</v>
      </c>
      <c r="D12" s="83" t="s">
        <v>52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500</v>
      </c>
      <c r="K12" s="84">
        <v>500</v>
      </c>
      <c r="L12" s="84"/>
      <c r="M12" s="84"/>
      <c r="N12" s="84"/>
      <c r="O12" s="2"/>
      <c r="P12" s="5">
        <f t="shared" si="0"/>
        <v>72888.70447918112</v>
      </c>
      <c r="Q12" s="5">
        <f t="shared" si="1"/>
        <v>72888.70447918112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113" t="s">
        <v>65</v>
      </c>
      <c r="D13" s="83" t="s">
        <v>52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>
        <v>2000</v>
      </c>
      <c r="K13" s="84">
        <v>5000</v>
      </c>
      <c r="L13" s="84"/>
      <c r="M13" s="84"/>
      <c r="N13" s="84"/>
      <c r="O13" s="2"/>
      <c r="P13" s="5">
        <f t="shared" si="0"/>
        <v>291554.81791672448</v>
      </c>
      <c r="Q13" s="5">
        <f t="shared" si="1"/>
        <v>728887.04479181115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66</v>
      </c>
      <c r="D14" s="83" t="s">
        <v>52</v>
      </c>
      <c r="E14" s="81" t="s">
        <v>11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5000</v>
      </c>
      <c r="K14" s="84">
        <v>5000</v>
      </c>
      <c r="L14" s="84"/>
      <c r="M14" s="84"/>
      <c r="N14" s="84"/>
      <c r="O14" s="2"/>
      <c r="P14" s="5">
        <f t="shared" si="0"/>
        <v>728887.04479181115</v>
      </c>
      <c r="Q14" s="5">
        <f t="shared" si="1"/>
        <v>728887.04479181115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67</v>
      </c>
      <c r="D15" s="83" t="s">
        <v>52</v>
      </c>
      <c r="E15" s="81" t="s">
        <v>13</v>
      </c>
      <c r="F15" s="2"/>
      <c r="G15" s="65">
        <f>IF($E15="Labour",Assumptions!$B$14,)</f>
        <v>0</v>
      </c>
      <c r="H15" s="9" t="str">
        <f t="shared" si="5"/>
        <v>$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68</v>
      </c>
      <c r="D16" s="83" t="s">
        <v>52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>
        <v>750</v>
      </c>
      <c r="K16" s="84">
        <v>1000</v>
      </c>
      <c r="L16" s="84"/>
      <c r="M16" s="84"/>
      <c r="N16" s="84"/>
      <c r="O16" s="2"/>
      <c r="P16" s="5">
        <f t="shared" si="0"/>
        <v>109333.05671877167</v>
      </c>
      <c r="Q16" s="5">
        <f t="shared" si="1"/>
        <v>145777.40895836224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 t="s">
        <v>69</v>
      </c>
      <c r="D17" s="83" t="s">
        <v>49</v>
      </c>
      <c r="E17" s="81" t="s">
        <v>11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52</v>
      </c>
      <c r="K17" s="84">
        <v>52</v>
      </c>
      <c r="L17" s="84"/>
      <c r="M17" s="84"/>
      <c r="N17" s="84"/>
      <c r="O17" s="2"/>
      <c r="P17" s="5">
        <f t="shared" si="0"/>
        <v>7580.425265834836</v>
      </c>
      <c r="Q17" s="5">
        <f t="shared" si="1"/>
        <v>7580.425265834836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52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52</v>
      </c>
      <c r="E19" s="81" t="s">
        <v>14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52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52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52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52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52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52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52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49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49</v>
      </c>
      <c r="E28" s="81" t="s">
        <v>14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49</v>
      </c>
      <c r="E29" s="81" t="s">
        <v>14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52</v>
      </c>
      <c r="E30" s="81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52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52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52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52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52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52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52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52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52</v>
      </c>
      <c r="E39" s="81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52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52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52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2"/>
      <c r="D43" s="83" t="s">
        <v>52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52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52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52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52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52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52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52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52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52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52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52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52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52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52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52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52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2"/>
      <c r="D60" s="83" t="s">
        <v>52</v>
      </c>
      <c r="E60" s="81" t="s">
        <v>13</v>
      </c>
      <c r="G60" s="65">
        <f>IF($E60="Labour",Assumptions!$B$14,)</f>
        <v>0</v>
      </c>
      <c r="H60" s="9" t="str">
        <f t="shared" si="5"/>
        <v>$</v>
      </c>
      <c r="J60" s="84"/>
      <c r="K60" s="84"/>
      <c r="L60" s="84"/>
      <c r="M60" s="84"/>
      <c r="N60" s="84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59</v>
      </c>
      <c r="F63" s="2"/>
      <c r="I63" s="2"/>
      <c r="O63" s="2"/>
      <c r="P63" s="70" t="s">
        <v>6</v>
      </c>
      <c r="Q63" s="70" t="s">
        <v>7</v>
      </c>
      <c r="R63" s="70" t="s">
        <v>8</v>
      </c>
      <c r="S63" s="70" t="s">
        <v>9</v>
      </c>
      <c r="T63" s="70" t="s">
        <v>10</v>
      </c>
      <c r="U63" s="70" t="s">
        <v>0</v>
      </c>
      <c r="Y63"/>
    </row>
    <row r="64" spans="1:25" ht="12.75" customHeight="1" x14ac:dyDescent="0.2">
      <c r="C64" s="24" t="s">
        <v>11</v>
      </c>
      <c r="D64" s="24" t="s">
        <v>52</v>
      </c>
      <c r="E64" s="24"/>
      <c r="F64" s="2"/>
      <c r="G64" s="67"/>
      <c r="H64" s="68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1202663.6239064883</v>
      </c>
      <c r="Q64" s="25">
        <f t="shared" si="11"/>
        <v>1676440.2030211657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72">
        <f>SUM(P64:T64)</f>
        <v>2879103.826927654</v>
      </c>
    </row>
    <row r="65" spans="3:22" ht="12.75" customHeight="1" x14ac:dyDescent="0.2">
      <c r="C65" s="1" t="s">
        <v>13</v>
      </c>
      <c r="D65" s="1" t="s">
        <v>52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ref="U65:U70" si="12">SUM(P65:T65)</f>
        <v>0</v>
      </c>
    </row>
    <row r="66" spans="3:22" ht="12.75" customHeight="1" x14ac:dyDescent="0.2">
      <c r="C66" s="1" t="s">
        <v>14</v>
      </c>
      <c r="D66" s="1" t="s">
        <v>52</v>
      </c>
      <c r="F66" s="2"/>
      <c r="G66" s="69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3">
        <f t="shared" si="12"/>
        <v>0</v>
      </c>
    </row>
    <row r="67" spans="3:22" ht="12.75" customHeight="1" x14ac:dyDescent="0.2">
      <c r="C67" s="21" t="s">
        <v>15</v>
      </c>
      <c r="D67" s="21" t="s">
        <v>52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1202663.6239064883</v>
      </c>
      <c r="Q67" s="22">
        <f t="shared" ref="Q67:U67" si="13">SUM(Q64:Q66)</f>
        <v>1676440.2030211657</v>
      </c>
      <c r="R67" s="22">
        <f t="shared" si="13"/>
        <v>0</v>
      </c>
      <c r="S67" s="22">
        <f t="shared" si="13"/>
        <v>0</v>
      </c>
      <c r="T67" s="22">
        <f t="shared" si="13"/>
        <v>0</v>
      </c>
      <c r="U67" s="22">
        <f t="shared" si="13"/>
        <v>2879103.826927654</v>
      </c>
    </row>
    <row r="68" spans="3:22" ht="12.75" customHeight="1" x14ac:dyDescent="0.2">
      <c r="C68" s="1" t="s">
        <v>11</v>
      </c>
      <c r="D68" s="1" t="s">
        <v>49</v>
      </c>
      <c r="F68" s="2"/>
      <c r="G68" s="69"/>
      <c r="I68" s="2"/>
      <c r="O68" s="2"/>
      <c r="P68" s="6">
        <f t="shared" ref="P68:T70" si="14">SUMIFS(P$10:P$60,$E$10:$E$60,$C68,$D$10:$D$60,$D68)</f>
        <v>7580.425265834836</v>
      </c>
      <c r="Q68" s="6">
        <f t="shared" si="14"/>
        <v>7580.425265834836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15160.850531669672</v>
      </c>
    </row>
    <row r="69" spans="3:22" ht="12.75" customHeight="1" x14ac:dyDescent="0.2">
      <c r="C69" s="1" t="s">
        <v>13</v>
      </c>
      <c r="D69" s="1" t="s">
        <v>49</v>
      </c>
      <c r="F69" s="2"/>
      <c r="G69" s="69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3">
        <f t="shared" si="12"/>
        <v>0</v>
      </c>
    </row>
    <row r="70" spans="3:22" ht="12.75" customHeight="1" x14ac:dyDescent="0.2">
      <c r="C70" s="1" t="s">
        <v>14</v>
      </c>
      <c r="D70" s="1" t="s">
        <v>49</v>
      </c>
      <c r="F70" s="2"/>
      <c r="G70" s="69"/>
      <c r="I70" s="2"/>
      <c r="O70" s="2"/>
      <c r="P70" s="6">
        <f t="shared" si="14"/>
        <v>800000</v>
      </c>
      <c r="Q70" s="6">
        <f t="shared" si="14"/>
        <v>1100000</v>
      </c>
      <c r="R70" s="6">
        <f t="shared" si="14"/>
        <v>1100000</v>
      </c>
      <c r="S70" s="6">
        <f t="shared" si="14"/>
        <v>1100000</v>
      </c>
      <c r="T70" s="6">
        <f t="shared" si="14"/>
        <v>1100000</v>
      </c>
      <c r="U70" s="73">
        <f t="shared" si="12"/>
        <v>5200000</v>
      </c>
    </row>
    <row r="71" spans="3:22" ht="12.75" customHeight="1" x14ac:dyDescent="0.2">
      <c r="C71" s="21" t="s">
        <v>17</v>
      </c>
      <c r="D71" s="21" t="s">
        <v>49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807580.42526583478</v>
      </c>
      <c r="Q71" s="22">
        <f t="shared" ref="Q71:U71" si="15">SUM(Q68:Q70)</f>
        <v>1107580.4252658349</v>
      </c>
      <c r="R71" s="22">
        <f t="shared" si="15"/>
        <v>1100000</v>
      </c>
      <c r="S71" s="22">
        <f t="shared" si="15"/>
        <v>1100000</v>
      </c>
      <c r="T71" s="22">
        <f t="shared" si="15"/>
        <v>1100000</v>
      </c>
      <c r="U71" s="22">
        <f t="shared" si="15"/>
        <v>5215160.8505316693</v>
      </c>
    </row>
    <row r="72" spans="3:22" ht="12.75" customHeight="1" x14ac:dyDescent="0.2">
      <c r="F72" s="2"/>
      <c r="G72" s="69"/>
      <c r="I72" s="2"/>
      <c r="O72" s="2"/>
      <c r="P72" s="6"/>
      <c r="Q72" s="6"/>
      <c r="R72" s="6"/>
      <c r="S72" s="6"/>
      <c r="T72" s="6"/>
      <c r="U72" s="73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60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2010244.0491723232</v>
      </c>
      <c r="Q73" s="8">
        <f t="shared" ref="Q73:T73" si="16">Q67+Q71</f>
        <v>2784020.6282870006</v>
      </c>
      <c r="R73" s="8">
        <f t="shared" si="16"/>
        <v>1100000</v>
      </c>
      <c r="S73" s="8">
        <f t="shared" si="16"/>
        <v>1100000</v>
      </c>
      <c r="T73" s="8">
        <f t="shared" si="16"/>
        <v>1100000</v>
      </c>
      <c r="U73" s="74">
        <f t="shared" ref="U73" si="17">SUM(P73:T73)</f>
        <v>8094264.6774593238</v>
      </c>
    </row>
    <row r="74" spans="3:22" ht="12.75" customHeight="1" x14ac:dyDescent="0.2">
      <c r="C74" s="45" t="s">
        <v>61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7418071.7386033498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7" t="s">
        <v>62</v>
      </c>
      <c r="F79" s="2"/>
      <c r="I79" s="2"/>
      <c r="O79" s="2"/>
      <c r="P79" s="70" t="s">
        <v>6</v>
      </c>
      <c r="Q79" s="70" t="s">
        <v>7</v>
      </c>
      <c r="R79" s="70" t="s">
        <v>8</v>
      </c>
      <c r="S79" s="70" t="s">
        <v>9</v>
      </c>
      <c r="T79" s="70" t="s">
        <v>10</v>
      </c>
      <c r="U79" s="70" t="s">
        <v>0</v>
      </c>
    </row>
    <row r="80" spans="3:22" ht="12.75" customHeight="1" x14ac:dyDescent="0.2">
      <c r="C80" s="24" t="s">
        <v>11</v>
      </c>
      <c r="D80" s="24" t="s">
        <v>52</v>
      </c>
      <c r="E80" s="24"/>
      <c r="F80" s="2"/>
      <c r="G80" s="67"/>
      <c r="H80" s="68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1338459.5564307442</v>
      </c>
      <c r="Q80" s="25">
        <f t="shared" si="19"/>
        <v>1865731.5029034619</v>
      </c>
      <c r="R80" s="25">
        <f t="shared" si="19"/>
        <v>0</v>
      </c>
      <c r="S80" s="25">
        <f t="shared" si="19"/>
        <v>0</v>
      </c>
      <c r="T80" s="25">
        <f t="shared" si="19"/>
        <v>0</v>
      </c>
      <c r="U80" s="72">
        <f>SUM(P80:T80)</f>
        <v>3204191.0593342064</v>
      </c>
    </row>
    <row r="81" spans="3:22" ht="12.75" customHeight="1" x14ac:dyDescent="0.2">
      <c r="C81" s="1" t="s">
        <v>13</v>
      </c>
      <c r="D81" s="1" t="s">
        <v>52</v>
      </c>
      <c r="F81" s="2"/>
      <c r="G81" s="69"/>
      <c r="I81" s="2"/>
      <c r="O81" s="2"/>
      <c r="P81" s="6">
        <f t="shared" si="19"/>
        <v>0</v>
      </c>
      <c r="Q81" s="6">
        <f t="shared" si="19"/>
        <v>0</v>
      </c>
      <c r="R81" s="6">
        <f t="shared" si="19"/>
        <v>0</v>
      </c>
      <c r="S81" s="6">
        <f t="shared" si="19"/>
        <v>0</v>
      </c>
      <c r="T81" s="6">
        <f t="shared" si="19"/>
        <v>0</v>
      </c>
      <c r="U81" s="73">
        <f t="shared" ref="U81:U82" si="20">SUM(P81:T81)</f>
        <v>0</v>
      </c>
    </row>
    <row r="82" spans="3:22" ht="12.75" customHeight="1" x14ac:dyDescent="0.2">
      <c r="C82" s="1" t="s">
        <v>14</v>
      </c>
      <c r="D82" s="1" t="s">
        <v>52</v>
      </c>
      <c r="F82" s="2"/>
      <c r="G82" s="69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3">
        <f t="shared" si="20"/>
        <v>0</v>
      </c>
    </row>
    <row r="83" spans="3:22" ht="12.75" customHeight="1" x14ac:dyDescent="0.2">
      <c r="C83" s="21" t="s">
        <v>15</v>
      </c>
      <c r="D83" s="21" t="s">
        <v>52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1338459.5564307442</v>
      </c>
      <c r="Q83" s="22">
        <f t="shared" ref="Q83:U83" si="21">SUM(Q80:Q82)</f>
        <v>1865731.5029034619</v>
      </c>
      <c r="R83" s="22">
        <f t="shared" si="21"/>
        <v>0</v>
      </c>
      <c r="S83" s="22">
        <f t="shared" si="21"/>
        <v>0</v>
      </c>
      <c r="T83" s="22">
        <f t="shared" si="21"/>
        <v>0</v>
      </c>
      <c r="U83" s="22">
        <f t="shared" si="21"/>
        <v>3204191.0593342064</v>
      </c>
    </row>
    <row r="84" spans="3:22" ht="12.75" customHeight="1" x14ac:dyDescent="0.2">
      <c r="C84" s="1" t="s">
        <v>11</v>
      </c>
      <c r="D84" s="1" t="s">
        <v>49</v>
      </c>
      <c r="F84" s="2"/>
      <c r="G84" s="69"/>
      <c r="I84" s="2"/>
      <c r="O84" s="2"/>
      <c r="P84" s="25">
        <f t="shared" ref="P84:T86" si="22">P68*business_case_dollars</f>
        <v>8436.3511435634809</v>
      </c>
      <c r="Q84" s="25">
        <f t="shared" si="22"/>
        <v>8436.3511435634809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2">
        <f>SUM(P84:T84)</f>
        <v>16872.702287126962</v>
      </c>
    </row>
    <row r="85" spans="3:22" ht="12.75" customHeight="1" x14ac:dyDescent="0.2">
      <c r="C85" s="1" t="s">
        <v>13</v>
      </c>
      <c r="D85" s="1" t="s">
        <v>49</v>
      </c>
      <c r="F85" s="2"/>
      <c r="G85" s="69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3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49</v>
      </c>
      <c r="F86" s="2"/>
      <c r="G86" s="69"/>
      <c r="I86" s="2"/>
      <c r="O86" s="2"/>
      <c r="P86" s="6">
        <f t="shared" si="22"/>
        <v>890330.11713327724</v>
      </c>
      <c r="Q86" s="6">
        <f t="shared" si="22"/>
        <v>1224203.9110582562</v>
      </c>
      <c r="R86" s="6">
        <f t="shared" si="22"/>
        <v>1224203.9110582562</v>
      </c>
      <c r="S86" s="6">
        <f t="shared" si="22"/>
        <v>1224203.9110582562</v>
      </c>
      <c r="T86" s="6">
        <f t="shared" si="22"/>
        <v>1224203.9110582562</v>
      </c>
      <c r="U86" s="73">
        <f t="shared" si="23"/>
        <v>5787145.7613663021</v>
      </c>
    </row>
    <row r="87" spans="3:22" ht="12.75" customHeight="1" x14ac:dyDescent="0.2">
      <c r="C87" s="21" t="s">
        <v>17</v>
      </c>
      <c r="D87" s="21" t="s">
        <v>49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898766.46827684075</v>
      </c>
      <c r="Q87" s="22">
        <f t="shared" ref="Q87:U87" si="24">SUM(Q84:Q86)</f>
        <v>1232640.2622018196</v>
      </c>
      <c r="R87" s="22">
        <f t="shared" si="24"/>
        <v>1224203.9110582562</v>
      </c>
      <c r="S87" s="22">
        <f t="shared" si="24"/>
        <v>1224203.9110582562</v>
      </c>
      <c r="T87" s="22">
        <f t="shared" si="24"/>
        <v>1224203.9110582562</v>
      </c>
      <c r="U87" s="22">
        <f t="shared" si="24"/>
        <v>5804018.4636534294</v>
      </c>
    </row>
    <row r="88" spans="3:22" ht="12.75" customHeight="1" x14ac:dyDescent="0.2">
      <c r="F88" s="2"/>
      <c r="G88" s="69"/>
      <c r="I88" s="2"/>
      <c r="O88" s="2"/>
      <c r="P88" s="6"/>
      <c r="Q88" s="6"/>
      <c r="R88" s="6"/>
      <c r="S88" s="6"/>
      <c r="T88" s="6"/>
      <c r="U88" s="73"/>
    </row>
    <row r="89" spans="3:22" x14ac:dyDescent="0.2">
      <c r="C89" s="7" t="str">
        <f>"Total Expenditure ($ "&amp;Assumptions!$C$35&amp;")"</f>
        <v>Total Expenditure ($ June 2026)</v>
      </c>
      <c r="D89" s="7" t="s">
        <v>60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2237226.0247075851</v>
      </c>
      <c r="Q89" s="8">
        <f t="shared" ref="Q89:T89" si="25">Q83+Q87</f>
        <v>3098371.7651052815</v>
      </c>
      <c r="R89" s="8">
        <f t="shared" si="25"/>
        <v>1224203.9110582562</v>
      </c>
      <c r="S89" s="8">
        <f t="shared" si="25"/>
        <v>1224203.9110582562</v>
      </c>
      <c r="T89" s="8">
        <f t="shared" si="25"/>
        <v>1224203.9110582562</v>
      </c>
      <c r="U89" s="74">
        <f t="shared" ref="U89" si="26">SUM(P89:T89)</f>
        <v>9008209.5229876358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8255665.849917219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74:U74">
    <cfRule type="expression" dxfId="10" priority="1">
      <formula>ABS(P74)&gt;0.001</formula>
    </cfRule>
  </conditionalFormatting>
  <conditionalFormatting sqref="P90:U90">
    <cfRule type="expression" dxfId="9" priority="2">
      <formula>ABS(P90)&gt;0.001</formula>
    </cfRule>
  </conditionalFormatting>
  <conditionalFormatting sqref="V74">
    <cfRule type="expression" dxfId="8" priority="12">
      <formula>ABS(V74)&gt;0.001</formula>
    </cfRule>
  </conditionalFormatting>
  <conditionalFormatting sqref="V90">
    <cfRule type="expression" dxfId="7" priority="3">
      <formula>ABS(V90)&gt;0.001</formula>
    </cfRule>
  </conditionalFormatting>
  <dataValidations count="2">
    <dataValidation type="list" allowBlank="1" showInputMessage="1" showErrorMessage="1" sqref="E10:E60" xr:uid="{B30C51E7-6CCB-4165-857D-6C68F6D5B597}">
      <formula1>"Labour, Materials, Contracts"</formula1>
    </dataValidation>
    <dataValidation type="list" allowBlank="1" showInputMessage="1" showErrorMessage="1" sqref="D10:D60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91"/>
  <sheetViews>
    <sheetView showGridLines="0" zoomScale="90" zoomScaleNormal="90" workbookViewId="0">
      <pane ySplit="9" topLeftCell="A10" activePane="bottomLeft" state="frozen"/>
      <selection activeCell="I5" sqref="I5:O5"/>
      <selection pane="bottomLeft" activeCell="Q1" sqref="Q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3"/>
      <c r="R3" s="13"/>
      <c r="S3" s="13"/>
      <c r="T3" s="13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43</v>
      </c>
      <c r="D7" s="66" t="s">
        <v>44</v>
      </c>
      <c r="E7" s="136" t="s">
        <v>45</v>
      </c>
      <c r="F7" s="16"/>
      <c r="G7" s="109" t="s">
        <v>11</v>
      </c>
      <c r="H7" s="19" t="s">
        <v>46</v>
      </c>
      <c r="J7" s="19" t="s">
        <v>47</v>
      </c>
      <c r="K7" s="20"/>
      <c r="L7" s="20"/>
      <c r="M7" s="20"/>
      <c r="N7" s="20"/>
      <c r="P7" s="19" t="s">
        <v>48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49</v>
      </c>
      <c r="E8" s="137"/>
      <c r="F8" s="16"/>
      <c r="G8" s="110" t="s">
        <v>50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82" t="s">
        <v>70</v>
      </c>
      <c r="D10" s="83" t="s">
        <v>49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800000</v>
      </c>
      <c r="L10" s="84">
        <v>800000</v>
      </c>
      <c r="M10" s="84">
        <v>800000</v>
      </c>
      <c r="N10" s="84">
        <v>800000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800000</v>
      </c>
      <c r="R10" s="5">
        <f t="shared" ref="R10:R41" si="2">IF($E10="Labour",$G10*L10,L10)</f>
        <v>800000</v>
      </c>
      <c r="S10" s="5">
        <f t="shared" ref="S10:S41" si="3">IF($E10="Labour",$G10*M10,M10)</f>
        <v>800000</v>
      </c>
      <c r="T10" s="5">
        <f t="shared" ref="T10:T41" si="4">IF($E10="Labour",$G10*N10,N10)</f>
        <v>800000</v>
      </c>
    </row>
    <row r="11" spans="1:25" ht="12.75" customHeight="1" x14ac:dyDescent="0.2">
      <c r="A11" s="4"/>
      <c r="C11" s="82" t="s">
        <v>84</v>
      </c>
      <c r="D11" s="83" t="s">
        <v>49</v>
      </c>
      <c r="E11" s="81" t="s">
        <v>14</v>
      </c>
      <c r="F11" s="2"/>
      <c r="G11" s="65">
        <f>IF($E11="Labour",Assumptions!$B$14,)</f>
        <v>0</v>
      </c>
      <c r="H11" s="9" t="str">
        <f t="shared" ref="H11:H60" si="5">IF($E11="Labour","Hours","$")</f>
        <v>$</v>
      </c>
      <c r="I11" s="2"/>
      <c r="J11" s="84">
        <v>800000</v>
      </c>
      <c r="K11" s="84">
        <v>800000</v>
      </c>
      <c r="L11" s="84">
        <v>800000</v>
      </c>
      <c r="M11" s="84">
        <v>800000</v>
      </c>
      <c r="N11" s="84">
        <v>800000</v>
      </c>
      <c r="O11" s="2"/>
      <c r="P11" s="5">
        <f t="shared" si="0"/>
        <v>800000</v>
      </c>
      <c r="Q11" s="5">
        <f t="shared" si="1"/>
        <v>800000</v>
      </c>
      <c r="R11" s="5">
        <f t="shared" si="2"/>
        <v>800000</v>
      </c>
      <c r="S11" s="5">
        <f t="shared" si="3"/>
        <v>800000</v>
      </c>
      <c r="T11" s="5">
        <f t="shared" si="4"/>
        <v>800000</v>
      </c>
    </row>
    <row r="12" spans="1:25" ht="12.75" customHeight="1" x14ac:dyDescent="0.2">
      <c r="A12" s="4"/>
      <c r="C12" s="82" t="s">
        <v>71</v>
      </c>
      <c r="D12" s="83" t="s">
        <v>52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700</v>
      </c>
      <c r="K12" s="84">
        <v>700</v>
      </c>
      <c r="L12" s="84"/>
      <c r="M12" s="84"/>
      <c r="N12" s="84"/>
      <c r="O12" s="2"/>
      <c r="P12" s="5">
        <f t="shared" si="0"/>
        <v>102044.18627085356</v>
      </c>
      <c r="Q12" s="5">
        <f t="shared" si="1"/>
        <v>102044.18627085356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 t="s">
        <v>72</v>
      </c>
      <c r="D13" s="83" t="s">
        <v>52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>
        <v>4000</v>
      </c>
      <c r="K13" s="84">
        <v>7000</v>
      </c>
      <c r="L13" s="84"/>
      <c r="M13" s="84"/>
      <c r="N13" s="84"/>
      <c r="O13" s="2"/>
      <c r="P13" s="5">
        <f t="shared" si="0"/>
        <v>583109.63583344896</v>
      </c>
      <c r="Q13" s="5">
        <f t="shared" si="1"/>
        <v>1020441.8627085356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73</v>
      </c>
      <c r="D14" s="83" t="s">
        <v>52</v>
      </c>
      <c r="E14" s="81" t="s">
        <v>11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7000</v>
      </c>
      <c r="K14" s="84">
        <v>7000</v>
      </c>
      <c r="L14" s="84"/>
      <c r="M14" s="84"/>
      <c r="N14" s="84"/>
      <c r="O14" s="2"/>
      <c r="P14" s="5">
        <f t="shared" si="0"/>
        <v>1020441.8627085356</v>
      </c>
      <c r="Q14" s="5">
        <f t="shared" si="1"/>
        <v>1020441.8627085356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74</v>
      </c>
      <c r="D15" s="83" t="s">
        <v>52</v>
      </c>
      <c r="E15" s="81" t="s">
        <v>13</v>
      </c>
      <c r="F15" s="2"/>
      <c r="G15" s="65">
        <f>IF($E15="Labour",Assumptions!$B$14,)</f>
        <v>0</v>
      </c>
      <c r="H15" s="9" t="str">
        <f t="shared" si="5"/>
        <v>$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85</v>
      </c>
      <c r="D16" s="83" t="s">
        <v>52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>
        <v>1000</v>
      </c>
      <c r="K16" s="84">
        <v>1200</v>
      </c>
      <c r="L16" s="84"/>
      <c r="M16" s="84"/>
      <c r="N16" s="84"/>
      <c r="O16" s="2"/>
      <c r="P16" s="5">
        <f t="shared" si="0"/>
        <v>145777.40895836224</v>
      </c>
      <c r="Q16" s="5">
        <f t="shared" si="1"/>
        <v>174932.89075003468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 t="s">
        <v>75</v>
      </c>
      <c r="D17" s="83" t="s">
        <v>52</v>
      </c>
      <c r="E17" s="81" t="s">
        <v>11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52</v>
      </c>
      <c r="K17" s="84">
        <v>52</v>
      </c>
      <c r="L17" s="84"/>
      <c r="M17" s="84"/>
      <c r="N17" s="84"/>
      <c r="O17" s="2"/>
      <c r="P17" s="5">
        <f t="shared" si="0"/>
        <v>7580.425265834836</v>
      </c>
      <c r="Q17" s="5">
        <f t="shared" si="1"/>
        <v>7580.425265834836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52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52</v>
      </c>
      <c r="E19" s="81" t="s">
        <v>14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52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52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52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52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52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52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52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49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49</v>
      </c>
      <c r="E28" s="81" t="s">
        <v>13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49</v>
      </c>
      <c r="E29" s="81" t="s">
        <v>13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49</v>
      </c>
      <c r="E30" s="81" t="s">
        <v>14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52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52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52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52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52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52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52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52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52</v>
      </c>
      <c r="E39" s="81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52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52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52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2"/>
      <c r="D43" s="83" t="s">
        <v>52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52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52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52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52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52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52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52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52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52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52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52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52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52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52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52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52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2"/>
      <c r="D60" s="83" t="s">
        <v>52</v>
      </c>
      <c r="E60" s="81" t="s">
        <v>13</v>
      </c>
      <c r="G60" s="65">
        <f>IF($E60="Labour",Assumptions!$B$14,)</f>
        <v>0</v>
      </c>
      <c r="H60" s="9" t="str">
        <f t="shared" si="5"/>
        <v>$</v>
      </c>
      <c r="J60" s="84"/>
      <c r="K60" s="84"/>
      <c r="L60" s="84"/>
      <c r="M60" s="84"/>
      <c r="N60" s="84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59</v>
      </c>
      <c r="F63" s="2"/>
      <c r="I63" s="2"/>
      <c r="O63" s="2"/>
      <c r="P63" s="70" t="s">
        <v>6</v>
      </c>
      <c r="Q63" s="70" t="s">
        <v>7</v>
      </c>
      <c r="R63" s="70" t="s">
        <v>8</v>
      </c>
      <c r="S63" s="70" t="s">
        <v>9</v>
      </c>
      <c r="T63" s="70" t="s">
        <v>10</v>
      </c>
      <c r="U63" s="70" t="s">
        <v>0</v>
      </c>
      <c r="Y63"/>
    </row>
    <row r="64" spans="1:25" ht="12.75" customHeight="1" x14ac:dyDescent="0.2">
      <c r="C64" s="24" t="s">
        <v>11</v>
      </c>
      <c r="D64" s="24" t="s">
        <v>52</v>
      </c>
      <c r="E64" s="24"/>
      <c r="F64" s="2"/>
      <c r="G64" s="67"/>
      <c r="H64" s="68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1858953.5190370353</v>
      </c>
      <c r="Q64" s="25">
        <f t="shared" si="11"/>
        <v>2325441.2277037944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72">
        <f>SUM(P64:T64)</f>
        <v>4184394.7467408297</v>
      </c>
    </row>
    <row r="65" spans="3:22" ht="12.75" customHeight="1" x14ac:dyDescent="0.2">
      <c r="C65" s="1" t="s">
        <v>13</v>
      </c>
      <c r="D65" s="1" t="s">
        <v>52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ref="U65:U70" si="12">SUM(P65:T65)</f>
        <v>0</v>
      </c>
    </row>
    <row r="66" spans="3:22" ht="12.75" customHeight="1" x14ac:dyDescent="0.2">
      <c r="C66" s="1" t="s">
        <v>14</v>
      </c>
      <c r="D66" s="1" t="s">
        <v>52</v>
      </c>
      <c r="F66" s="2"/>
      <c r="G66" s="69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3">
        <f t="shared" si="12"/>
        <v>0</v>
      </c>
    </row>
    <row r="67" spans="3:22" ht="12.75" customHeight="1" x14ac:dyDescent="0.2">
      <c r="C67" s="21" t="s">
        <v>15</v>
      </c>
      <c r="D67" s="21" t="s">
        <v>52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1858953.5190370353</v>
      </c>
      <c r="Q67" s="22">
        <f t="shared" ref="Q67:U67" si="13">SUM(Q64:Q66)</f>
        <v>2325441.2277037944</v>
      </c>
      <c r="R67" s="22">
        <f t="shared" si="13"/>
        <v>0</v>
      </c>
      <c r="S67" s="22">
        <f t="shared" si="13"/>
        <v>0</v>
      </c>
      <c r="T67" s="22">
        <f t="shared" si="13"/>
        <v>0</v>
      </c>
      <c r="U67" s="22">
        <f t="shared" si="13"/>
        <v>4184394.7467408297</v>
      </c>
    </row>
    <row r="68" spans="3:22" ht="12.75" customHeight="1" x14ac:dyDescent="0.2">
      <c r="C68" s="1" t="s">
        <v>11</v>
      </c>
      <c r="D68" s="1" t="s">
        <v>49</v>
      </c>
      <c r="F68" s="2"/>
      <c r="G68" s="69"/>
      <c r="I68" s="2"/>
      <c r="O68" s="2"/>
      <c r="P68" s="6">
        <f t="shared" ref="P68:T70" si="14">SUMIFS(P$10:P$60,$E$10:$E$60,$C68,$D$10:$D$60,$D68)</f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0</v>
      </c>
    </row>
    <row r="69" spans="3:22" ht="12.75" customHeight="1" x14ac:dyDescent="0.2">
      <c r="C69" s="1" t="s">
        <v>13</v>
      </c>
      <c r="D69" s="1" t="s">
        <v>49</v>
      </c>
      <c r="F69" s="2"/>
      <c r="G69" s="69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3">
        <f t="shared" si="12"/>
        <v>0</v>
      </c>
    </row>
    <row r="70" spans="3:22" ht="12.75" customHeight="1" x14ac:dyDescent="0.2">
      <c r="C70" s="1" t="s">
        <v>14</v>
      </c>
      <c r="D70" s="1" t="s">
        <v>49</v>
      </c>
      <c r="F70" s="2"/>
      <c r="G70" s="69"/>
      <c r="I70" s="2"/>
      <c r="O70" s="2"/>
      <c r="P70" s="6">
        <f t="shared" si="14"/>
        <v>800000</v>
      </c>
      <c r="Q70" s="6">
        <f t="shared" si="14"/>
        <v>1600000</v>
      </c>
      <c r="R70" s="6">
        <f t="shared" si="14"/>
        <v>1600000</v>
      </c>
      <c r="S70" s="6">
        <f t="shared" si="14"/>
        <v>1600000</v>
      </c>
      <c r="T70" s="6">
        <f t="shared" si="14"/>
        <v>1600000</v>
      </c>
      <c r="U70" s="73">
        <f t="shared" si="12"/>
        <v>7200000</v>
      </c>
    </row>
    <row r="71" spans="3:22" ht="12.75" customHeight="1" x14ac:dyDescent="0.2">
      <c r="C71" s="21" t="s">
        <v>17</v>
      </c>
      <c r="D71" s="21" t="s">
        <v>49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800000</v>
      </c>
      <c r="Q71" s="22">
        <f t="shared" ref="Q71:U71" si="15">SUM(Q68:Q70)</f>
        <v>1600000</v>
      </c>
      <c r="R71" s="22">
        <f t="shared" si="15"/>
        <v>1600000</v>
      </c>
      <c r="S71" s="22">
        <f t="shared" si="15"/>
        <v>1600000</v>
      </c>
      <c r="T71" s="22">
        <f t="shared" si="15"/>
        <v>1600000</v>
      </c>
      <c r="U71" s="22">
        <f t="shared" si="15"/>
        <v>7200000</v>
      </c>
    </row>
    <row r="72" spans="3:22" ht="12.75" customHeight="1" x14ac:dyDescent="0.2">
      <c r="F72" s="2"/>
      <c r="G72" s="69"/>
      <c r="I72" s="2"/>
      <c r="O72" s="2"/>
      <c r="P72" s="6"/>
      <c r="Q72" s="6"/>
      <c r="R72" s="6"/>
      <c r="S72" s="6"/>
      <c r="T72" s="6"/>
      <c r="U72" s="73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60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2658953.5190370353</v>
      </c>
      <c r="Q73" s="8">
        <f t="shared" ref="Q73:T73" si="16">Q67+Q71</f>
        <v>3925441.2277037944</v>
      </c>
      <c r="R73" s="8">
        <f t="shared" si="16"/>
        <v>1600000</v>
      </c>
      <c r="S73" s="8">
        <f t="shared" si="16"/>
        <v>1600000</v>
      </c>
      <c r="T73" s="8">
        <f t="shared" si="16"/>
        <v>1600000</v>
      </c>
      <c r="U73" s="74">
        <f t="shared" ref="U73" si="17">SUM(P73:T73)</f>
        <v>11384394.746740829</v>
      </c>
    </row>
    <row r="74" spans="3:22" ht="12.75" customHeight="1" x14ac:dyDescent="0.2">
      <c r="C74" s="45" t="s">
        <v>61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" customHeight="1" x14ac:dyDescent="0.2">
      <c r="C76" s="55" t="str">
        <f>"NPV ($ "&amp;Assumptions!$B$12&amp;")"</f>
        <v>NPV ($ June 2024)</v>
      </c>
      <c r="D76" s="56">
        <f>NPV(Real_Discount_rate,P73:T73)</f>
        <v>10418051.566542016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7" t="s">
        <v>62</v>
      </c>
      <c r="F79" s="2"/>
      <c r="I79" s="2"/>
      <c r="O79" s="2"/>
      <c r="P79" s="70" t="s">
        <v>6</v>
      </c>
      <c r="Q79" s="70" t="s">
        <v>7</v>
      </c>
      <c r="R79" s="70" t="s">
        <v>8</v>
      </c>
      <c r="S79" s="70" t="s">
        <v>9</v>
      </c>
      <c r="T79" s="70" t="s">
        <v>10</v>
      </c>
      <c r="U79" s="70" t="s">
        <v>0</v>
      </c>
    </row>
    <row r="80" spans="3:22" ht="12.75" customHeight="1" x14ac:dyDescent="0.2">
      <c r="C80" s="24" t="s">
        <v>11</v>
      </c>
      <c r="D80" s="24" t="s">
        <v>52</v>
      </c>
      <c r="E80" s="24"/>
      <c r="F80" s="2"/>
      <c r="G80" s="67"/>
      <c r="H80" s="68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2068852.880436952</v>
      </c>
      <c r="Q80" s="25">
        <f t="shared" si="19"/>
        <v>2588012.9508100892</v>
      </c>
      <c r="R80" s="25">
        <f t="shared" si="19"/>
        <v>0</v>
      </c>
      <c r="S80" s="25">
        <f t="shared" si="19"/>
        <v>0</v>
      </c>
      <c r="T80" s="25">
        <f t="shared" si="19"/>
        <v>0</v>
      </c>
      <c r="U80" s="72">
        <f>SUM(P80:T80)</f>
        <v>4656865.831247041</v>
      </c>
    </row>
    <row r="81" spans="3:22" ht="12.75" customHeight="1" x14ac:dyDescent="0.2">
      <c r="C81" s="1" t="s">
        <v>13</v>
      </c>
      <c r="D81" s="1" t="s">
        <v>52</v>
      </c>
      <c r="F81" s="2"/>
      <c r="G81" s="69"/>
      <c r="I81" s="2"/>
      <c r="O81" s="2"/>
      <c r="P81" s="6">
        <f t="shared" si="19"/>
        <v>0</v>
      </c>
      <c r="Q81" s="6">
        <f t="shared" si="19"/>
        <v>0</v>
      </c>
      <c r="R81" s="6">
        <f t="shared" si="19"/>
        <v>0</v>
      </c>
      <c r="S81" s="6">
        <f t="shared" si="19"/>
        <v>0</v>
      </c>
      <c r="T81" s="6">
        <f t="shared" si="19"/>
        <v>0</v>
      </c>
      <c r="U81" s="73">
        <f t="shared" ref="U81:U82" si="20">SUM(P81:T81)</f>
        <v>0</v>
      </c>
    </row>
    <row r="82" spans="3:22" ht="12.75" customHeight="1" x14ac:dyDescent="0.2">
      <c r="C82" s="1" t="s">
        <v>14</v>
      </c>
      <c r="D82" s="1" t="s">
        <v>52</v>
      </c>
      <c r="F82" s="2"/>
      <c r="G82" s="69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3">
        <f t="shared" si="20"/>
        <v>0</v>
      </c>
    </row>
    <row r="83" spans="3:22" ht="12.75" customHeight="1" x14ac:dyDescent="0.2">
      <c r="C83" s="21" t="s">
        <v>15</v>
      </c>
      <c r="D83" s="21" t="s">
        <v>52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2068852.880436952</v>
      </c>
      <c r="Q83" s="22">
        <f t="shared" ref="Q83:U83" si="21">SUM(Q80:Q82)</f>
        <v>2588012.9508100892</v>
      </c>
      <c r="R83" s="22">
        <f t="shared" si="21"/>
        <v>0</v>
      </c>
      <c r="S83" s="22">
        <f t="shared" si="21"/>
        <v>0</v>
      </c>
      <c r="T83" s="22">
        <f t="shared" si="21"/>
        <v>0</v>
      </c>
      <c r="U83" s="22">
        <f t="shared" si="21"/>
        <v>4656865.831247041</v>
      </c>
    </row>
    <row r="84" spans="3:22" ht="12.75" customHeight="1" x14ac:dyDescent="0.2">
      <c r="C84" s="1" t="s">
        <v>11</v>
      </c>
      <c r="D84" s="1" t="s">
        <v>49</v>
      </c>
      <c r="F84" s="2"/>
      <c r="G84" s="69"/>
      <c r="I84" s="2"/>
      <c r="O84" s="2"/>
      <c r="P84" s="25">
        <f t="shared" ref="P84:T86" si="22">P68*business_case_dollars</f>
        <v>0</v>
      </c>
      <c r="Q84" s="25">
        <f t="shared" si="22"/>
        <v>0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2">
        <f>SUM(P84:T84)</f>
        <v>0</v>
      </c>
    </row>
    <row r="85" spans="3:22" ht="12.75" customHeight="1" x14ac:dyDescent="0.2">
      <c r="C85" s="1" t="s">
        <v>13</v>
      </c>
      <c r="D85" s="1" t="s">
        <v>49</v>
      </c>
      <c r="F85" s="2"/>
      <c r="G85" s="69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3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49</v>
      </c>
      <c r="F86" s="2"/>
      <c r="G86" s="69"/>
      <c r="I86" s="2"/>
      <c r="O86" s="2"/>
      <c r="P86" s="6">
        <f t="shared" si="22"/>
        <v>890330.11713327724</v>
      </c>
      <c r="Q86" s="6">
        <f t="shared" si="22"/>
        <v>1780660.2342665545</v>
      </c>
      <c r="R86" s="6">
        <f t="shared" si="22"/>
        <v>1780660.2342665545</v>
      </c>
      <c r="S86" s="6">
        <f t="shared" si="22"/>
        <v>1780660.2342665545</v>
      </c>
      <c r="T86" s="6">
        <f t="shared" si="22"/>
        <v>1780660.2342665545</v>
      </c>
      <c r="U86" s="73">
        <f t="shared" si="23"/>
        <v>8012971.0541994963</v>
      </c>
    </row>
    <row r="87" spans="3:22" ht="12.75" customHeight="1" x14ac:dyDescent="0.2">
      <c r="C87" s="21" t="s">
        <v>17</v>
      </c>
      <c r="D87" s="21" t="s">
        <v>49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890330.11713327724</v>
      </c>
      <c r="Q87" s="22">
        <f t="shared" ref="Q87:U87" si="24">SUM(Q84:Q86)</f>
        <v>1780660.2342665545</v>
      </c>
      <c r="R87" s="22">
        <f t="shared" si="24"/>
        <v>1780660.2342665545</v>
      </c>
      <c r="S87" s="22">
        <f t="shared" si="24"/>
        <v>1780660.2342665545</v>
      </c>
      <c r="T87" s="22">
        <f t="shared" si="24"/>
        <v>1780660.2342665545</v>
      </c>
      <c r="U87" s="22">
        <f t="shared" si="24"/>
        <v>8012971.0541994963</v>
      </c>
    </row>
    <row r="88" spans="3:22" ht="12.75" customHeight="1" x14ac:dyDescent="0.2">
      <c r="F88" s="2"/>
      <c r="G88" s="69"/>
      <c r="I88" s="2"/>
      <c r="O88" s="2"/>
      <c r="P88" s="6"/>
      <c r="Q88" s="6"/>
      <c r="R88" s="6"/>
      <c r="S88" s="6"/>
      <c r="T88" s="6"/>
      <c r="U88" s="73"/>
    </row>
    <row r="89" spans="3:22" x14ac:dyDescent="0.2">
      <c r="C89" s="7" t="str">
        <f>"Total Expenditure ($ "&amp;Assumptions!$C$35&amp;")"</f>
        <v>Total Expenditure ($ June 2026)</v>
      </c>
      <c r="D89" s="7" t="s">
        <v>60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2959182.9975702292</v>
      </c>
      <c r="Q89" s="8">
        <f t="shared" ref="Q89:T89" si="25">Q83+Q87</f>
        <v>4368673.1850766437</v>
      </c>
      <c r="R89" s="8">
        <f t="shared" si="25"/>
        <v>1780660.2342665545</v>
      </c>
      <c r="S89" s="8">
        <f t="shared" si="25"/>
        <v>1780660.2342665545</v>
      </c>
      <c r="T89" s="8">
        <f t="shared" si="25"/>
        <v>1780660.2342665545</v>
      </c>
      <c r="U89" s="74">
        <f t="shared" ref="U89" si="26">SUM(P89:T89)</f>
        <v>12669836.885446537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11594381.339424845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6" priority="7">
      <formula>$E10="Contracts"</formula>
    </cfRule>
    <cfRule type="expression" dxfId="5" priority="8">
      <formula>$E10="Materials"</formula>
    </cfRule>
    <cfRule type="expression" dxfId="4" priority="9">
      <formula>$E10="Labour"</formula>
    </cfRule>
  </conditionalFormatting>
  <conditionalFormatting sqref="P74:U74">
    <cfRule type="expression" dxfId="3" priority="1">
      <formula>ABS(P74)&gt;0.001</formula>
    </cfRule>
  </conditionalFormatting>
  <conditionalFormatting sqref="P90:U90">
    <cfRule type="expression" dxfId="2" priority="3">
      <formula>ABS(P90)&gt;0.001</formula>
    </cfRule>
  </conditionalFormatting>
  <conditionalFormatting sqref="V74">
    <cfRule type="expression" dxfId="1" priority="13">
      <formula>ABS(V74)&gt;0.001</formula>
    </cfRule>
  </conditionalFormatting>
  <conditionalFormatting sqref="V90">
    <cfRule type="expression" dxfId="0" priority="4">
      <formula>ABS(V90)&gt;0.001</formula>
    </cfRule>
  </conditionalFormatting>
  <dataValidations count="2">
    <dataValidation type="list" allowBlank="1" showInputMessage="1" showErrorMessage="1" sqref="E10:E60" xr:uid="{26E538AD-3FEB-49D4-AC67-0B06E2C98B23}">
      <formula1>"Labour, Materials, Contracts"</formula1>
    </dataValidation>
    <dataValidation type="list" allowBlank="1" showInputMessage="1" showErrorMessage="1" sqref="D10:D60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2025-01-09T00:47:22Z</dcterms:created>
  <dcterms:modified xsi:type="dcterms:W3CDTF">2025-01-21T03:50:14Z</dcterms:modified>
  <cp:category/>
  <cp:contentStatus/>
</cp:coreProperties>
</file>