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30319A1D-FB07-4173-BC24-181BFDA171E4}" xr6:coauthVersionLast="47" xr6:coauthVersionMax="47" xr10:uidLastSave="{00000000-0000-0000-0000-000000000000}"/>
  <bookViews>
    <workbookView xWindow="1170" yWindow="1170" windowWidth="22875" windowHeight="142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D6" i="86" a="1"/>
  <c r="D6" i="86" s="1"/>
  <c r="C5" i="86" a="1"/>
  <c r="C5" i="86" s="1"/>
  <c r="I9" i="68" l="1"/>
  <c r="H9" i="68" s="1"/>
  <c r="H9" i="75" s="1"/>
  <c r="H5" i="75" s="1"/>
  <c r="C2" i="86" a="1"/>
  <c r="C2" i="86" s="1"/>
  <c r="C25" i="62" l="1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G113" i="82"/>
  <c r="E113" i="82"/>
  <c r="D113" i="82"/>
  <c r="C113" i="82"/>
  <c r="A113" i="82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G112" i="73"/>
  <c r="E112" i="73"/>
  <c r="D112" i="73"/>
  <c r="C112" i="73"/>
  <c r="A112" i="73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7" i="68" l="1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I79" i="72"/>
  <c r="I78" i="72"/>
  <c r="I77" i="72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J79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J79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G93" i="85"/>
  <c r="G94" i="85"/>
  <c r="G92" i="85"/>
  <c r="D98" i="85"/>
  <c r="G90" i="85"/>
  <c r="F98" i="85"/>
  <c r="I75" i="33" s="1"/>
  <c r="E98" i="85"/>
  <c r="D96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K79" i="81" s="1"/>
  <c r="J73" i="72" a="1"/>
  <c r="J73" i="72" s="1"/>
  <c r="K78" i="72" s="1"/>
  <c r="J72" i="72" a="1"/>
  <c r="J72" i="72" s="1"/>
  <c r="K77" i="72" s="1"/>
  <c r="J74" i="72" a="1"/>
  <c r="J74" i="72" s="1"/>
  <c r="K79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9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L79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M79" i="72" s="1"/>
  <c r="L74" i="81" a="1"/>
  <c r="L74" i="81" s="1"/>
  <c r="M79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N79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9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O79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O79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P79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P79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Q79" i="72" s="1"/>
  <c r="P72" i="81" a="1"/>
  <c r="P72" i="81" s="1"/>
  <c r="Q77" i="81" s="1"/>
  <c r="P74" i="81" a="1"/>
  <c r="P74" i="81" s="1"/>
  <c r="Q79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R79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R79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S79" i="81" s="1"/>
  <c r="R73" i="72" a="1"/>
  <c r="R73" i="72" s="1"/>
  <c r="S78" i="72" s="1"/>
  <c r="R72" i="72" a="1"/>
  <c r="R72" i="72" s="1"/>
  <c r="S77" i="72" s="1"/>
  <c r="R74" i="72" a="1"/>
  <c r="R74" i="72" s="1"/>
  <c r="S79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T79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T79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U79" i="72" s="1"/>
  <c r="T72" i="81" a="1"/>
  <c r="T72" i="81" s="1"/>
  <c r="U77" i="81" s="1"/>
  <c r="T73" i="81" a="1"/>
  <c r="T73" i="81" s="1"/>
  <c r="U78" i="81" s="1"/>
  <c r="T74" i="81" a="1"/>
  <c r="T74" i="81" s="1"/>
  <c r="U79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V79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9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W79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W79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X79" i="72" s="1"/>
  <c r="W73" i="81" a="1"/>
  <c r="W73" i="81" s="1"/>
  <c r="X78" i="81" s="1"/>
  <c r="W72" i="81" a="1"/>
  <c r="W72" i="81" s="1"/>
  <c r="X77" i="81" s="1"/>
  <c r="W74" i="81" a="1"/>
  <c r="W74" i="81" s="1"/>
  <c r="X79" i="81" s="1"/>
  <c r="X73" i="68" a="1"/>
  <c r="X73" i="68" s="1"/>
  <c r="X72" i="68" a="1"/>
  <c r="X72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9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Y79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Z79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9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AA79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AA79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B79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B79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C79" i="72" s="1"/>
  <c r="AB72" i="72" a="1"/>
  <c r="AB72" i="72" s="1"/>
  <c r="AC77" i="72" s="1"/>
  <c r="AB73" i="72" a="1"/>
  <c r="AB73" i="72" s="1"/>
  <c r="AC78" i="72" s="1"/>
  <c r="AB74" i="81" a="1"/>
  <c r="AB74" i="81" s="1"/>
  <c r="AC79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73" l="1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E79" i="72" s="1"/>
  <c r="AC73" i="81" a="1"/>
  <c r="AC73" i="81" s="1"/>
  <c r="AD78" i="81" s="1"/>
  <c r="AC74" i="81" a="1"/>
  <c r="AC74" i="81" s="1"/>
  <c r="AD79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9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J9" i="85" s="1"/>
  <c r="AD80" i="73" l="1"/>
  <c r="AE77" i="73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E79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F79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F79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s="1"/>
  <c r="AE80" i="73" l="1"/>
  <c r="AF77" i="73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G79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9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L9" i="85" s="1"/>
  <c r="K9" i="72"/>
  <c r="K9" i="73"/>
  <c r="AF80" i="73" l="1"/>
  <c r="AG77" i="73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M9" i="85" s="1"/>
  <c r="L9" i="73"/>
  <c r="L9" i="72"/>
  <c r="AG82" i="73" l="1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N9" i="85" s="1"/>
  <c r="M9" i="73"/>
  <c r="M9" i="72"/>
  <c r="M5" i="85" l="1"/>
  <c r="AG82" i="81"/>
  <c r="AG107" i="81" s="1"/>
  <c r="M88" i="75"/>
  <c r="M97" i="75" s="1"/>
  <c r="N9" i="75"/>
  <c r="N5" i="75" s="1"/>
  <c r="N9" i="82"/>
  <c r="N9" i="81"/>
  <c r="O9" i="68"/>
  <c r="O9" i="85" s="1"/>
  <c r="N9" i="73"/>
  <c r="N9" i="72"/>
  <c r="N5" i="85" l="1"/>
  <c r="N88" i="75"/>
  <c r="N97" i="75" s="1"/>
  <c r="O9" i="75"/>
  <c r="O5" i="75" s="1"/>
  <c r="O9" i="82"/>
  <c r="O9" i="81"/>
  <c r="P9" i="68"/>
  <c r="P9" i="85" s="1"/>
  <c r="O9" i="73"/>
  <c r="O9" i="72"/>
  <c r="O5" i="85" l="1"/>
  <c r="O88" i="75"/>
  <c r="O97" i="75" s="1"/>
  <c r="P9" i="75"/>
  <c r="P5" i="75" s="1"/>
  <c r="P9" i="82"/>
  <c r="P9" i="81"/>
  <c r="Q9" i="68"/>
  <c r="Q9" i="85" s="1"/>
  <c r="P9" i="73"/>
  <c r="P9" i="72"/>
  <c r="P5" i="85" l="1"/>
  <c r="P88" i="75"/>
  <c r="P97" i="75" s="1"/>
  <c r="Q9" i="75"/>
  <c r="Q5" i="75" s="1"/>
  <c r="Q9" i="82"/>
  <c r="Q9" i="81"/>
  <c r="R9" i="68"/>
  <c r="R9" i="85" s="1"/>
  <c r="Q9" i="73"/>
  <c r="Q9" i="72"/>
  <c r="Q5" i="85" l="1"/>
  <c r="Q88" i="75"/>
  <c r="Q97" i="75" s="1"/>
  <c r="R9" i="75"/>
  <c r="R5" i="75" s="1"/>
  <c r="R9" i="82"/>
  <c r="R9" i="81"/>
  <c r="S9" i="68"/>
  <c r="S9" i="85" s="1"/>
  <c r="R9" i="72"/>
  <c r="R9" i="73"/>
  <c r="R5" i="85" l="1"/>
  <c r="R88" i="75"/>
  <c r="R97" i="75" s="1"/>
  <c r="S9" i="75"/>
  <c r="S5" i="75" s="1"/>
  <c r="S9" i="82"/>
  <c r="S9" i="81"/>
  <c r="T9" i="68"/>
  <c r="T9" i="85" s="1"/>
  <c r="S9" i="72"/>
  <c r="S9" i="73"/>
  <c r="S5" i="85" l="1"/>
  <c r="S88" i="75"/>
  <c r="S97" i="75" s="1"/>
  <c r="T9" i="75"/>
  <c r="T5" i="75" s="1"/>
  <c r="T9" i="82"/>
  <c r="T9" i="81"/>
  <c r="U9" i="68"/>
  <c r="U9" i="85" s="1"/>
  <c r="T9" i="73"/>
  <c r="T9" i="72"/>
  <c r="T5" i="85" l="1"/>
  <c r="T88" i="75"/>
  <c r="T97" i="75" s="1"/>
  <c r="U9" i="75"/>
  <c r="U5" i="75" s="1"/>
  <c r="U9" i="82"/>
  <c r="U9" i="81"/>
  <c r="V9" i="68"/>
  <c r="V9" i="85" s="1"/>
  <c r="U9" i="72"/>
  <c r="U9" i="73"/>
  <c r="U5" i="85" l="1"/>
  <c r="U88" i="75"/>
  <c r="U97" i="75" s="1"/>
  <c r="V9" i="75"/>
  <c r="V5" i="75" s="1"/>
  <c r="V9" i="82"/>
  <c r="V9" i="81"/>
  <c r="W9" i="68"/>
  <c r="W9" i="85" s="1"/>
  <c r="V9" i="73"/>
  <c r="V9" i="72"/>
  <c r="V5" i="85" l="1"/>
  <c r="V88" i="75"/>
  <c r="V97" i="75" s="1"/>
  <c r="W9" i="75"/>
  <c r="W5" i="75" s="1"/>
  <c r="W9" i="82"/>
  <c r="W9" i="81"/>
  <c r="X9" i="68"/>
  <c r="X9" i="85" s="1"/>
  <c r="W9" i="73"/>
  <c r="W9" i="72"/>
  <c r="W5" i="85" l="1"/>
  <c r="W88" i="75"/>
  <c r="W97" i="75" s="1"/>
  <c r="X9" i="75"/>
  <c r="X5" i="75" s="1"/>
  <c r="X9" i="82"/>
  <c r="X9" i="81"/>
  <c r="Y9" i="68"/>
  <c r="Y9" i="85" s="1"/>
  <c r="X9" i="73"/>
  <c r="X9" i="72"/>
  <c r="X5" i="85" l="1"/>
  <c r="X88" i="75"/>
  <c r="X97" i="75" s="1"/>
  <c r="Y9" i="75"/>
  <c r="Y5" i="75" s="1"/>
  <c r="Y9" i="82"/>
  <c r="Y9" i="81"/>
  <c r="Z9" i="68"/>
  <c r="Z9" i="85" s="1"/>
  <c r="Y9" i="73"/>
  <c r="Y9" i="72"/>
  <c r="Y5" i="85" l="1"/>
  <c r="Y88" i="75"/>
  <c r="Y97" i="75" s="1"/>
  <c r="Z9" i="75"/>
  <c r="Z5" i="75" s="1"/>
  <c r="Z9" i="82"/>
  <c r="Z9" i="81"/>
  <c r="AA9" i="68"/>
  <c r="AA9" i="85" s="1"/>
  <c r="Z9" i="72"/>
  <c r="Z9" i="73"/>
  <c r="Z5" i="85" l="1"/>
  <c r="Z88" i="75"/>
  <c r="Z97" i="75" s="1"/>
  <c r="AA9" i="75"/>
  <c r="AA5" i="75" s="1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5" i="75" s="1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75" l="1"/>
  <c r="AC5" i="85" s="1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75" l="1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75" l="1"/>
  <c r="AE5" i="85" s="1"/>
  <c r="AF9" i="82"/>
  <c r="AF9" i="81"/>
  <c r="AF9" i="75"/>
  <c r="AF9" i="72"/>
  <c r="AF9" i="73"/>
  <c r="AG9" i="68"/>
  <c r="AG9" i="85" s="1"/>
  <c r="AF5" i="75" l="1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9" i="81" l="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81"/>
  <c r="E47" i="72"/>
  <c r="E51" i="68"/>
  <c r="E52" i="72"/>
  <c r="E47" i="68"/>
  <c r="E50" i="72"/>
  <c r="E52" i="82"/>
  <c r="E48" i="73"/>
  <c r="E50" i="68"/>
  <c r="E48" i="68"/>
  <c r="E51" i="73"/>
  <c r="E51" i="82"/>
  <c r="E46" i="81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O28" i="68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AA99" i="75"/>
  <c r="O99" i="75"/>
  <c r="I99" i="75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P87" i="72"/>
  <c r="P106" i="72" s="1"/>
  <c r="P48" i="75"/>
  <c r="P50" i="75" s="1"/>
  <c r="P40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P34" i="75" l="1"/>
  <c r="P36" i="75" s="1"/>
  <c r="K48" i="75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P42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K50" i="75"/>
  <c r="K40" i="85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Q106" i="81"/>
  <c r="F66" i="75"/>
  <c r="G12" i="33" s="1"/>
  <c r="F38" i="75"/>
  <c r="G10" i="33" s="1"/>
  <c r="F51" i="75" l="1" a="1"/>
  <c r="F51" i="75" s="1"/>
  <c r="I11" i="33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95" i="85" l="1"/>
  <c r="I72" i="33" s="1"/>
  <c r="F77" i="85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J31" i="33"/>
  <c r="F30" i="33"/>
  <c r="H30" i="33"/>
  <c r="G31" i="33"/>
  <c r="H31" i="33"/>
  <c r="A91" i="75"/>
  <c r="J30" i="33"/>
  <c r="G30" i="33"/>
  <c r="F31" i="33"/>
  <c r="I30" i="33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0" i="85"/>
  <c r="H67" i="33" s="1"/>
  <c r="E92" i="85"/>
  <c r="H69" i="33" s="1"/>
  <c r="E95" i="85"/>
  <c r="H72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<sst xmlns="http://schemas.openxmlformats.org/spreadsheetml/2006/main" count="743" uniqueCount="254">
  <si>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</si>
  <si>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</si>
  <si>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</si>
  <si>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</si>
  <si>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</si>
  <si>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</si>
  <si>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</si>
  <si>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</si>
  <si>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</si>
  <si>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</si>
  <si>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</si>
  <si>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</si>
  <si>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</si>
  <si>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</si>
  <si>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</si>
  <si>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</si>
  <si>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</si>
  <si>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</si>
  <si>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</si>
  <si>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</si>
  <si>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</si>
  <si>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</si>
  <si>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</si>
  <si>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</si>
  <si>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</si>
  <si>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</si>
  <si>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</si>
  <si>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</si>
  <si>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</si>
  <si>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</si>
  <si>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</si>
  <si>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</si>
  <si>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</si>
  <si>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</si>
  <si>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</si>
  <si>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</si>
  <si>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</si>
  <si>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</si>
  <si>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</si>
  <si>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</si>
  <si>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</si>
  <si>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</si>
  <si>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</si>
  <si>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</si>
  <si>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</si>
  <si>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</si>
  <si>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</si>
  <si>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</si>
  <si>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</si>
  <si>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</si>
  <si>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</si>
  <si>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</si>
  <si>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</si>
  <si>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</si>
  <si>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</si>
  <si>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</si>
  <si>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</si>
  <si>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</si>
  <si>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</si>
  <si>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</si>
  <si>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</si>
  <si>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</si>
  <si>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</si>
  <si>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</si>
  <si>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</si>
  <si>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</si>
  <si>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</si>
  <si>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</si>
  <si>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</si>
  <si>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</si>
  <si>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</si>
  <si>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</si>
  <si>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</si>
  <si>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</si>
  <si>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</si>
  <si>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</si>
  <si>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</si>
  <si>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</si>
  <si>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</si>
  <si>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</si>
  <si>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</si>
  <si>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</si>
  <si>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</si>
  <si>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</si>
  <si>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</si>
  <si>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</si>
  <si>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</si>
  <si>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</si>
  <si>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</si>
  <si>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</si>
  <si>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</si>
  <si>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</si>
  <si>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</si>
  <si>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</si>
  <si>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</si>
  <si>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</si>
  <si>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</si>
  <si>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</si>
  <si>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</si>
  <si>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</si>
  <si>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</si>
  <si>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</si>
  <si>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</si>
  <si>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</si>
  <si>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</si>
  <si>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</si>
  <si>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</si>
  <si>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</si>
  <si>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</si>
  <si>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</si>
  <si>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</si>
  <si>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</si>
  <si>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</si>
  <si>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</si>
  <si>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</si>
  <si>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</si>
  <si>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</si>
  <si>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</si>
  <si>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</si>
  <si>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</si>
  <si>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</si>
  <si>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</si>
  <si>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</si>
  <si>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</si>
  <si>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</si>
  <si>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</si>
  <si>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</si>
  <si>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</si>
  <si>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</si>
  <si>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</si>
  <si>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</si>
  <si>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</si>
  <si>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</si>
  <si>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</si>
  <si>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</si>
  <si>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</si>
  <si>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</si>
  <si>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</si>
  <si>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</si>
  <si>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</si>
  <si>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</si>
  <si>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</si>
  <si>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</si>
  <si>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</si>
  <si>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</si>
  <si>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</si>
  <si>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</si>
  <si>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</si>
  <si>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</si>
  <si>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</si>
  <si>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</si>
  <si>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</si>
  <si>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</si>
  <si>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</si>
  <si>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</si>
  <si>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</si>
  <si>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</si>
  <si>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</si>
  <si>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</si>
  <si>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</si>
  <si>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</si>
  <si>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</si>
  <si>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</si>
  <si>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</si>
  <si>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</si>
  <si>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</si>
  <si>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</si>
  <si>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</si>
  <si>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</si>
  <si>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</si>
  <si>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</si>
  <si>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</si>
  <si>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</si>
  <si>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</si>
  <si>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</si>
  <si>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</si>
  <si>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</si>
  <si>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</si>
  <si>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</si>
  <si>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</si>
  <si>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</si>
  <si>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</si>
  <si>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</si>
  <si>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</si>
  <si>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</si>
  <si>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</si>
  <si>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</si>
  <si>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</si>
  <si>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</si>
  <si>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</si>
  <si>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</si>
  <si>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</si>
  <si>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</si>
  <si>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</si>
  <si>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</si>
  <si>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</si>
  <si>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</si>
  <si>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</si>
  <si>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</si>
  <si>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</si>
  <si>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</si>
  <si>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</si>
  <si>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</si>
  <si>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</si>
  <si>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</si>
  <si>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</si>
  <si>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</si>
  <si>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</si>
  <si>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</si>
  <si>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</si>
  <si>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</si>
  <si>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</si>
  <si>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</si>
  <si>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</si>
  <si>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</si>
  <si>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</si>
  <si>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</si>
  <si>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</si>
  <si>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</si>
  <si>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</si>
  <si>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</si>
  <si>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</si>
  <si>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</si>
  <si>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</si>
  <si>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</si>
  <si>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</si>
  <si>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</si>
  <si>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</si>
  <si>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</si>
  <si>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</si>
  <si>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</si>
  <si>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</si>
  <si>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</si>
  <si>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</si>
  <si>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</si>
  <si>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</si>
  <si>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</si>
  <si>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</si>
  <si>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</si>
  <si>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</si>
  <si>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</si>
  <si>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</si>
  <si>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</si>
  <si>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</si>
  <si>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</si>
  <si>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 xml:space="preserve"> Network average</t>
  </si>
  <si>
    <t>Network average</t>
  </si>
  <si>
    <t>Collingwood supply area</t>
  </si>
  <si>
    <t>Install 3rd Tx at B</t>
  </si>
  <si>
    <t>Permanent transfers to CW</t>
  </si>
  <si>
    <t>Permanent transfers to NR</t>
  </si>
  <si>
    <t>Install a third transformer and associated equipment at B</t>
  </si>
  <si>
    <t>Offload feeders at B to CW</t>
  </si>
  <si>
    <t>Offload feeders at B via existing network to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</si>
</sst>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2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</cellStyleXfs>
  <cellXfs count="340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185" fontId="21" fillId="0" borderId="8" xfId="22" applyNumberFormat="1" applyAlignment="1">
      <alignment horizontal="center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1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0079C1"/>
      <color rgb="FFACD0E8"/>
      <color rgb="FF00205A"/>
      <color rgb="FF66FFFF"/>
      <color rgb="FF00215B"/>
      <color rgb="FF3333FF"/>
      <color rgb="FFFFFFCC"/>
      <color rgb="FFF2F2F2"/>
      <color rgb="FFFABFA8"/>
      <color rgb="FF882B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0.34906415264817608</c:v>
                </c:pt>
                <c:pt idx="1">
                  <c:v>0.34906415264817608</c:v>
                </c:pt>
                <c:pt idx="2">
                  <c:v>0.34906415264817608</c:v>
                </c:pt>
                <c:pt idx="3">
                  <c:v>0.34906415264817608</c:v>
                </c:pt>
                <c:pt idx="4">
                  <c:v>0.34906415264817608</c:v>
                </c:pt>
                <c:pt idx="5">
                  <c:v>0.34906415264817608</c:v>
                </c:pt>
                <c:pt idx="6">
                  <c:v>0.34906415264817608</c:v>
                </c:pt>
                <c:pt idx="7">
                  <c:v>0.34906415264817608</c:v>
                </c:pt>
                <c:pt idx="8">
                  <c:v>0.34906415264817608</c:v>
                </c:pt>
                <c:pt idx="9">
                  <c:v>0.34906415264817608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0.33158709935643388</c:v>
                </c:pt>
                <c:pt idx="1">
                  <c:v>0.39497875070398747</c:v>
                </c:pt>
                <c:pt idx="2">
                  <c:v>0.52176205339909454</c:v>
                </c:pt>
                <c:pt idx="3">
                  <c:v>0.64854535609420172</c:v>
                </c:pt>
                <c:pt idx="4">
                  <c:v>0.76069981617064253</c:v>
                </c:pt>
                <c:pt idx="5">
                  <c:v>0.8874831188657496</c:v>
                </c:pt>
                <c:pt idx="6">
                  <c:v>1.0971631963999653</c:v>
                </c:pt>
                <c:pt idx="7">
                  <c:v>1.350729801790179</c:v>
                </c:pt>
                <c:pt idx="8">
                  <c:v>1.350729801790179</c:v>
                </c:pt>
                <c:pt idx="9">
                  <c:v>1.350729801790179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599826388888892E-2"/>
          <c:y val="6.9180828861061403E-2"/>
          <c:w val="0.90218472222222235"/>
          <c:h val="0.806214967203339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0.29794530633117705</c:v>
                </c:pt>
                <c:pt idx="1">
                  <c:v>0.35490543842390215</c:v>
                </c:pt>
                <c:pt idx="2">
                  <c:v>0.46882570260935219</c:v>
                </c:pt>
                <c:pt idx="3">
                  <c:v>0.58274596679480239</c:v>
                </c:pt>
                <c:pt idx="4">
                  <c:v>0.68352158511270034</c:v>
                </c:pt>
                <c:pt idx="5">
                  <c:v>0.79744184929815043</c:v>
                </c:pt>
                <c:pt idx="6">
                  <c:v>0.98584844006639483</c:v>
                </c:pt>
                <c:pt idx="7">
                  <c:v>1.2136889684372947</c:v>
                </c:pt>
                <c:pt idx="8">
                  <c:v>1.2136889684372947</c:v>
                </c:pt>
                <c:pt idx="9">
                  <c:v>1.2136889684372947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A-4641-A12C-C7FCBA65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1</xdr:row>
      <xdr:rowOff>19050</xdr:rowOff>
    </xdr:from>
    <xdr:to>
      <xdr:col>10</xdr:col>
      <xdr:colOff>253625</xdr:colOff>
      <xdr:row>2</xdr:row>
      <xdr:rowOff>157161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A374B-450D-45CD-826E-1DCA5432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0955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1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1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0" sqref="A30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6"/>
    </row>
    <row r="2" spans="1:19" ht="23.25" x14ac:dyDescent="0.35">
      <c r="A2" s="316"/>
      <c r="C2" s="317" t="str" cm="1">
        <f t="array" aca="1" ref="C2" ca="1">IF(LEFT(_xlfn.TEXTAFTER(CELL("filename"),"["),FIND(" ",_xlfn.TEXTAFTER(CELL("filename"),"["))-1)="CP","CitiPower",IF(LEFT(_xlfn.TEXTAFTER(CELL("filename"),"["),FIND(" ",_xlfn.TEXTAFTER(CELL("filename"),"["))-1)="PAL","Powercor",IF(LEFT(_xlfn.TEXTAFTER(CELL("filename"),"["),FIND(" ",_xlfn.TEXTAFTER(CELL("filename"),"["))-1)="UE", "United Energy", "Error!")))</f>
        <v>CitiPower</v>
      </c>
      <c r="D2" s="318"/>
      <c r="E2" s="318"/>
    </row>
    <row r="3" spans="1:19" ht="15.75" x14ac:dyDescent="0.25">
      <c r="A3" s="316"/>
      <c r="C3" s="319" t="s">
        <v>242</v>
      </c>
      <c r="D3" s="318"/>
      <c r="E3" s="318"/>
    </row>
    <row r="4" spans="1:19" x14ac:dyDescent="0.25">
      <c r="A4" s="316"/>
      <c r="D4" s="318"/>
      <c r="E4" s="318"/>
    </row>
    <row r="5" spans="1:19" x14ac:dyDescent="0.25">
      <c r="A5" s="316"/>
      <c r="C5" s="320" t="str" cm="1">
        <f t="array" aca="1" ref="C5" ca="1">REPLACE(LEFT(_xlfn.TEXTAFTER(CELL("filename")," - ",1),FIND(" - ",_xlfn.TEXTAFTER(CELL("filename")," - "),1)-1),1,1,UPPER(LEFT(LEFT(_xlfn.TEXTAFTER(CELL("filename")," - ",1),FIND(" - ",_xlfn.TEXTAFTER(CELL("filename")," - "),1)-1),1)))</f>
        <v>Collingwood supply area</v>
      </c>
    </row>
    <row r="6" spans="1:19" x14ac:dyDescent="0.25">
      <c r="A6" s="316"/>
      <c r="C6" s="321" t="s">
        <v>243</v>
      </c>
      <c r="D6" s="321" t="str" cm="1">
        <f t="array" aca="1" ref="D6" ca="1">LEFT(_xlfn.TEXTAFTER(CELL("filename")," MOD "),FIND(" - ",_xlfn.TEXTAFTER(CELL("filename")," MOD "),1)-1)</f>
        <v>3.03</v>
      </c>
      <c r="E6" s="321"/>
    </row>
    <row r="7" spans="1:19" x14ac:dyDescent="0.25">
      <c r="A7" s="316"/>
      <c r="F7" s="322"/>
      <c r="G7" s="322"/>
      <c r="H7" s="322"/>
      <c r="J7" s="322"/>
      <c r="K7" s="322"/>
      <c r="L7" s="322"/>
      <c r="M7" s="322"/>
      <c r="N7" s="322"/>
      <c r="O7" s="322"/>
      <c r="P7" s="322"/>
      <c r="Q7" s="322"/>
      <c r="R7" s="322"/>
      <c r="S7" s="322"/>
    </row>
    <row r="8" spans="1:19" x14ac:dyDescent="0.25">
      <c r="A8" s="316"/>
      <c r="C8" s="323">
        <v>45688</v>
      </c>
      <c r="F8" s="322"/>
      <c r="G8" s="322"/>
      <c r="H8" s="322"/>
      <c r="J8" s="322"/>
      <c r="K8" s="322"/>
      <c r="L8" s="322"/>
      <c r="M8" s="322"/>
      <c r="N8" s="322"/>
      <c r="O8" s="322"/>
      <c r="P8" s="322"/>
      <c r="Q8" s="322"/>
      <c r="R8" s="322"/>
      <c r="S8" s="322"/>
    </row>
    <row r="9" spans="1:19" x14ac:dyDescent="0.25">
      <c r="A9" s="316"/>
      <c r="C9" s="324"/>
      <c r="D9" s="324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</row>
    <row r="10" spans="1:19" x14ac:dyDescent="0.25">
      <c r="A10" s="316"/>
      <c r="C10" s="324"/>
      <c r="D10" s="324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</row>
    <row r="11" spans="1:19" x14ac:dyDescent="0.25">
      <c r="A11" s="316"/>
      <c r="C11" s="324"/>
      <c r="D11" s="324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</row>
    <row r="12" spans="1:19" x14ac:dyDescent="0.25">
      <c r="A12" s="316"/>
      <c r="C12" s="324"/>
      <c r="D12" s="324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</row>
    <row r="13" spans="1:19" x14ac:dyDescent="0.25">
      <c r="A13" s="316"/>
      <c r="C13" s="324"/>
      <c r="D13" s="324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</row>
    <row r="14" spans="1:19" x14ac:dyDescent="0.25">
      <c r="A14" s="316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</row>
    <row r="15" spans="1:19" x14ac:dyDescent="0.25">
      <c r="A15" s="316"/>
      <c r="C15" s="320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</row>
    <row r="16" spans="1:19" x14ac:dyDescent="0.25">
      <c r="A16" s="316"/>
      <c r="C16" s="320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</row>
    <row r="17" spans="1:19" x14ac:dyDescent="0.25">
      <c r="A17" s="316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</row>
    <row r="18" spans="1:19" x14ac:dyDescent="0.25">
      <c r="A18" s="316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</row>
    <row r="19" spans="1:19" x14ac:dyDescent="0.25">
      <c r="A19" s="316"/>
      <c r="C19" s="322"/>
      <c r="D19" s="322"/>
      <c r="E19" s="322"/>
      <c r="F19" s="322"/>
      <c r="G19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</row>
    <row r="20" spans="1:19" x14ac:dyDescent="0.25">
      <c r="A20" s="316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</row>
    <row r="21" spans="1:19" x14ac:dyDescent="0.25">
      <c r="A21" s="316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</row>
    <row r="22" spans="1:19" x14ac:dyDescent="0.25">
      <c r="A22" s="316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</row>
    <row r="23" spans="1:19" x14ac:dyDescent="0.25">
      <c r="A23" s="316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</row>
    <row r="24" spans="1:19" x14ac:dyDescent="0.25">
      <c r="A24" s="316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</row>
    <row r="25" spans="1:19" x14ac:dyDescent="0.25">
      <c r="A25" s="316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</row>
    <row r="26" spans="1:19" x14ac:dyDescent="0.25">
      <c r="A26" s="316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</row>
    <row r="27" spans="1:19" x14ac:dyDescent="0.25">
      <c r="A27" s="316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</row>
    <row r="28" spans="1:19" x14ac:dyDescent="0.25">
      <c r="A28" s="316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</row>
    <row r="29" spans="1:19" x14ac:dyDescent="0.25">
      <c r="A29" s="316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</row>
    <row r="30" spans="1:19" x14ac:dyDescent="0.25">
      <c r="A30" s="316"/>
      <c r="C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</row>
    <row r="31" spans="1:19" x14ac:dyDescent="0.25">
      <c r="A31" s="316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</row>
    <row r="32" spans="1:19" x14ac:dyDescent="0.25">
      <c r="A32" s="316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</row>
    <row r="33" spans="1:19" x14ac:dyDescent="0.25">
      <c r="A33" s="316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</row>
    <row r="34" spans="1:19" x14ac:dyDescent="0.25">
      <c r="A34" s="316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</row>
    <row r="35" spans="1:19" x14ac:dyDescent="0.25">
      <c r="A35" s="316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</row>
    <row r="36" spans="1:19" x14ac:dyDescent="0.25">
      <c r="A36" s="316"/>
    </row>
    <row r="37" spans="1:19" x14ac:dyDescent="0.25">
      <c r="A37" s="316"/>
    </row>
    <row r="38" spans="1:19" x14ac:dyDescent="0.25">
      <c r="A38" s="316"/>
    </row>
    <row r="39" spans="1:19" x14ac:dyDescent="0.25">
      <c r="A39" s="316"/>
    </row>
    <row r="40" spans="1:19" x14ac:dyDescent="0.25">
      <c r="A40" s="316">
        <f ca="1">_xlfn.SHEETS()</f>
        <v>12</v>
      </c>
    </row>
    <row r="41" spans="1:19" x14ac:dyDescent="0.25">
      <c r="A41" s="316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Collingwood supply area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7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5" t="s">
        <v>189</v>
      </c>
      <c r="H7" s="155" t="s">
        <v>190</v>
      </c>
      <c r="I7" s="155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8">
        <f>output_dollars</f>
        <v>46203</v>
      </c>
      <c r="H8" s="188">
        <f>output_dollars</f>
        <v>46203</v>
      </c>
      <c r="I8" s="188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0" t="str">
        <f>INDEX(Assumptions!$E$14:$E$18, MATCH(C9, Assumptions!$C$14:$C$18,0))</f>
        <v>No change to existing practices</v>
      </c>
      <c r="E9" s="331"/>
      <c r="F9" s="331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2" t="str">
        <f>INDEX(Assumptions!$E$14:$E$18, MATCH(C10, Assumptions!$C$14:$C$18,0))</f>
        <v>Install a third transformer and associated equipment at B</v>
      </c>
      <c r="E10" s="333"/>
      <c r="F10" s="333"/>
      <c r="G10" s="103">
        <f>IF(Data!$C10, "", INDEX(Consol!$F$15:$F$82, MATCH($C10&amp;G$7, Consol!$D$15:$D$82,0))/mill_conv)</f>
        <v>-4.5382464601834949</v>
      </c>
      <c r="H10" s="103">
        <f>IF(Data!$C10, "", INDEX(Consol!$F$15:$F$82, MATCH($C10&amp;H$7, Consol!$D$15:$D$82,0))/mill_conv)</f>
        <v>14.820059111462097</v>
      </c>
      <c r="I10" s="103">
        <f>IF(Data!$C10, "", INDEX(Consol!$F$15:$F$82, MATCH($C10&amp;I$7, Consol!$D$15:$D$82,0))/mill_conv)</f>
        <v>10.281812651278599</v>
      </c>
    </row>
    <row r="11" spans="1:13" s="7" customFormat="1" ht="12.75" x14ac:dyDescent="0.2">
      <c r="C11" s="91" t="str">
        <v>Option 3</v>
      </c>
      <c r="D11" s="332" t="str">
        <f>INDEX(Assumptions!$E$14:$E$18, MATCH(C11, Assumptions!$C$14:$C$18,0))</f>
        <v>Offload feeders at B to CW</v>
      </c>
      <c r="E11" s="333"/>
      <c r="F11" s="333"/>
      <c r="G11" s="103">
        <f>IF(Data!$C11, "", INDEX(Consol!$F$15:$F$82, MATCH($C11&amp;G$7, Consol!$D$15:$D$82,0))/mill_conv)</f>
        <v>-5.7481502962510334</v>
      </c>
      <c r="H11" s="103">
        <f>IF(Data!$C11, "", INDEX(Consol!$F$15:$F$82, MATCH($C11&amp;H$7, Consol!$D$15:$D$82,0))/mill_conv)</f>
        <v>14.153953231971872</v>
      </c>
      <c r="I11" s="103">
        <f>IF(Data!$C11, "", INDEX(Consol!$F$15:$F$82, MATCH($C11&amp;I$7, Consol!$D$15:$D$82,0))/mill_conv)</f>
        <v>8.4058029357208408</v>
      </c>
    </row>
    <row r="12" spans="1:13" s="7" customFormat="1" ht="12.75" x14ac:dyDescent="0.2">
      <c r="C12" s="91" t="str">
        <v>Option 4</v>
      </c>
      <c r="D12" s="332" t="str">
        <f>INDEX(Assumptions!$E$14:$E$18, MATCH(C12, Assumptions!$C$14:$C$18,0))</f>
        <v>Offload feeders at B via existing network to NR</v>
      </c>
      <c r="E12" s="333"/>
      <c r="F12" s="333"/>
      <c r="G12" s="103">
        <f>IF(Data!$C12, "", INDEX(Consol!$F$15:$F$82, MATCH($C12&amp;G$7, Consol!$D$15:$D$82,0))/mill_conv)</f>
        <v>-7.8199156890694317</v>
      </c>
      <c r="H12" s="103">
        <f>IF(Data!$C12, "", INDEX(Consol!$F$15:$F$82, MATCH($C12&amp;H$7, Consol!$D$15:$D$82,0))/mill_conv)</f>
        <v>14.153953231971872</v>
      </c>
      <c r="I12" s="103">
        <f>IF(Data!$C12, "", INDEX(Consol!$F$15:$F$82, MATCH($C12&amp;I$7, Consol!$D$15:$D$82,0))/mill_conv)</f>
        <v>6.3340375429024416</v>
      </c>
    </row>
    <row r="13" spans="1:13" s="7" customFormat="1" ht="12.75" x14ac:dyDescent="0.2">
      <c r="C13" s="91" t="str">
        <v>Option 5</v>
      </c>
      <c r="D13" s="332">
        <f>INDEX(Assumptions!$E$14:$E$18, MATCH(C13, Assumptions!$C$14:$C$18,0))</f>
        <v>0</v>
      </c>
      <c r="E13" s="333"/>
      <c r="F13" s="333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52"/>
      <c r="E14" s="252"/>
      <c r="F14" s="246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5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8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29" t="str">
        <f>INDEX($D$9:$D$13,MATCH(G18, $I$9:$I$13,0))</f>
        <v>Install a third transformer and associated equipment at B</v>
      </c>
      <c r="E18" s="329"/>
      <c r="F18" s="329"/>
      <c r="G18" s="104">
        <f>_xlfn.MAXIFS(I9:I13, IF(compliance, Data!$F$9:$F$13, Data!$C$9:$C$13),FALSE)</f>
        <v>10.281812651278599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4">
        <f>output_dollars</f>
        <v>46203</v>
      </c>
      <c r="E29" s="189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-INDEX(Consol!I$15:I$82,MATCH($C$26&amp;$C30,Consol!$D$15:$D$82,0))/mill_conv</f>
        <v>4.0937576884239162</v>
      </c>
      <c r="G30" s="105">
        <f>-INDEX(Consol!J$15:J$82,MATCH($C$26&amp;$C30,Consol!$D$15:$D$82,0))/mill_conv</f>
        <v>4.0937576884239162</v>
      </c>
      <c r="H30" s="105">
        <f>-INDEX(Consol!K$15:K$82,MATCH($C$26&amp;$C30,Consol!$D$15:$D$82,0))/mill_conv</f>
        <v>0</v>
      </c>
      <c r="I30" s="105">
        <f>-INDEX(Consol!L$15:L$82,MATCH($C$26&amp;$C30,Consol!$D$15:$D$82,0))/mill_conv</f>
        <v>0</v>
      </c>
      <c r="J30" s="105">
        <f>-INDEX(Consol!M$15:M$82,MATCH($C$26&amp;$C30,Consol!$D$15:$D$82,0))/mill_conv</f>
        <v>0</v>
      </c>
      <c r="K30" s="190"/>
      <c r="L30" s="190">
        <f>SUM(F30:J30)</f>
        <v>8.1875153768478324</v>
      </c>
    </row>
    <row r="31" spans="1:13" s="8" customFormat="1" ht="12.75" x14ac:dyDescent="0.2">
      <c r="C31" s="4" t="s">
        <v>31</v>
      </c>
      <c r="D31" s="28"/>
      <c r="E31" s="28"/>
      <c r="F31" s="105">
        <f>-INDEX(Consol!I$15:I$82,MATCH($C$26&amp;$C31,Consol!$D$15:$D$82,0))/mill_conv</f>
        <v>0</v>
      </c>
      <c r="G31" s="105">
        <f>-INDEX(Consol!J$15:J$82,MATCH($C$26&amp;$C31,Consol!$D$15:$D$82,0))/mill_conv</f>
        <v>0</v>
      </c>
      <c r="H31" s="105">
        <f>-INDEX(Consol!K$15:K$82,MATCH($C$26&amp;$C31,Consol!$D$15:$D$82,0))/mill_conv</f>
        <v>0</v>
      </c>
      <c r="I31" s="105">
        <f>-INDEX(Consol!L$15:L$82,MATCH($C$26&amp;$C31,Consol!$D$15:$D$82,0))/mill_conv</f>
        <v>0</v>
      </c>
      <c r="J31" s="105">
        <f>-INDEX(Consol!M$15:M$82,MATCH($C$26&amp;$C31,Consol!$D$15:$D$82,0))/mill_conv</f>
        <v>0</v>
      </c>
      <c r="K31" s="190"/>
      <c r="L31" s="190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8" t="s">
        <v>239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3:13" s="8" customFormat="1" ht="12.75" x14ac:dyDescent="0.2">
      <c r="C66" s="262" t="s">
        <v>220</v>
      </c>
      <c r="D66" s="189">
        <f>output_dollars</f>
        <v>46203</v>
      </c>
      <c r="E66" s="189"/>
      <c r="F66" s="263" t="str">
        <f>Sensitivity_calcs!C89</f>
        <v>Option 1 (base case)</v>
      </c>
      <c r="G66" s="263" t="str">
        <f>Sensitivity_calcs!D89</f>
        <v>Option 2</v>
      </c>
      <c r="H66" s="263" t="str">
        <f>Sensitivity_calcs!E89</f>
        <v>Option 3</v>
      </c>
      <c r="I66" s="263" t="str">
        <f>Sensitivity_calcs!F89</f>
        <v>Option 4</v>
      </c>
      <c r="J66" s="263" t="str">
        <f>Sensitivity_calcs!G89</f>
        <v>Option 5</v>
      </c>
      <c r="K66" s="267"/>
      <c r="L66" s="292" t="s">
        <v>218</v>
      </c>
      <c r="M66" s="267"/>
    </row>
    <row r="67" spans="3:13" s="8" customFormat="1" ht="12.75" x14ac:dyDescent="0.2">
      <c r="C67" s="290" t="str">
        <f>Sensitivity_calcs!B90</f>
        <v>None</v>
      </c>
      <c r="D67" s="270"/>
      <c r="E67" s="270"/>
      <c r="F67" s="291">
        <f>Sensitivity_calcs!C90</f>
        <v>0</v>
      </c>
      <c r="G67" s="291">
        <f>Sensitivity_calcs!D90</f>
        <v>10.281812651278603</v>
      </c>
      <c r="H67" s="291">
        <f>Sensitivity_calcs!E90</f>
        <v>8.4058029357208408</v>
      </c>
      <c r="I67" s="291">
        <f>Sensitivity_calcs!F90</f>
        <v>6.3340375429024398</v>
      </c>
      <c r="J67" s="291" t="str">
        <f>Sensitivity_calcs!G90</f>
        <v/>
      </c>
      <c r="K67" s="261"/>
      <c r="L67" s="293" t="str">
        <f>Sensitivity_calcs!K90</f>
        <v>Option 2</v>
      </c>
      <c r="M67" s="261"/>
    </row>
    <row r="68" spans="3:13" s="8" customFormat="1" ht="12.75" x14ac:dyDescent="0.2">
      <c r="C68" s="269" t="str">
        <f>Sensitivity_calcs!B91</f>
        <v>Capex 10% higher</v>
      </c>
      <c r="D68" s="269"/>
      <c r="E68" s="269"/>
      <c r="F68" s="283">
        <f>Sensitivity_calcs!C91</f>
        <v>0</v>
      </c>
      <c r="G68" s="278">
        <f>Sensitivity_calcs!D91</f>
        <v>9.827988005260254</v>
      </c>
      <c r="H68" s="278">
        <f>Sensitivity_calcs!E91</f>
        <v>7.8309879060957366</v>
      </c>
      <c r="I68" s="278">
        <f>Sensitivity_calcs!F91</f>
        <v>5.5520459739954964</v>
      </c>
      <c r="J68" s="278" t="str">
        <f>Sensitivity_calcs!G91</f>
        <v/>
      </c>
      <c r="K68" s="261"/>
      <c r="L68" s="286" t="str">
        <f>Sensitivity_calcs!K91</f>
        <v>Option 2</v>
      </c>
      <c r="M68" s="261"/>
    </row>
    <row r="69" spans="3:13" s="8" customFormat="1" ht="12.75" x14ac:dyDescent="0.2">
      <c r="C69" s="269" t="str">
        <f>Sensitivity_calcs!B92</f>
        <v>Capex 10% lower</v>
      </c>
      <c r="D69" s="269"/>
      <c r="E69" s="269"/>
      <c r="F69" s="284">
        <f>Sensitivity_calcs!C92</f>
        <v>0</v>
      </c>
      <c r="G69" s="279">
        <f>Sensitivity_calcs!D92</f>
        <v>10.735637297296954</v>
      </c>
      <c r="H69" s="279">
        <f>Sensitivity_calcs!E92</f>
        <v>8.9806179653459459</v>
      </c>
      <c r="I69" s="279">
        <f>Sensitivity_calcs!F92</f>
        <v>7.1160291118093832</v>
      </c>
      <c r="J69" s="279" t="str">
        <f>Sensitivity_calcs!G92</f>
        <v/>
      </c>
      <c r="K69" s="261"/>
      <c r="L69" s="286" t="str">
        <f>Sensitivity_calcs!K92</f>
        <v>Option 2</v>
      </c>
      <c r="M69" s="261"/>
    </row>
    <row r="70" spans="3:13" s="8" customFormat="1" ht="12.75" x14ac:dyDescent="0.2">
      <c r="C70" s="269" t="str">
        <f>Sensitivity_calcs!B93</f>
        <v>Total benefits 10% higher</v>
      </c>
      <c r="D70" s="269"/>
      <c r="E70" s="269"/>
      <c r="F70" s="284">
        <f>Sensitivity_calcs!C93</f>
        <v>0</v>
      </c>
      <c r="G70" s="279">
        <f>Sensitivity_calcs!D93</f>
        <v>11.763818562424813</v>
      </c>
      <c r="H70" s="279">
        <f>Sensitivity_calcs!E93</f>
        <v>9.8211982589180273</v>
      </c>
      <c r="I70" s="279">
        <f>Sensitivity_calcs!F93</f>
        <v>7.749432866099629</v>
      </c>
      <c r="J70" s="279" t="str">
        <f>Sensitivity_calcs!G93</f>
        <v/>
      </c>
      <c r="K70" s="261"/>
      <c r="L70" s="286" t="str">
        <f>Sensitivity_calcs!K93</f>
        <v>Option 2</v>
      </c>
      <c r="M70" s="261"/>
    </row>
    <row r="71" spans="3:13" s="8" customFormat="1" ht="12.75" x14ac:dyDescent="0.2">
      <c r="C71" s="269" t="str">
        <f>Sensitivity_calcs!B94</f>
        <v>Total benefits 10% lower</v>
      </c>
      <c r="D71" s="269"/>
      <c r="E71" s="269"/>
      <c r="F71" s="284">
        <f>Sensitivity_calcs!C94</f>
        <v>0</v>
      </c>
      <c r="G71" s="279">
        <f>Sensitivity_calcs!D94</f>
        <v>8.7998067401323929</v>
      </c>
      <c r="H71" s="279">
        <f>Sensitivity_calcs!E94</f>
        <v>6.9904076125236507</v>
      </c>
      <c r="I71" s="279">
        <f>Sensitivity_calcs!F94</f>
        <v>4.9186422197052524</v>
      </c>
      <c r="J71" s="279" t="str">
        <f>Sensitivity_calcs!G94</f>
        <v/>
      </c>
      <c r="K71" s="261"/>
      <c r="L71" s="286" t="str">
        <f>Sensitivity_calcs!K94</f>
        <v>Option 2</v>
      </c>
      <c r="M71" s="261"/>
    </row>
    <row r="72" spans="3:13" s="8" customFormat="1" ht="12.75" x14ac:dyDescent="0.2">
      <c r="C72" s="269" t="str">
        <f>Sensitivity_calcs!B95</f>
        <v>Capex 10% higher &amp; Total benefits 10% lower</v>
      </c>
      <c r="D72" s="269"/>
      <c r="E72" s="269"/>
      <c r="F72" s="284">
        <f>Sensitivity_calcs!C95</f>
        <v>0</v>
      </c>
      <c r="G72" s="279">
        <f>Sensitivity_calcs!D95</f>
        <v>8.3459820941140421</v>
      </c>
      <c r="H72" s="279">
        <f>Sensitivity_calcs!E95</f>
        <v>6.4155925828985483</v>
      </c>
      <c r="I72" s="279">
        <f>Sensitivity_calcs!F95</f>
        <v>4.136650650798309</v>
      </c>
      <c r="J72" s="279" t="str">
        <f>Sensitivity_calcs!G95</f>
        <v/>
      </c>
      <c r="K72" s="261"/>
      <c r="L72" s="286" t="str">
        <f>Sensitivity_calcs!K95</f>
        <v>Option 2</v>
      </c>
      <c r="M72" s="261"/>
    </row>
    <row r="73" spans="3:13" s="8" customFormat="1" ht="12.75" x14ac:dyDescent="0.2">
      <c r="C73" s="269">
        <f>Sensitivity_calcs!B96</f>
        <v>0</v>
      </c>
      <c r="D73" s="269"/>
      <c r="E73" s="269"/>
      <c r="F73" s="284" t="str">
        <f>Sensitivity_calcs!C96</f>
        <v/>
      </c>
      <c r="G73" s="279" t="str">
        <f>Sensitivity_calcs!D96</f>
        <v/>
      </c>
      <c r="H73" s="279" t="str">
        <f>Sensitivity_calcs!E96</f>
        <v/>
      </c>
      <c r="I73" s="279" t="str">
        <f>Sensitivity_calcs!F96</f>
        <v/>
      </c>
      <c r="J73" s="279" t="str">
        <f>Sensitivity_calcs!G96</f>
        <v/>
      </c>
      <c r="K73" s="261"/>
      <c r="L73" s="286" t="str">
        <f>Sensitivity_calcs!K96</f>
        <v/>
      </c>
      <c r="M73" s="261"/>
    </row>
    <row r="74" spans="3:13" s="8" customFormat="1" ht="12.75" x14ac:dyDescent="0.2">
      <c r="C74" s="269">
        <f>Sensitivity_calcs!B97</f>
        <v>0</v>
      </c>
      <c r="D74" s="264"/>
      <c r="E74" s="264"/>
      <c r="F74" s="284" t="str">
        <f>Sensitivity_calcs!C97</f>
        <v/>
      </c>
      <c r="G74" s="279" t="str">
        <f>Sensitivity_calcs!D97</f>
        <v/>
      </c>
      <c r="H74" s="279" t="str">
        <f>Sensitivity_calcs!E97</f>
        <v/>
      </c>
      <c r="I74" s="279" t="str">
        <f>Sensitivity_calcs!F97</f>
        <v/>
      </c>
      <c r="J74" s="279" t="str">
        <f>Sensitivity_calcs!G97</f>
        <v/>
      </c>
      <c r="K74" s="271">
        <f>IF(C74=0,0, INDEX($F$66:$J$66, MATCH(MAX($F74:$I74),$F74:$I74,0)))</f>
        <v>0</v>
      </c>
      <c r="L74" s="286" t="str">
        <f>Sensitivity_calcs!K97</f>
        <v/>
      </c>
    </row>
    <row r="75" spans="3:13" s="8" customFormat="1" ht="12.75" x14ac:dyDescent="0.2">
      <c r="D75" s="269">
        <f>Sensitivity_calcs!B98</f>
        <v>0</v>
      </c>
      <c r="E75" s="269"/>
      <c r="F75" s="284" t="str">
        <f>Sensitivity_calcs!C98</f>
        <v/>
      </c>
      <c r="G75" s="279" t="str">
        <f>Sensitivity_calcs!D98</f>
        <v/>
      </c>
      <c r="H75" s="279" t="str">
        <f>Sensitivity_calcs!E98</f>
        <v/>
      </c>
      <c r="I75" s="279" t="str">
        <f>Sensitivity_calcs!F98</f>
        <v/>
      </c>
      <c r="J75" s="279" t="str">
        <f>Sensitivity_calcs!G98</f>
        <v/>
      </c>
      <c r="K75" s="261"/>
      <c r="L75" s="286" t="str">
        <f>Sensitivity_calcs!K98</f>
        <v/>
      </c>
      <c r="M75" s="261"/>
    </row>
    <row r="76" spans="3:13" s="8" customFormat="1" ht="12.75" x14ac:dyDescent="0.2">
      <c r="D76" s="269">
        <f>Sensitivity_calcs!B99</f>
        <v>0</v>
      </c>
      <c r="E76" s="269"/>
      <c r="F76" s="285"/>
      <c r="G76" s="105"/>
      <c r="H76" s="105"/>
      <c r="I76" s="105"/>
      <c r="J76" s="105"/>
      <c r="K76" s="261"/>
      <c r="L76" s="261"/>
    </row>
    <row r="77" spans="3:13" s="8" customFormat="1" ht="12.75" x14ac:dyDescent="0.2">
      <c r="F77" s="268"/>
      <c r="G77" s="105"/>
      <c r="H77" s="105"/>
      <c r="I77" s="105"/>
      <c r="J77" s="105"/>
    </row>
    <row r="78" spans="3:13" s="8" customFormat="1" ht="12.75" x14ac:dyDescent="0.2">
      <c r="F78" s="268"/>
      <c r="G78" s="268"/>
      <c r="H78" s="268"/>
      <c r="I78" s="268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9"/>
      <c r="E81" s="249"/>
      <c r="F81" s="249"/>
    </row>
    <row r="82" spans="4:6" s="8" customFormat="1" ht="12.75" x14ac:dyDescent="0.2">
      <c r="D82" s="249"/>
      <c r="E82" s="249"/>
      <c r="F82" s="249"/>
    </row>
    <row r="83" spans="4:6" s="8" customFormat="1" ht="12.75" hidden="1" x14ac:dyDescent="0.2">
      <c r="D83" s="249"/>
      <c r="E83" s="249"/>
      <c r="F83" s="249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8" sqref="E8:H8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Collingwood supply area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37" t="s">
        <v>247</v>
      </c>
      <c r="F8" s="337"/>
      <c r="G8" s="337"/>
      <c r="H8" s="337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38" t="s">
        <v>58</v>
      </c>
      <c r="F14" s="338"/>
      <c r="G14" s="338"/>
      <c r="H14" s="338"/>
      <c r="I14" s="338"/>
      <c r="J14" s="338"/>
      <c r="K14" s="338"/>
      <c r="L14"/>
    </row>
    <row r="15" spans="1:16" s="1" customFormat="1" ht="12.75" customHeight="1" x14ac:dyDescent="0.2">
      <c r="C15" s="61" t="str">
        <v>Option 2</v>
      </c>
      <c r="D15" s="61"/>
      <c r="E15" s="339" t="s">
        <v>251</v>
      </c>
      <c r="F15" s="339"/>
      <c r="G15" s="339"/>
      <c r="H15" s="339"/>
      <c r="I15" s="339"/>
      <c r="J15" s="339"/>
      <c r="K15" s="339"/>
      <c r="L15"/>
    </row>
    <row r="16" spans="1:16" s="1" customFormat="1" ht="12.75" customHeight="1" x14ac:dyDescent="0.2">
      <c r="C16" s="61" t="str">
        <v>Option 3</v>
      </c>
      <c r="D16" s="61"/>
      <c r="E16" s="339" t="s">
        <v>252</v>
      </c>
      <c r="F16" s="339"/>
      <c r="G16" s="339"/>
      <c r="H16" s="339"/>
      <c r="I16" s="339"/>
      <c r="J16" s="339"/>
      <c r="K16" s="339"/>
      <c r="L16"/>
    </row>
    <row r="17" spans="1:16" s="1" customFormat="1" ht="12.75" customHeight="1" x14ac:dyDescent="0.2">
      <c r="C17" s="61" t="str">
        <v>Option 4</v>
      </c>
      <c r="D17" s="61"/>
      <c r="E17" s="339" t="s">
        <v>253</v>
      </c>
      <c r="F17" s="339"/>
      <c r="G17" s="339"/>
      <c r="H17" s="339"/>
      <c r="I17" s="339"/>
      <c r="J17" s="339"/>
      <c r="K17" s="339"/>
      <c r="L17"/>
    </row>
    <row r="18" spans="1:16" s="1" customFormat="1" ht="12.75" customHeight="1" x14ac:dyDescent="0.2">
      <c r="C18" s="61" t="str">
        <v>Option 5</v>
      </c>
      <c r="D18" s="61"/>
      <c r="E18" s="339"/>
      <c r="F18" s="339"/>
      <c r="G18" s="339"/>
      <c r="H18" s="339"/>
      <c r="I18" s="339"/>
      <c r="J18" s="339"/>
      <c r="K18" s="339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5" t="s">
        <v>223</v>
      </c>
      <c r="D20"/>
      <c r="E20" s="296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301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7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8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9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10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7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8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136</v>
      </c>
      <c r="D41" s="245"/>
      <c r="E41" s="167" t="s">
        <v>245</v>
      </c>
      <c r="F41" s="129"/>
      <c r="G41" s="315" t="s">
        <v>246</v>
      </c>
      <c r="H41" s="134">
        <v>43815.486225173103</v>
      </c>
      <c r="I41" s="244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11">
        <v>5400000</v>
      </c>
      <c r="H50" s="69">
        <v>45107</v>
      </c>
    </row>
    <row r="52" spans="3:8" x14ac:dyDescent="0.2">
      <c r="C52" s="8" t="s">
        <v>165</v>
      </c>
      <c r="G52" s="168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9">
        <f>Data!F85</f>
        <v>1</v>
      </c>
    </row>
    <row r="56" spans="3:8" x14ac:dyDescent="0.2">
      <c r="C56" s="8" t="str">
        <f>Data!B86</f>
        <v>Harm to property from bushfire</v>
      </c>
      <c r="G56" s="309">
        <f>Data!F86</f>
        <v>1</v>
      </c>
    </row>
    <row r="57" spans="3:8" x14ac:dyDescent="0.2">
      <c r="C57" s="8" t="str">
        <f>Data!B87</f>
        <v>Harm to environment</v>
      </c>
      <c r="G57" s="309">
        <f>Data!F87</f>
        <v>1</v>
      </c>
    </row>
    <row r="58" spans="3:8" x14ac:dyDescent="0.2">
      <c r="C58" s="8" t="str">
        <f>Data!B88</f>
        <v>Safety - Public trespass</v>
      </c>
      <c r="G58" s="309">
        <f>Data!F88</f>
        <v>1</v>
      </c>
    </row>
    <row r="59" spans="3:8" x14ac:dyDescent="0.2">
      <c r="C59" s="8" t="str">
        <f>Data!B89</f>
        <v>Safety - Single fatality or serious injury ^</v>
      </c>
      <c r="G59" s="309">
        <f>Data!F89</f>
        <v>3</v>
      </c>
    </row>
    <row r="60" spans="3:8" x14ac:dyDescent="0.2">
      <c r="C60" s="8" t="str">
        <f>Data!B90</f>
        <v>Safety from bushfire in HBRA</v>
      </c>
      <c r="G60" s="309">
        <f>Data!F90</f>
        <v>3</v>
      </c>
    </row>
    <row r="61" spans="3:8" x14ac:dyDescent="0.2">
      <c r="C61" s="8" t="str">
        <f>Data!B91</f>
        <v>Safety - Multiple fatality or serious injury ^</v>
      </c>
      <c r="G61" s="309">
        <f>Data!F91</f>
        <v>6</v>
      </c>
    </row>
    <row r="62" spans="3:8" x14ac:dyDescent="0.2">
      <c r="C62" s="8" t="str">
        <f>Data!B92</f>
        <v>Safety from bushfire (REFCL declared areas)</v>
      </c>
      <c r="G62" s="309">
        <f>Data!F92</f>
        <v>6</v>
      </c>
    </row>
    <row r="63" spans="3:8" x14ac:dyDescent="0.2">
      <c r="C63" s="8" t="str">
        <f>Data!B93</f>
        <v>Safety from bushfire (electric line construction areas)</v>
      </c>
      <c r="G63" s="309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60" t="s">
        <v>68</v>
      </c>
      <c r="H69" s="160" t="s">
        <v>166</v>
      </c>
      <c r="I69" s="160" t="s">
        <v>180</v>
      </c>
      <c r="J69" s="159" t="s">
        <v>184</v>
      </c>
      <c r="K69" s="160"/>
      <c r="L69" s="160"/>
      <c r="M69" s="160"/>
    </row>
    <row r="70" spans="2:16" x14ac:dyDescent="0.2">
      <c r="C70" s="8" t="s">
        <v>167</v>
      </c>
      <c r="G70" s="161">
        <f>G50*INDEX(hy_escalation, MATCH(input_dollars,hy_dates,0))/INDEX(hy_escalation, MATCH(H50,hy_dates,0))</f>
        <v>5607473.5197347086</v>
      </c>
      <c r="H70" s="166">
        <v>0</v>
      </c>
      <c r="I70" s="169">
        <v>0</v>
      </c>
      <c r="J70" s="334">
        <v>0</v>
      </c>
      <c r="K70" s="335"/>
      <c r="L70" s="335"/>
      <c r="M70" s="336"/>
    </row>
    <row r="71" spans="2:16" x14ac:dyDescent="0.2">
      <c r="C71" s="8" t="s">
        <v>168</v>
      </c>
      <c r="G71" s="161">
        <f>G52*INDEX(hy_escalation, MATCH(input_dollars,hy_dates,0))/INDEX(hy_escalation, MATCH(H52,hy_dates,0))</f>
        <v>0</v>
      </c>
      <c r="H71" s="165">
        <v>0</v>
      </c>
      <c r="I71" s="169">
        <v>0</v>
      </c>
      <c r="J71" s="334">
        <v>0</v>
      </c>
      <c r="K71" s="335"/>
      <c r="L71" s="335"/>
      <c r="M71" s="336"/>
    </row>
    <row r="72" spans="2:16" x14ac:dyDescent="0.2">
      <c r="I72" s="164"/>
      <c r="M72"/>
    </row>
    <row r="73" spans="2:16" x14ac:dyDescent="0.2">
      <c r="G73" s="170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7">
        <v>0</v>
      </c>
      <c r="H78" s="69">
        <f>input_dollars</f>
        <v>45291</v>
      </c>
    </row>
    <row r="79" spans="2:16" x14ac:dyDescent="0.2">
      <c r="C79" s="8" t="s">
        <v>170</v>
      </c>
      <c r="G79" s="157">
        <v>0</v>
      </c>
      <c r="H79" s="69">
        <f>input_dollars</f>
        <v>45291</v>
      </c>
    </row>
    <row r="81" spans="1:16" x14ac:dyDescent="0.2">
      <c r="C81" s="8" t="s">
        <v>171</v>
      </c>
      <c r="G81" s="162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2">
        <v>2.4730486797759084E-2</v>
      </c>
      <c r="L90" s="312">
        <v>2.2340740091772258E-2</v>
      </c>
      <c r="M90" s="312">
        <v>2.0196329122153123E-2</v>
      </c>
      <c r="N90" s="312">
        <v>1.806294207659629E-2</v>
      </c>
      <c r="O90" s="312">
        <v>1.5913397615084226E-2</v>
      </c>
      <c r="P90" s="312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1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1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1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2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2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2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2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2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5"/>
      <c r="C110" s="303"/>
      <c r="D110" s="59"/>
      <c r="E110" s="304"/>
      <c r="F110" s="303"/>
      <c r="G110" s="303" t="s">
        <v>17</v>
      </c>
      <c r="H110" s="303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2"/>
      <c r="G111" s="313">
        <v>0.1</v>
      </c>
      <c r="H111" s="313">
        <v>0</v>
      </c>
      <c r="I111" s="266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2"/>
      <c r="G112" s="313">
        <v>-0.1</v>
      </c>
      <c r="H112" s="313">
        <v>0</v>
      </c>
      <c r="I112" s="266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2"/>
      <c r="G113" s="314">
        <v>0</v>
      </c>
      <c r="H113" s="313">
        <v>0.1</v>
      </c>
      <c r="I113" s="266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2"/>
      <c r="G114" s="314">
        <v>0</v>
      </c>
      <c r="H114" s="313">
        <v>-0.1</v>
      </c>
      <c r="I114" s="266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72"/>
      <c r="G115" s="313">
        <v>0.1</v>
      </c>
      <c r="H115" s="313">
        <v>-0.1</v>
      </c>
      <c r="I115" s="266"/>
      <c r="J115"/>
      <c r="K115"/>
      <c r="L115"/>
      <c r="M115"/>
      <c r="N115"/>
      <c r="O115"/>
      <c r="P115"/>
    </row>
    <row r="116" spans="2:16" x14ac:dyDescent="0.2">
      <c r="E116" s="272"/>
      <c r="H116"/>
      <c r="I116"/>
      <c r="J116"/>
      <c r="K116"/>
      <c r="L116"/>
      <c r="M116"/>
      <c r="N116"/>
      <c r="O116"/>
      <c r="P116"/>
    </row>
    <row r="117" spans="2:16" x14ac:dyDescent="0.2">
      <c r="E117" s="265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conditionalFormatting sqref="G41">
    <cfRule type="expression" dxfId="15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S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Collingwood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142</v>
      </c>
      <c r="B3" s="5"/>
      <c r="C3" s="137"/>
      <c r="D3" s="94"/>
    </row>
    <row r="4" spans="1:43" x14ac:dyDescent="0.2">
      <c r="A4" s="171"/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4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3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5"/>
      <c r="B9" s="185"/>
      <c r="C9" s="185"/>
      <c r="D9" s="185"/>
      <c r="E9" s="185"/>
      <c r="F9" s="186"/>
      <c r="G9" s="185" t="s">
        <v>25</v>
      </c>
      <c r="H9" s="326">
        <f>DATE(LEFT(I9,4), 6,30)</f>
        <v>46203</v>
      </c>
      <c r="I9" s="187" t="str">
        <f>start</f>
        <v>2026-27</v>
      </c>
      <c r="J9" s="187" t="str">
        <f t="shared" ref="J9:AG9" si="1">LEFT(I9,4)+1&amp;"-"&amp;RIGHT(I9,2)+1</f>
        <v>2027-28</v>
      </c>
      <c r="K9" s="187" t="str">
        <f t="shared" si="1"/>
        <v>2028-29</v>
      </c>
      <c r="L9" s="187" t="str">
        <f t="shared" si="1"/>
        <v>2029-30</v>
      </c>
      <c r="M9" s="187" t="str">
        <f t="shared" si="1"/>
        <v>2030-31</v>
      </c>
      <c r="N9" s="187" t="str">
        <f t="shared" si="1"/>
        <v>2031-32</v>
      </c>
      <c r="O9" s="187" t="str">
        <f t="shared" si="1"/>
        <v>2032-33</v>
      </c>
      <c r="P9" s="187" t="str">
        <f t="shared" si="1"/>
        <v>2033-34</v>
      </c>
      <c r="Q9" s="187" t="str">
        <f t="shared" si="1"/>
        <v>2034-35</v>
      </c>
      <c r="R9" s="187" t="str">
        <f t="shared" si="1"/>
        <v>2035-36</v>
      </c>
      <c r="S9" s="187" t="str">
        <f t="shared" si="1"/>
        <v>2036-37</v>
      </c>
      <c r="T9" s="187" t="str">
        <f t="shared" si="1"/>
        <v>2037-38</v>
      </c>
      <c r="U9" s="187" t="str">
        <f t="shared" si="1"/>
        <v>2038-39</v>
      </c>
      <c r="V9" s="187" t="str">
        <f t="shared" si="1"/>
        <v>2039-40</v>
      </c>
      <c r="W9" s="187" t="str">
        <f t="shared" si="1"/>
        <v>2040-41</v>
      </c>
      <c r="X9" s="187" t="str">
        <f t="shared" si="1"/>
        <v>2041-42</v>
      </c>
      <c r="Y9" s="187" t="str">
        <f t="shared" si="1"/>
        <v>2042-43</v>
      </c>
      <c r="Z9" s="187" t="str">
        <f t="shared" si="1"/>
        <v>2043-44</v>
      </c>
      <c r="AA9" s="187" t="str">
        <f t="shared" si="1"/>
        <v>2044-45</v>
      </c>
      <c r="AB9" s="187" t="str">
        <f t="shared" si="1"/>
        <v>2045-46</v>
      </c>
      <c r="AC9" s="187" t="str">
        <f t="shared" si="1"/>
        <v>2046-47</v>
      </c>
      <c r="AD9" s="187" t="str">
        <f t="shared" si="1"/>
        <v>2047-48</v>
      </c>
      <c r="AE9" s="187" t="str">
        <f t="shared" si="1"/>
        <v>2048-49</v>
      </c>
      <c r="AF9" s="187" t="str">
        <f t="shared" si="1"/>
        <v>2049-50</v>
      </c>
      <c r="AG9" s="187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6.8</v>
      </c>
      <c r="J27" s="172">
        <v>8.1</v>
      </c>
      <c r="K27" s="172">
        <v>10.7</v>
      </c>
      <c r="L27" s="172">
        <v>13.3</v>
      </c>
      <c r="M27" s="172">
        <v>15.599999999999998</v>
      </c>
      <c r="N27" s="172">
        <v>18.2</v>
      </c>
      <c r="O27" s="172">
        <v>22.5</v>
      </c>
      <c r="P27" s="172">
        <v>27.699999999999996</v>
      </c>
      <c r="Q27" s="172">
        <v>27.699999999999996</v>
      </c>
      <c r="R27" s="172">
        <v>27.699999999999996</v>
      </c>
      <c r="S27" s="172">
        <v>27.699999999999996</v>
      </c>
      <c r="T27" s="172">
        <v>27.699999999999996</v>
      </c>
      <c r="U27" s="172">
        <v>27.699999999999996</v>
      </c>
      <c r="V27" s="172">
        <v>27.699999999999996</v>
      </c>
      <c r="W27" s="172">
        <v>27.699999999999996</v>
      </c>
      <c r="X27" s="172">
        <v>27.699999999999996</v>
      </c>
      <c r="Y27" s="172">
        <v>27.699999999999996</v>
      </c>
      <c r="Z27" s="172">
        <v>27.699999999999996</v>
      </c>
      <c r="AA27" s="172">
        <v>27.699999999999996</v>
      </c>
      <c r="AB27" s="172">
        <v>27.699999999999996</v>
      </c>
      <c r="AC27" s="172">
        <v>27.699999999999996</v>
      </c>
      <c r="AD27" s="172">
        <v>27.699999999999996</v>
      </c>
      <c r="AE27" s="172">
        <v>27.699999999999996</v>
      </c>
      <c r="AF27" s="172">
        <v>27.699999999999996</v>
      </c>
      <c r="AG27" s="172">
        <v>27.699999999999996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43815.486225173103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297945.30633117707</v>
      </c>
      <c r="J28" s="119">
        <f t="shared" ref="J28:AG28" si="3">J27*$E$28</f>
        <v>354905.43842390215</v>
      </c>
      <c r="K28" s="119">
        <f t="shared" si="3"/>
        <v>468825.70260935219</v>
      </c>
      <c r="L28" s="119">
        <f t="shared" si="3"/>
        <v>582745.96679480234</v>
      </c>
      <c r="M28" s="119">
        <f t="shared" si="3"/>
        <v>683521.58511270036</v>
      </c>
      <c r="N28" s="119">
        <f t="shared" si="3"/>
        <v>797441.8492981504</v>
      </c>
      <c r="O28" s="119">
        <f t="shared" si="3"/>
        <v>985848.44006639486</v>
      </c>
      <c r="P28" s="119">
        <f t="shared" si="3"/>
        <v>1213688.9684372947</v>
      </c>
      <c r="Q28" s="119">
        <f t="shared" si="3"/>
        <v>1213688.9684372947</v>
      </c>
      <c r="R28" s="119">
        <f t="shared" si="3"/>
        <v>1213688.9684372947</v>
      </c>
      <c r="S28" s="119">
        <f t="shared" si="3"/>
        <v>1213688.9684372947</v>
      </c>
      <c r="T28" s="119">
        <f t="shared" si="3"/>
        <v>1213688.9684372947</v>
      </c>
      <c r="U28" s="119">
        <f t="shared" si="3"/>
        <v>1213688.9684372947</v>
      </c>
      <c r="V28" s="119">
        <f t="shared" si="3"/>
        <v>1213688.9684372947</v>
      </c>
      <c r="W28" s="119">
        <f t="shared" si="3"/>
        <v>1213688.9684372947</v>
      </c>
      <c r="X28" s="119">
        <f t="shared" si="3"/>
        <v>1213688.9684372947</v>
      </c>
      <c r="Y28" s="119">
        <f t="shared" si="3"/>
        <v>1213688.9684372947</v>
      </c>
      <c r="Z28" s="119">
        <f t="shared" si="3"/>
        <v>1213688.9684372947</v>
      </c>
      <c r="AA28" s="119">
        <f t="shared" si="3"/>
        <v>1213688.9684372947</v>
      </c>
      <c r="AB28" s="119">
        <f t="shared" si="3"/>
        <v>1213688.9684372947</v>
      </c>
      <c r="AC28" s="119">
        <f t="shared" si="3"/>
        <v>1213688.9684372947</v>
      </c>
      <c r="AD28" s="119">
        <f t="shared" si="3"/>
        <v>1213688.9684372947</v>
      </c>
      <c r="AE28" s="119">
        <f t="shared" si="3"/>
        <v>1213688.9684372947</v>
      </c>
      <c r="AF28" s="119">
        <f t="shared" si="3"/>
        <v>1213688.9684372947</v>
      </c>
      <c r="AG28" s="119">
        <f t="shared" si="3"/>
        <v>1213688.9684372947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06">
        <f>SUM(I28:I34)</f>
        <v>297945.30633117707</v>
      </c>
      <c r="J36" s="106">
        <f t="shared" ref="J36:AB36" si="4">SUM(J28:J34)</f>
        <v>354905.43842390215</v>
      </c>
      <c r="K36" s="106">
        <f t="shared" si="4"/>
        <v>468825.70260935219</v>
      </c>
      <c r="L36" s="106">
        <f t="shared" si="4"/>
        <v>582745.96679480234</v>
      </c>
      <c r="M36" s="106">
        <f t="shared" si="4"/>
        <v>683521.58511270036</v>
      </c>
      <c r="N36" s="106">
        <f t="shared" si="4"/>
        <v>797441.8492981504</v>
      </c>
      <c r="O36" s="106">
        <f t="shared" si="4"/>
        <v>985848.44006639486</v>
      </c>
      <c r="P36" s="106">
        <f t="shared" si="4"/>
        <v>1213688.9684372947</v>
      </c>
      <c r="Q36" s="106">
        <f t="shared" si="4"/>
        <v>1213688.9684372947</v>
      </c>
      <c r="R36" s="106">
        <f t="shared" si="4"/>
        <v>1213688.9684372947</v>
      </c>
      <c r="S36" s="106">
        <f t="shared" si="4"/>
        <v>1213688.9684372947</v>
      </c>
      <c r="T36" s="106">
        <f t="shared" si="4"/>
        <v>1213688.9684372947</v>
      </c>
      <c r="U36" s="106">
        <f t="shared" si="4"/>
        <v>1213688.9684372947</v>
      </c>
      <c r="V36" s="106">
        <f t="shared" si="4"/>
        <v>1213688.9684372947</v>
      </c>
      <c r="W36" s="106">
        <f t="shared" si="4"/>
        <v>1213688.9684372947</v>
      </c>
      <c r="X36" s="106">
        <f t="shared" si="4"/>
        <v>1213688.9684372947</v>
      </c>
      <c r="Y36" s="106">
        <f t="shared" si="4"/>
        <v>1213688.9684372947</v>
      </c>
      <c r="Z36" s="106">
        <f t="shared" si="4"/>
        <v>1213688.9684372947</v>
      </c>
      <c r="AA36" s="106">
        <f t="shared" si="4"/>
        <v>1213688.9684372947</v>
      </c>
      <c r="AB36" s="106">
        <f t="shared" si="4"/>
        <v>1213688.9684372947</v>
      </c>
      <c r="AC36" s="106">
        <f>SUM(AC28:AC34)</f>
        <v>1213688.9684372947</v>
      </c>
      <c r="AD36" s="106">
        <f>SUM(AD28:AD34)</f>
        <v>1213688.9684372947</v>
      </c>
      <c r="AE36" s="106">
        <f>SUM(AE28:AE34)</f>
        <v>1213688.9684372947</v>
      </c>
      <c r="AF36" s="106">
        <f>SUM(AF28:AF34)</f>
        <v>1213688.9684372947</v>
      </c>
      <c r="AG36" s="106">
        <f>SUM(AG28:AG34)</f>
        <v>1213688.9684372947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</row>
    <row r="64" spans="1:43" x14ac:dyDescent="0.2">
      <c r="C64" s="4" t="s">
        <v>121</v>
      </c>
      <c r="G64" s="214">
        <f>input_dollars</f>
        <v>45291</v>
      </c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2">SUM(J77:J79)</f>
        <v>0</v>
      </c>
      <c r="K80" s="180">
        <f t="shared" si="12"/>
        <v>0</v>
      </c>
      <c r="L80" s="180">
        <f t="shared" si="12"/>
        <v>0</v>
      </c>
      <c r="M80" s="180">
        <f t="shared" si="12"/>
        <v>0</v>
      </c>
      <c r="N80" s="180">
        <f t="shared" si="12"/>
        <v>0</v>
      </c>
      <c r="O80" s="180">
        <f t="shared" si="12"/>
        <v>0</v>
      </c>
      <c r="P80" s="180">
        <f t="shared" si="12"/>
        <v>0</v>
      </c>
      <c r="Q80" s="180">
        <f t="shared" si="12"/>
        <v>0</v>
      </c>
      <c r="R80" s="180">
        <f t="shared" si="12"/>
        <v>0</v>
      </c>
      <c r="S80" s="180">
        <f t="shared" si="12"/>
        <v>0</v>
      </c>
      <c r="T80" s="180">
        <f t="shared" si="12"/>
        <v>0</v>
      </c>
      <c r="U80" s="180">
        <f t="shared" si="12"/>
        <v>0</v>
      </c>
      <c r="V80" s="180">
        <f t="shared" si="12"/>
        <v>0</v>
      </c>
      <c r="W80" s="180">
        <f t="shared" si="12"/>
        <v>0</v>
      </c>
      <c r="X80" s="180">
        <f t="shared" si="12"/>
        <v>0</v>
      </c>
      <c r="Y80" s="180">
        <f t="shared" si="12"/>
        <v>0</v>
      </c>
      <c r="Z80" s="180">
        <f t="shared" si="12"/>
        <v>0</v>
      </c>
      <c r="AA80" s="180">
        <f t="shared" si="12"/>
        <v>0</v>
      </c>
      <c r="AB80" s="180">
        <f t="shared" si="12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4" t="s">
        <v>188</v>
      </c>
      <c r="D87" s="182"/>
      <c r="E87" s="177"/>
      <c r="F87" s="183"/>
      <c r="G87" s="219">
        <f t="shared" si="13"/>
        <v>45291</v>
      </c>
      <c r="H87" s="183"/>
      <c r="I87" s="183">
        <f t="shared" ref="I87:AB87" si="18">SUM(I82:I86)</f>
        <v>0</v>
      </c>
      <c r="J87" s="183">
        <f t="shared" si="18"/>
        <v>0</v>
      </c>
      <c r="K87" s="183">
        <f t="shared" si="18"/>
        <v>0</v>
      </c>
      <c r="L87" s="183">
        <f t="shared" si="18"/>
        <v>0</v>
      </c>
      <c r="M87" s="183">
        <f t="shared" si="18"/>
        <v>0</v>
      </c>
      <c r="N87" s="183">
        <f t="shared" si="18"/>
        <v>0</v>
      </c>
      <c r="O87" s="183">
        <f t="shared" si="18"/>
        <v>0</v>
      </c>
      <c r="P87" s="183">
        <f t="shared" si="18"/>
        <v>0</v>
      </c>
      <c r="Q87" s="183">
        <f t="shared" si="18"/>
        <v>0</v>
      </c>
      <c r="R87" s="183">
        <f t="shared" si="18"/>
        <v>0</v>
      </c>
      <c r="S87" s="183">
        <f t="shared" si="18"/>
        <v>0</v>
      </c>
      <c r="T87" s="183">
        <f t="shared" si="18"/>
        <v>0</v>
      </c>
      <c r="U87" s="183">
        <f t="shared" si="18"/>
        <v>0</v>
      </c>
      <c r="V87" s="183">
        <f t="shared" si="18"/>
        <v>0</v>
      </c>
      <c r="W87" s="183">
        <f t="shared" si="18"/>
        <v>0</v>
      </c>
      <c r="X87" s="183">
        <f t="shared" si="18"/>
        <v>0</v>
      </c>
      <c r="Y87" s="183">
        <f t="shared" si="18"/>
        <v>0</v>
      </c>
      <c r="Z87" s="183">
        <f t="shared" si="18"/>
        <v>0</v>
      </c>
      <c r="AA87" s="183">
        <f t="shared" si="18"/>
        <v>0</v>
      </c>
      <c r="AB87" s="183">
        <f t="shared" si="18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3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3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/>
      <c r="D90" s="82"/>
      <c r="E90" s="235"/>
      <c r="F90" s="236"/>
      <c r="G90" s="23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5"/>
      <c r="D91" s="235"/>
      <c r="E91" s="235"/>
      <c r="F91" s="235"/>
      <c r="G91" s="235"/>
    </row>
    <row r="92" spans="1:33" x14ac:dyDescent="0.2">
      <c r="C92" s="235"/>
      <c r="D92" s="235"/>
      <c r="E92" s="235"/>
      <c r="F92" s="235"/>
      <c r="G92" s="235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7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E15" sqref="E15:K15"/>
      <selection pane="topRight" activeCell="E15" sqref="E15:K15"/>
      <selection pane="bottomLeft" activeCell="E15" sqref="E15:K15"/>
      <selection pane="bottomRight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Collingwood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130</v>
      </c>
      <c r="B3" s="5"/>
      <c r="C3" s="204" t="str">
        <f>INDEX(Assumptions!$E$14:$E$18, MATCH(A3,_xlfn.ANCHORARRAY( Assumptions!$C$14),0))</f>
        <v>Install a third transformer and associated equipment at B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248</v>
      </c>
      <c r="D14"/>
      <c r="E14" s="151">
        <v>50</v>
      </c>
      <c r="G14" s="211">
        <f>input_dollars</f>
        <v>45291</v>
      </c>
      <c r="H14" s="152"/>
      <c r="I14" s="32">
        <v>3678417.8</v>
      </c>
      <c r="J14" s="32">
        <v>3678417.8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/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/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11">
        <f>input_dollars</f>
        <v>45291</v>
      </c>
      <c r="H17" s="107"/>
      <c r="I17" s="106">
        <f t="shared" ref="I17:Q17" si="0">SUM(I14:I16)</f>
        <v>3678417.8</v>
      </c>
      <c r="J17" s="106">
        <f t="shared" si="0"/>
        <v>3678417.8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6.8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43815.486225173103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297945.30633117707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08">
        <f>SUM(I28:I34)</f>
        <v>297945.30633117707</v>
      </c>
      <c r="J36" s="108">
        <f t="shared" ref="J36:AG36" si="3">SUM(J28:J34)</f>
        <v>0</v>
      </c>
      <c r="K36" s="108">
        <f t="shared" si="3"/>
        <v>0</v>
      </c>
      <c r="L36" s="108">
        <f t="shared" si="3"/>
        <v>0</v>
      </c>
      <c r="M36" s="108">
        <f t="shared" si="3"/>
        <v>0</v>
      </c>
      <c r="N36" s="108">
        <f t="shared" si="3"/>
        <v>0</v>
      </c>
      <c r="O36" s="108">
        <f t="shared" si="3"/>
        <v>0</v>
      </c>
      <c r="P36" s="108">
        <f t="shared" si="3"/>
        <v>0</v>
      </c>
      <c r="Q36" s="108">
        <f t="shared" si="3"/>
        <v>0</v>
      </c>
      <c r="R36" s="108">
        <f t="shared" si="3"/>
        <v>0</v>
      </c>
      <c r="S36" s="108">
        <f t="shared" si="3"/>
        <v>0</v>
      </c>
      <c r="T36" s="108">
        <f t="shared" si="3"/>
        <v>0</v>
      </c>
      <c r="U36" s="108">
        <f t="shared" si="3"/>
        <v>0</v>
      </c>
      <c r="V36" s="108">
        <f t="shared" si="3"/>
        <v>0</v>
      </c>
      <c r="W36" s="108">
        <f t="shared" si="3"/>
        <v>0</v>
      </c>
      <c r="X36" s="108">
        <f t="shared" si="3"/>
        <v>0</v>
      </c>
      <c r="Y36" s="108">
        <f t="shared" si="3"/>
        <v>0</v>
      </c>
      <c r="Z36" s="108">
        <f t="shared" si="3"/>
        <v>0</v>
      </c>
      <c r="AA36" s="108">
        <f t="shared" si="3"/>
        <v>0</v>
      </c>
      <c r="AB36" s="108">
        <f t="shared" si="3"/>
        <v>0</v>
      </c>
      <c r="AC36" s="108">
        <f t="shared" si="3"/>
        <v>0</v>
      </c>
      <c r="AD36" s="108">
        <f t="shared" si="3"/>
        <v>0</v>
      </c>
      <c r="AE36" s="108">
        <f t="shared" si="3"/>
        <v>0</v>
      </c>
      <c r="AF36" s="108">
        <f t="shared" si="3"/>
        <v>0</v>
      </c>
      <c r="AG36" s="108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354905.43842390215</v>
      </c>
      <c r="K64" s="135">
        <f>(1-INDEX(Data!$C$9:$C$13, MATCH($A$3, options,0)))*('Option1 (base case)'!K36-K36)</f>
        <v>468825.70260935219</v>
      </c>
      <c r="L64" s="135">
        <f>(1-INDEX(Data!$C$9:$C$13, MATCH($A$3, options,0)))*('Option1 (base case)'!L36-L36)</f>
        <v>582745.96679480234</v>
      </c>
      <c r="M64" s="135">
        <f>(1-INDEX(Data!$C$9:$C$13, MATCH($A$3, options,0)))*('Option1 (base case)'!M36-M36)</f>
        <v>683521.58511270036</v>
      </c>
      <c r="N64" s="135">
        <f>(1-INDEX(Data!$C$9:$C$13, MATCH($A$3, options,0)))*('Option1 (base case)'!N36-N36)</f>
        <v>797441.8492981504</v>
      </c>
      <c r="O64" s="135">
        <f>(1-INDEX(Data!$C$9:$C$13, MATCH($A$3, options,0)))*('Option1 (base case)'!O36-O36)</f>
        <v>985848.44006639486</v>
      </c>
      <c r="P64" s="135">
        <f>(1-INDEX(Data!$C$9:$C$13, MATCH($A$3, options,0)))*('Option1 (base case)'!P36-P36)</f>
        <v>1213688.9684372947</v>
      </c>
      <c r="Q64" s="135">
        <f>(1-INDEX(Data!$C$9:$C$13, MATCH($A$3, options,0)))*('Option1 (base case)'!Q36-Q36)</f>
        <v>1213688.9684372947</v>
      </c>
      <c r="R64" s="135">
        <f>(1-INDEX(Data!$C$9:$C$13, MATCH($A$3, options,0)))*('Option1 (base case)'!R36-R36)</f>
        <v>1213688.9684372947</v>
      </c>
      <c r="S64" s="135">
        <f>(1-INDEX(Data!$C$9:$C$13, MATCH($A$3, options,0)))*('Option1 (base case)'!S36-S36)</f>
        <v>1213688.9684372947</v>
      </c>
      <c r="T64" s="135">
        <f>(1-INDEX(Data!$C$9:$C$13, MATCH($A$3, options,0)))*('Option1 (base case)'!T36-T36)</f>
        <v>1213688.9684372947</v>
      </c>
      <c r="U64" s="135">
        <f>(1-INDEX(Data!$C$9:$C$13, MATCH($A$3, options,0)))*('Option1 (base case)'!U36-U36)</f>
        <v>1213688.9684372947</v>
      </c>
      <c r="V64" s="135">
        <f>(1-INDEX(Data!$C$9:$C$13, MATCH($A$3, options,0)))*('Option1 (base case)'!V36-V36)</f>
        <v>1213688.9684372947</v>
      </c>
      <c r="W64" s="135">
        <f>(1-INDEX(Data!$C$9:$C$13, MATCH($A$3, options,0)))*('Option1 (base case)'!W36-W36)</f>
        <v>1213688.9684372947</v>
      </c>
      <c r="X64" s="135">
        <f>(1-INDEX(Data!$C$9:$C$13, MATCH($A$3, options,0)))*('Option1 (base case)'!X36-X36)</f>
        <v>1213688.9684372947</v>
      </c>
      <c r="Y64" s="135">
        <f>(1-INDEX(Data!$C$9:$C$13, MATCH($A$3, options,0)))*('Option1 (base case)'!Y36-Y36)</f>
        <v>1213688.9684372947</v>
      </c>
      <c r="Z64" s="135">
        <f>(1-INDEX(Data!$C$9:$C$13, MATCH($A$3, options,0)))*('Option1 (base case)'!Z36-Z36)</f>
        <v>1213688.9684372947</v>
      </c>
      <c r="AA64" s="135">
        <f>(1-INDEX(Data!$C$9:$C$13, MATCH($A$3, options,0)))*('Option1 (base case)'!AA36-AA36)</f>
        <v>1213688.9684372947</v>
      </c>
      <c r="AB64" s="135">
        <f>(1-INDEX(Data!$C$9:$C$13, MATCH($A$3, options,0)))*('Option1 (base case)'!AB36-AB36)</f>
        <v>1213688.9684372947</v>
      </c>
      <c r="AC64" s="135">
        <f>(1-INDEX(Data!$C$9:$C$13, MATCH($A$3, options,0)))*('Option1 (base case)'!AC36-AC36)</f>
        <v>1213688.9684372947</v>
      </c>
      <c r="AD64" s="135">
        <f>(1-INDEX(Data!$C$9:$C$13, MATCH($A$3, options,0)))*('Option1 (base case)'!AD36-AD36)</f>
        <v>1213688.9684372947</v>
      </c>
      <c r="AE64" s="135">
        <f>(1-INDEX(Data!$C$9:$C$13, MATCH($A$3, options,0)))*('Option1 (base case)'!AE36-AE36)</f>
        <v>1213688.9684372947</v>
      </c>
      <c r="AF64" s="135">
        <f>(1-INDEX(Data!$C$9:$C$13, MATCH($A$3, options,0)))*('Option1 (base case)'!AF36-AF36)</f>
        <v>1213688.9684372947</v>
      </c>
      <c r="AG64" s="135">
        <f>(1-INDEX(Data!$C$9:$C$13, MATCH($A$3, options,0)))*('Option1 (base case)'!AG36-AG36)</f>
        <v>1213688.9684372947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Install 3rd Tx at B</v>
      </c>
      <c r="D67" s="38"/>
      <c r="F67" s="97"/>
      <c r="G67" s="214">
        <f>input_dollars</f>
        <v>45291</v>
      </c>
      <c r="H67" s="31"/>
      <c r="I67" s="119">
        <f t="shared" ref="I67:AG67" si="5">-I14</f>
        <v>-3678417.8</v>
      </c>
      <c r="J67" s="119">
        <f t="shared" si="5"/>
        <v>-3678417.8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Install 3rd Tx at B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-3678417.8</v>
      </c>
      <c r="J72" s="119" cm="1">
        <f t="array" ref="J72">SUMPRODUCT(($I67:J67))-SUMPRODUCT(($I67:J67)*($I$6:J$6&lt;=(J$6-$E14)))</f>
        <v>-7356835.5999999996</v>
      </c>
      <c r="K72" s="119" cm="1">
        <f t="array" ref="K72">SUMPRODUCT(($I67:K67))-SUMPRODUCT(($I67:K67)*($I$6:K$6&lt;=(K$6-$E14)))</f>
        <v>-7356835.5999999996</v>
      </c>
      <c r="L72" s="119" cm="1">
        <f t="array" ref="L72">SUMPRODUCT(($I67:L67))-SUMPRODUCT(($I67:L67)*($I$6:L$6&lt;=(L$6-$E14)))</f>
        <v>-7356835.5999999996</v>
      </c>
      <c r="M72" s="119" cm="1">
        <f t="array" ref="M72">SUMPRODUCT(($I67:M67))-SUMPRODUCT(($I67:M67)*($I$6:M$6&lt;=(M$6-$E14)))</f>
        <v>-7356835.5999999996</v>
      </c>
      <c r="N72" s="119" cm="1">
        <f t="array" ref="N72">SUMPRODUCT(($I67:N67))-SUMPRODUCT(($I67:N67)*($I$6:N$6&lt;=(N$6-$E14)))</f>
        <v>-7356835.5999999996</v>
      </c>
      <c r="O72" s="119" cm="1">
        <f t="array" ref="O72">SUMPRODUCT(($I67:O67))-SUMPRODUCT(($I67:O67)*($I$6:O$6&lt;=(O$6-$E14)))</f>
        <v>-7356835.5999999996</v>
      </c>
      <c r="P72" s="119" cm="1">
        <f t="array" ref="P72">SUMPRODUCT(($I67:P67))-SUMPRODUCT(($I67:P67)*($I$6:P$6&lt;=(P$6-$E14)))</f>
        <v>-7356835.5999999996</v>
      </c>
      <c r="Q72" s="119" cm="1">
        <f t="array" ref="Q72">SUMPRODUCT(($I67:Q67))-SUMPRODUCT(($I67:Q67)*($I$6:Q$6&lt;=(Q$6-$E14)))</f>
        <v>-7356835.5999999996</v>
      </c>
      <c r="R72" s="119" cm="1">
        <f t="array" ref="R72">SUMPRODUCT(($I67:R67))-SUMPRODUCT(($I67:R67)*($I$6:R$6&lt;=(R$6-$E14)))</f>
        <v>-7356835.5999999996</v>
      </c>
      <c r="S72" s="119" cm="1">
        <f t="array" ref="S72">SUMPRODUCT(($I67:S67))-SUMPRODUCT(($I67:S67)*($I$6:S$6&lt;=(S$6-$E14)))</f>
        <v>-7356835.5999999996</v>
      </c>
      <c r="T72" s="119" cm="1">
        <f t="array" ref="T72">SUMPRODUCT(($I67:T67))-SUMPRODUCT(($I67:T67)*($I$6:T$6&lt;=(T$6-$E14)))</f>
        <v>-7356835.5999999996</v>
      </c>
      <c r="U72" s="119" cm="1">
        <f t="array" ref="U72">SUMPRODUCT(($I67:U67))-SUMPRODUCT(($I67:U67)*($I$6:U$6&lt;=(U$6-$E14)))</f>
        <v>-7356835.5999999996</v>
      </c>
      <c r="V72" s="119" cm="1">
        <f t="array" ref="V72">SUMPRODUCT(($I67:V67))-SUMPRODUCT(($I67:V67)*($I$6:V$6&lt;=(V$6-$E14)))</f>
        <v>-7356835.5999999996</v>
      </c>
      <c r="W72" s="119" cm="1">
        <f t="array" ref="W72">SUMPRODUCT(($I67:W67))-SUMPRODUCT(($I67:W67)*($I$6:W$6&lt;=(W$6-$E14)))</f>
        <v>-7356835.5999999996</v>
      </c>
      <c r="X72" s="119" cm="1">
        <f t="array" ref="X72">SUMPRODUCT(($I67:X67))-SUMPRODUCT(($I67:X67)*($I$6:X$6&lt;=(X$6-$E14)))</f>
        <v>-7356835.5999999996</v>
      </c>
      <c r="Y72" s="119" cm="1">
        <f t="array" ref="Y72">SUMPRODUCT(($I67:Y67))-SUMPRODUCT(($I67:Y67)*($I$6:Y$6&lt;=(Y$6-$E14)))</f>
        <v>-7356835.5999999996</v>
      </c>
      <c r="Z72" s="119" cm="1">
        <f t="array" ref="Z72">SUMPRODUCT(($I67:Z67))-SUMPRODUCT(($I67:Z67)*($I$6:Z$6&lt;=(Z$6-$E14)))</f>
        <v>-7356835.5999999996</v>
      </c>
      <c r="AA72" s="119" cm="1">
        <f t="array" ref="AA72">SUMPRODUCT(($I67:AA67))-SUMPRODUCT(($I67:AA67)*($I$6:AA$6&lt;=(AA$6-$E14)))</f>
        <v>-7356835.5999999996</v>
      </c>
      <c r="AB72" s="119" cm="1">
        <f t="array" ref="AB72">SUMPRODUCT(($I67:AB67))-SUMPRODUCT(($I67:AB67)*($I$6:AB$6&lt;=(AB$6-$E14)))</f>
        <v>-7356835.5999999996</v>
      </c>
      <c r="AC72" s="119" cm="1">
        <f t="array" ref="AC72">SUMPRODUCT(($I67:AC67))-SUMPRODUCT(($I67:AC67)*($I$6:AC$6&lt;=(AC$6-$E14)))</f>
        <v>-7356835.5999999996</v>
      </c>
      <c r="AD72" s="119" cm="1">
        <f t="array" ref="AD72">SUMPRODUCT(($I67:AD67))-SUMPRODUCT(($I67:AD67)*($I$6:AD$6&lt;=(AD$6-$E14)))</f>
        <v>-7356835.5999999996</v>
      </c>
      <c r="AE72" s="119" cm="1">
        <f t="array" ref="AE72">SUMPRODUCT(($I67:AE67))-SUMPRODUCT(($I67:AE67)*($I$6:AE$6&lt;=(AE$6-$E14)))</f>
        <v>-7356835.5999999996</v>
      </c>
      <c r="AF72" s="119" cm="1">
        <f t="array" ref="AF72">SUMPRODUCT(($I67:AF67))-SUMPRODUCT(($I67:AF67)*($I$6:AF$6&lt;=(AF$6-$E14)))</f>
        <v>-7356835.5999999996</v>
      </c>
      <c r="AG72" s="119" cm="1">
        <f t="array" ref="AG72">SUMPRODUCT(($I67:AG67))-SUMPRODUCT(($I67:AG67)*($I$6:AG$6&lt;=(AG$6-$E14)))</f>
        <v>-7356835.5999999996</v>
      </c>
    </row>
    <row r="73" spans="1:33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Install 3rd Tx at B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-156824.59614962037</v>
      </c>
      <c r="K77" s="119">
        <f t="shared" si="8"/>
        <v>-313649.19229924073</v>
      </c>
      <c r="L77" s="119">
        <f t="shared" si="8"/>
        <v>-313649.19229924073</v>
      </c>
      <c r="M77" s="119">
        <f t="shared" si="8"/>
        <v>-313649.19229924073</v>
      </c>
      <c r="N77" s="119">
        <f t="shared" si="8"/>
        <v>-313649.19229924073</v>
      </c>
      <c r="O77" s="119">
        <f t="shared" si="8"/>
        <v>-313649.19229924073</v>
      </c>
      <c r="P77" s="119">
        <f t="shared" si="8"/>
        <v>-313649.19229924073</v>
      </c>
      <c r="Q77" s="119">
        <f t="shared" si="8"/>
        <v>-313649.19229924073</v>
      </c>
      <c r="R77" s="119">
        <f t="shared" si="8"/>
        <v>-313649.19229924073</v>
      </c>
      <c r="S77" s="119">
        <f t="shared" si="8"/>
        <v>-313649.19229924073</v>
      </c>
      <c r="T77" s="119">
        <f t="shared" si="8"/>
        <v>-313649.19229924073</v>
      </c>
      <c r="U77" s="119">
        <f t="shared" si="8"/>
        <v>-313649.19229924073</v>
      </c>
      <c r="V77" s="119">
        <f t="shared" si="8"/>
        <v>-313649.19229924073</v>
      </c>
      <c r="W77" s="119">
        <f t="shared" si="8"/>
        <v>-313649.19229924073</v>
      </c>
      <c r="X77" s="119">
        <f t="shared" si="8"/>
        <v>-313649.19229924073</v>
      </c>
      <c r="Y77" s="119">
        <f t="shared" si="8"/>
        <v>-313649.19229924073</v>
      </c>
      <c r="Z77" s="119">
        <f t="shared" si="8"/>
        <v>-313649.19229924073</v>
      </c>
      <c r="AA77" s="119">
        <f t="shared" si="8"/>
        <v>-313649.19229924073</v>
      </c>
      <c r="AB77" s="119">
        <f t="shared" si="8"/>
        <v>-313649.19229924073</v>
      </c>
      <c r="AC77" s="119">
        <f t="shared" si="8"/>
        <v>-313649.19229924073</v>
      </c>
      <c r="AD77" s="119">
        <f t="shared" si="8"/>
        <v>-313649.19229924073</v>
      </c>
      <c r="AE77" s="119">
        <f t="shared" si="8"/>
        <v>-313649.19229924073</v>
      </c>
      <c r="AF77" s="119">
        <f t="shared" si="8"/>
        <v>-313649.19229924073</v>
      </c>
      <c r="AG77" s="119">
        <f t="shared" si="8"/>
        <v>-313649.19229924073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-156824.59614962037</v>
      </c>
      <c r="K80" s="180">
        <f t="shared" si="11"/>
        <v>-313649.19229924073</v>
      </c>
      <c r="L80" s="180">
        <f t="shared" si="11"/>
        <v>-313649.19229924073</v>
      </c>
      <c r="M80" s="180">
        <f t="shared" si="11"/>
        <v>-313649.19229924073</v>
      </c>
      <c r="N80" s="180">
        <f t="shared" si="11"/>
        <v>-313649.19229924073</v>
      </c>
      <c r="O80" s="180">
        <f t="shared" si="11"/>
        <v>-313649.19229924073</v>
      </c>
      <c r="P80" s="180">
        <f t="shared" si="11"/>
        <v>-313649.19229924073</v>
      </c>
      <c r="Q80" s="180">
        <f t="shared" si="11"/>
        <v>-313649.19229924073</v>
      </c>
      <c r="R80" s="180">
        <f t="shared" si="11"/>
        <v>-313649.19229924073</v>
      </c>
      <c r="S80" s="180">
        <f t="shared" si="11"/>
        <v>-313649.19229924073</v>
      </c>
      <c r="T80" s="180">
        <f t="shared" si="11"/>
        <v>-313649.19229924073</v>
      </c>
      <c r="U80" s="180">
        <f t="shared" si="11"/>
        <v>-313649.19229924073</v>
      </c>
      <c r="V80" s="180">
        <f t="shared" si="11"/>
        <v>-313649.19229924073</v>
      </c>
      <c r="W80" s="180">
        <f t="shared" si="11"/>
        <v>-313649.19229924073</v>
      </c>
      <c r="X80" s="180">
        <f t="shared" si="11"/>
        <v>-313649.19229924073</v>
      </c>
      <c r="Y80" s="180">
        <f t="shared" si="11"/>
        <v>-313649.19229924073</v>
      </c>
      <c r="Z80" s="180">
        <f t="shared" si="11"/>
        <v>-313649.19229924073</v>
      </c>
      <c r="AA80" s="180">
        <f t="shared" si="11"/>
        <v>-313649.19229924073</v>
      </c>
      <c r="AB80" s="180">
        <f t="shared" si="11"/>
        <v>-313649.19229924073</v>
      </c>
      <c r="AC80" s="180">
        <f>SUM(AC77:AC79)</f>
        <v>-313649.19229924073</v>
      </c>
      <c r="AD80" s="180">
        <f>SUM(AD77:AD79)</f>
        <v>-313649.19229924073</v>
      </c>
      <c r="AE80" s="180">
        <f>SUM(AE77:AE79)</f>
        <v>-313649.19229924073</v>
      </c>
      <c r="AF80" s="180">
        <f>SUM(AF77:AF79)</f>
        <v>-313649.19229924073</v>
      </c>
      <c r="AG80" s="180">
        <f>SUM(AG77:AG79)</f>
        <v>-313649.19229924073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-156824.59614962037</v>
      </c>
      <c r="K82" s="119">
        <f t="shared" si="13"/>
        <v>-313649.19229924073</v>
      </c>
      <c r="L82" s="119">
        <f t="shared" si="13"/>
        <v>-313649.19229924073</v>
      </c>
      <c r="M82" s="119">
        <f t="shared" si="13"/>
        <v>-313649.19229924073</v>
      </c>
      <c r="N82" s="119">
        <f t="shared" si="13"/>
        <v>-313649.19229924073</v>
      </c>
      <c r="O82" s="119">
        <f t="shared" si="13"/>
        <v>-313649.19229924073</v>
      </c>
      <c r="P82" s="119">
        <f t="shared" si="13"/>
        <v>-313649.19229924073</v>
      </c>
      <c r="Q82" s="119">
        <f t="shared" si="13"/>
        <v>-313649.19229924073</v>
      </c>
      <c r="R82" s="119">
        <f t="shared" si="13"/>
        <v>-313649.19229924073</v>
      </c>
      <c r="S82" s="119">
        <f t="shared" si="13"/>
        <v>-313649.19229924073</v>
      </c>
      <c r="T82" s="119">
        <f t="shared" si="13"/>
        <v>-313649.19229924073</v>
      </c>
      <c r="U82" s="119">
        <f t="shared" si="13"/>
        <v>-313649.19229924073</v>
      </c>
      <c r="V82" s="119">
        <f t="shared" si="13"/>
        <v>-313649.19229924073</v>
      </c>
      <c r="W82" s="119">
        <f t="shared" si="13"/>
        <v>-313649.19229924073</v>
      </c>
      <c r="X82" s="119">
        <f t="shared" si="13"/>
        <v>-313649.19229924073</v>
      </c>
      <c r="Y82" s="119">
        <f t="shared" si="13"/>
        <v>-313649.19229924073</v>
      </c>
      <c r="Z82" s="119">
        <f t="shared" si="13"/>
        <v>-313649.19229924073</v>
      </c>
      <c r="AA82" s="119">
        <f t="shared" si="13"/>
        <v>-313649.19229924073</v>
      </c>
      <c r="AB82" s="119">
        <f t="shared" si="13"/>
        <v>-313649.19229924073</v>
      </c>
      <c r="AC82" s="119">
        <f>AC80</f>
        <v>-313649.19229924073</v>
      </c>
      <c r="AD82" s="119">
        <f>AD80</f>
        <v>-313649.19229924073</v>
      </c>
      <c r="AE82" s="119">
        <f>AE80</f>
        <v>-313649.19229924073</v>
      </c>
      <c r="AF82" s="119">
        <f>AF80</f>
        <v>-313649.19229924073</v>
      </c>
      <c r="AG82" s="119">
        <f>AG80</f>
        <v>-313649.19229924073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354905.43842390215</v>
      </c>
      <c r="K84" s="31">
        <f t="shared" si="15"/>
        <v>468825.70260935219</v>
      </c>
      <c r="L84" s="31">
        <f t="shared" si="15"/>
        <v>582745.96679480234</v>
      </c>
      <c r="M84" s="31">
        <f t="shared" si="15"/>
        <v>683521.58511270036</v>
      </c>
      <c r="N84" s="31">
        <f t="shared" si="15"/>
        <v>797441.8492981504</v>
      </c>
      <c r="O84" s="31">
        <f t="shared" si="15"/>
        <v>985848.44006639486</v>
      </c>
      <c r="P84" s="31">
        <f t="shared" si="15"/>
        <v>1213688.9684372947</v>
      </c>
      <c r="Q84" s="31">
        <f t="shared" si="15"/>
        <v>1213688.9684372947</v>
      </c>
      <c r="R84" s="31">
        <f t="shared" si="15"/>
        <v>1213688.9684372947</v>
      </c>
      <c r="S84" s="31">
        <f t="shared" si="15"/>
        <v>1213688.9684372947</v>
      </c>
      <c r="T84" s="31">
        <f t="shared" si="15"/>
        <v>1213688.9684372947</v>
      </c>
      <c r="U84" s="31">
        <f t="shared" si="15"/>
        <v>1213688.9684372947</v>
      </c>
      <c r="V84" s="31">
        <f t="shared" si="15"/>
        <v>1213688.9684372947</v>
      </c>
      <c r="W84" s="31">
        <f t="shared" si="15"/>
        <v>1213688.9684372947</v>
      </c>
      <c r="X84" s="31">
        <f t="shared" si="15"/>
        <v>1213688.9684372947</v>
      </c>
      <c r="Y84" s="31">
        <f t="shared" si="15"/>
        <v>1213688.9684372947</v>
      </c>
      <c r="Z84" s="31">
        <f t="shared" si="15"/>
        <v>1213688.9684372947</v>
      </c>
      <c r="AA84" s="31">
        <f t="shared" si="15"/>
        <v>1213688.9684372947</v>
      </c>
      <c r="AB84" s="31">
        <f t="shared" si="15"/>
        <v>1213688.9684372947</v>
      </c>
      <c r="AC84" s="31">
        <f>AC64</f>
        <v>1213688.9684372947</v>
      </c>
      <c r="AD84" s="31">
        <f>AD64</f>
        <v>1213688.9684372947</v>
      </c>
      <c r="AE84" s="31">
        <f>AE64</f>
        <v>1213688.9684372947</v>
      </c>
      <c r="AF84" s="31">
        <f>AF64</f>
        <v>1213688.9684372947</v>
      </c>
      <c r="AG84" s="31">
        <f>AG64</f>
        <v>1213688.9684372947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198080.84227428178</v>
      </c>
      <c r="K87" s="183">
        <f t="shared" si="17"/>
        <v>155176.51031011145</v>
      </c>
      <c r="L87" s="183">
        <f t="shared" si="17"/>
        <v>269096.77449556161</v>
      </c>
      <c r="M87" s="183">
        <f t="shared" si="17"/>
        <v>369872.39281345962</v>
      </c>
      <c r="N87" s="183">
        <f t="shared" si="17"/>
        <v>483792.65699890966</v>
      </c>
      <c r="O87" s="183">
        <f t="shared" si="17"/>
        <v>672199.24776715413</v>
      </c>
      <c r="P87" s="183">
        <f t="shared" si="17"/>
        <v>900039.77613805397</v>
      </c>
      <c r="Q87" s="183">
        <f t="shared" si="17"/>
        <v>900039.77613805397</v>
      </c>
      <c r="R87" s="183">
        <f t="shared" si="17"/>
        <v>900039.77613805397</v>
      </c>
      <c r="S87" s="183">
        <f t="shared" si="17"/>
        <v>900039.77613805397</v>
      </c>
      <c r="T87" s="183">
        <f t="shared" si="17"/>
        <v>900039.77613805397</v>
      </c>
      <c r="U87" s="183">
        <f t="shared" si="17"/>
        <v>900039.77613805397</v>
      </c>
      <c r="V87" s="183">
        <f t="shared" si="17"/>
        <v>900039.77613805397</v>
      </c>
      <c r="W87" s="183">
        <f t="shared" si="17"/>
        <v>900039.77613805397</v>
      </c>
      <c r="X87" s="183">
        <f t="shared" si="17"/>
        <v>900039.77613805397</v>
      </c>
      <c r="Y87" s="183">
        <f t="shared" si="17"/>
        <v>900039.77613805397</v>
      </c>
      <c r="Z87" s="183">
        <f t="shared" si="17"/>
        <v>900039.77613805397</v>
      </c>
      <c r="AA87" s="183">
        <f t="shared" si="17"/>
        <v>900039.77613805397</v>
      </c>
      <c r="AB87" s="183">
        <f t="shared" si="17"/>
        <v>900039.77613805397</v>
      </c>
      <c r="AC87" s="183">
        <f>SUM(AC82:AC86)</f>
        <v>900039.77613805397</v>
      </c>
      <c r="AD87" s="183">
        <f>SUM(AD82:AD86)</f>
        <v>900039.77613805397</v>
      </c>
      <c r="AE87" s="183">
        <f>SUM(AE82:AE86)</f>
        <v>900039.77613805397</v>
      </c>
      <c r="AF87" s="183">
        <f>SUM(AF82:AF86)</f>
        <v>900039.77613805397</v>
      </c>
      <c r="AG87" s="183">
        <f>SUM(AG82:AG86)</f>
        <v>900039.77613805397</v>
      </c>
    </row>
    <row r="88" spans="1:33" x14ac:dyDescent="0.2">
      <c r="A88" s="8"/>
      <c r="B88" s="8"/>
      <c r="C88" s="75"/>
      <c r="D88" s="141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8"/>
      <c r="E91" s="235"/>
      <c r="F91" s="236"/>
      <c r="G91" s="237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3" x14ac:dyDescent="0.2">
      <c r="G94" s="12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</row>
    <row r="96" spans="1:33" x14ac:dyDescent="0.2"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</row>
    <row r="97" spans="1:43" x14ac:dyDescent="0.2"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</row>
    <row r="98" spans="1:43" x14ac:dyDescent="0.2"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</row>
    <row r="99" spans="1:43" x14ac:dyDescent="0.2"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  <row r="100" spans="1:43" x14ac:dyDescent="0.2"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</row>
    <row r="101" spans="1:43" x14ac:dyDescent="0.2"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D105"/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198080.84227428178</v>
      </c>
      <c r="K106" s="31">
        <f t="shared" si="18"/>
        <v>155176.51031011145</v>
      </c>
      <c r="L106" s="31">
        <f t="shared" si="18"/>
        <v>269096.77449556161</v>
      </c>
      <c r="M106" s="31">
        <f t="shared" si="18"/>
        <v>369872.39281345962</v>
      </c>
      <c r="N106" s="31">
        <f t="shared" si="18"/>
        <v>483792.65699890966</v>
      </c>
      <c r="O106" s="31">
        <f t="shared" si="18"/>
        <v>672199.24776715413</v>
      </c>
      <c r="P106" s="31">
        <f t="shared" si="18"/>
        <v>900039.77613805397</v>
      </c>
      <c r="Q106" s="31">
        <f t="shared" si="18"/>
        <v>900039.77613805397</v>
      </c>
      <c r="R106" s="31">
        <f t="shared" si="18"/>
        <v>900039.77613805397</v>
      </c>
      <c r="S106" s="31">
        <f t="shared" si="18"/>
        <v>900039.77613805397</v>
      </c>
      <c r="T106" s="31">
        <f t="shared" si="18"/>
        <v>900039.77613805397</v>
      </c>
      <c r="U106" s="31">
        <f t="shared" si="18"/>
        <v>900039.77613805397</v>
      </c>
      <c r="V106" s="31">
        <f t="shared" si="18"/>
        <v>900039.77613805397</v>
      </c>
      <c r="W106" s="31">
        <f t="shared" si="18"/>
        <v>900039.77613805397</v>
      </c>
      <c r="X106" s="31">
        <f t="shared" si="18"/>
        <v>900039.77613805397</v>
      </c>
      <c r="Y106" s="31">
        <f t="shared" si="18"/>
        <v>900039.77613805397</v>
      </c>
      <c r="Z106" s="31">
        <f t="shared" si="18"/>
        <v>900039.77613805397</v>
      </c>
      <c r="AA106" s="31">
        <f t="shared" si="18"/>
        <v>900039.77613805397</v>
      </c>
      <c r="AB106" s="31">
        <f t="shared" si="18"/>
        <v>900039.77613805397</v>
      </c>
      <c r="AC106" s="31">
        <f t="shared" si="18"/>
        <v>900039.77613805397</v>
      </c>
      <c r="AD106" s="31">
        <f t="shared" si="18"/>
        <v>900039.77613805397</v>
      </c>
      <c r="AE106" s="31">
        <f t="shared" si="18"/>
        <v>900039.77613805397</v>
      </c>
      <c r="AF106" s="31">
        <f t="shared" si="18"/>
        <v>900039.77613805397</v>
      </c>
      <c r="AG106" s="31">
        <f t="shared" si="18"/>
        <v>900039.77613805397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-156824.59614962037</v>
      </c>
      <c r="K107" s="31">
        <f t="shared" si="19"/>
        <v>-313649.19229924073</v>
      </c>
      <c r="L107" s="31">
        <f t="shared" si="19"/>
        <v>-313649.19229924073</v>
      </c>
      <c r="M107" s="31">
        <f t="shared" si="19"/>
        <v>-313649.19229924073</v>
      </c>
      <c r="N107" s="31">
        <f t="shared" si="19"/>
        <v>-313649.19229924073</v>
      </c>
      <c r="O107" s="31">
        <f t="shared" si="19"/>
        <v>-313649.19229924073</v>
      </c>
      <c r="P107" s="31">
        <f t="shared" si="19"/>
        <v>-313649.19229924073</v>
      </c>
      <c r="Q107" s="31">
        <f t="shared" si="19"/>
        <v>-313649.19229924073</v>
      </c>
      <c r="R107" s="31">
        <f t="shared" si="19"/>
        <v>-313649.19229924073</v>
      </c>
      <c r="S107" s="31">
        <f t="shared" si="19"/>
        <v>-313649.19229924073</v>
      </c>
      <c r="T107" s="31">
        <f t="shared" si="19"/>
        <v>-313649.19229924073</v>
      </c>
      <c r="U107" s="31">
        <f t="shared" si="19"/>
        <v>-313649.19229924073</v>
      </c>
      <c r="V107" s="31">
        <f t="shared" si="19"/>
        <v>-313649.19229924073</v>
      </c>
      <c r="W107" s="31">
        <f t="shared" si="19"/>
        <v>-313649.19229924073</v>
      </c>
      <c r="X107" s="31">
        <f t="shared" si="19"/>
        <v>-313649.19229924073</v>
      </c>
      <c r="Y107" s="31">
        <f t="shared" si="19"/>
        <v>-313649.19229924073</v>
      </c>
      <c r="Z107" s="31">
        <f t="shared" si="19"/>
        <v>-313649.19229924073</v>
      </c>
      <c r="AA107" s="31">
        <f t="shared" si="19"/>
        <v>-313649.19229924073</v>
      </c>
      <c r="AB107" s="31">
        <f t="shared" si="19"/>
        <v>-313649.19229924073</v>
      </c>
      <c r="AC107" s="31">
        <f t="shared" si="19"/>
        <v>-313649.19229924073</v>
      </c>
      <c r="AD107" s="31">
        <f t="shared" si="19"/>
        <v>-313649.19229924073</v>
      </c>
      <c r="AE107" s="31">
        <f t="shared" si="19"/>
        <v>-313649.19229924073</v>
      </c>
      <c r="AF107" s="31">
        <f t="shared" si="19"/>
        <v>-313649.19229924073</v>
      </c>
      <c r="AG107" s="31">
        <f t="shared" si="19"/>
        <v>-313649.19229924073</v>
      </c>
    </row>
    <row r="108" spans="1:43" x14ac:dyDescent="0.2">
      <c r="C108" s="1" t="s">
        <v>241</v>
      </c>
      <c r="D108" s="257"/>
      <c r="E108" s="38"/>
      <c r="I108" s="31">
        <f>SUM(I84:I85)</f>
        <v>0</v>
      </c>
      <c r="J108" s="31">
        <f t="shared" ref="J108:AG108" si="20">SUM(J84:J85)</f>
        <v>354905.43842390215</v>
      </c>
      <c r="K108" s="31">
        <f t="shared" si="20"/>
        <v>468825.70260935219</v>
      </c>
      <c r="L108" s="31">
        <f t="shared" si="20"/>
        <v>582745.96679480234</v>
      </c>
      <c r="M108" s="31">
        <f t="shared" si="20"/>
        <v>683521.58511270036</v>
      </c>
      <c r="N108" s="31">
        <f t="shared" si="20"/>
        <v>797441.8492981504</v>
      </c>
      <c r="O108" s="31">
        <f t="shared" si="20"/>
        <v>985848.44006639486</v>
      </c>
      <c r="P108" s="31">
        <f t="shared" si="20"/>
        <v>1213688.9684372947</v>
      </c>
      <c r="Q108" s="31">
        <f t="shared" si="20"/>
        <v>1213688.9684372947</v>
      </c>
      <c r="R108" s="31">
        <f t="shared" si="20"/>
        <v>1213688.9684372947</v>
      </c>
      <c r="S108" s="31">
        <f t="shared" si="20"/>
        <v>1213688.9684372947</v>
      </c>
      <c r="T108" s="31">
        <f t="shared" si="20"/>
        <v>1213688.9684372947</v>
      </c>
      <c r="U108" s="31">
        <f t="shared" si="20"/>
        <v>1213688.9684372947</v>
      </c>
      <c r="V108" s="31">
        <f t="shared" si="20"/>
        <v>1213688.9684372947</v>
      </c>
      <c r="W108" s="31">
        <f t="shared" si="20"/>
        <v>1213688.9684372947</v>
      </c>
      <c r="X108" s="31">
        <f t="shared" si="20"/>
        <v>1213688.9684372947</v>
      </c>
      <c r="Y108" s="31">
        <f t="shared" si="20"/>
        <v>1213688.9684372947</v>
      </c>
      <c r="Z108" s="31">
        <f t="shared" si="20"/>
        <v>1213688.9684372947</v>
      </c>
      <c r="AA108" s="31">
        <f t="shared" si="20"/>
        <v>1213688.9684372947</v>
      </c>
      <c r="AB108" s="31">
        <f t="shared" si="20"/>
        <v>1213688.9684372947</v>
      </c>
      <c r="AC108" s="31">
        <f t="shared" si="20"/>
        <v>1213688.9684372947</v>
      </c>
      <c r="AD108" s="31">
        <f t="shared" si="20"/>
        <v>1213688.9684372947</v>
      </c>
      <c r="AE108" s="31">
        <f t="shared" si="20"/>
        <v>1213688.9684372947</v>
      </c>
      <c r="AF108" s="31">
        <f t="shared" si="20"/>
        <v>1213688.9684372947</v>
      </c>
      <c r="AG108" s="31">
        <f t="shared" si="20"/>
        <v>1213688.9684372947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182398.38265931973</v>
      </c>
      <c r="K110" s="31" cm="1">
        <f t="array" ref="K110">K$106+IF($C110&lt;&gt;0,SUMPRODUCT((K$107:K$108)*TRANSPOSE(($D110:$E110))),0)</f>
        <v>123811.59108018738</v>
      </c>
      <c r="L110" s="31" cm="1">
        <f t="array" ref="L110">L$106+IF($C110&lt;&gt;0,SUMPRODUCT((L$107:L$108)*TRANSPOSE(($D110:$E110))),0)</f>
        <v>237731.85526563754</v>
      </c>
      <c r="M110" s="31" cm="1">
        <f t="array" ref="M110">M$106+IF($C110&lt;&gt;0,SUMPRODUCT((M$107:M$108)*TRANSPOSE(($D110:$E110))),0)</f>
        <v>338507.47358353552</v>
      </c>
      <c r="N110" s="31" cm="1">
        <f t="array" ref="N110">N$106+IF($C110&lt;&gt;0,SUMPRODUCT((N$107:N$108)*TRANSPOSE(($D110:$E110))),0)</f>
        <v>452427.73776898556</v>
      </c>
      <c r="O110" s="31" cm="1">
        <f t="array" ref="O110">O$106+IF($C110&lt;&gt;0,SUMPRODUCT((O$107:O$108)*TRANSPOSE(($D110:$E110))),0)</f>
        <v>640834.32853723003</v>
      </c>
      <c r="P110" s="31" cm="1">
        <f t="array" ref="P110">P$106+IF($C110&lt;&gt;0,SUMPRODUCT((P$107:P$108)*TRANSPOSE(($D110:$E110))),0)</f>
        <v>868674.85690812988</v>
      </c>
      <c r="Q110" s="31" cm="1">
        <f t="array" ref="Q110">Q$106+IF($C110&lt;&gt;0,SUMPRODUCT((Q$107:Q$108)*TRANSPOSE(($D110:$E110))),0)</f>
        <v>868674.85690812988</v>
      </c>
      <c r="R110" s="31" cm="1">
        <f t="array" ref="R110">R$106+IF($C110&lt;&gt;0,SUMPRODUCT((R$107:R$108)*TRANSPOSE(($D110:$E110))),0)</f>
        <v>868674.85690812988</v>
      </c>
      <c r="S110" s="31" cm="1">
        <f t="array" ref="S110">S$106+IF($C110&lt;&gt;0,SUMPRODUCT((S$107:S$108)*TRANSPOSE(($D110:$E110))),0)</f>
        <v>868674.85690812988</v>
      </c>
      <c r="T110" s="31" cm="1">
        <f t="array" ref="T110">T$106+IF($C110&lt;&gt;0,SUMPRODUCT((T$107:T$108)*TRANSPOSE(($D110:$E110))),0)</f>
        <v>868674.85690812988</v>
      </c>
      <c r="U110" s="31" cm="1">
        <f t="array" ref="U110">U$106+IF($C110&lt;&gt;0,SUMPRODUCT((U$107:U$108)*TRANSPOSE(($D110:$E110))),0)</f>
        <v>868674.85690812988</v>
      </c>
      <c r="V110" s="31" cm="1">
        <f t="array" ref="V110">V$106+IF($C110&lt;&gt;0,SUMPRODUCT((V$107:V$108)*TRANSPOSE(($D110:$E110))),0)</f>
        <v>868674.85690812988</v>
      </c>
      <c r="W110" s="31" cm="1">
        <f t="array" ref="W110">W$106+IF($C110&lt;&gt;0,SUMPRODUCT((W$107:W$108)*TRANSPOSE(($D110:$E110))),0)</f>
        <v>868674.85690812988</v>
      </c>
      <c r="X110" s="31" cm="1">
        <f t="array" ref="X110">X$106+IF($C110&lt;&gt;0,SUMPRODUCT((X$107:X$108)*TRANSPOSE(($D110:$E110))),0)</f>
        <v>868674.85690812988</v>
      </c>
      <c r="Y110" s="31" cm="1">
        <f t="array" ref="Y110">Y$106+IF($C110&lt;&gt;0,SUMPRODUCT((Y$107:Y$108)*TRANSPOSE(($D110:$E110))),0)</f>
        <v>868674.85690812988</v>
      </c>
      <c r="Z110" s="31" cm="1">
        <f t="array" ref="Z110">Z$106+IF($C110&lt;&gt;0,SUMPRODUCT((Z$107:Z$108)*TRANSPOSE(($D110:$E110))),0)</f>
        <v>868674.85690812988</v>
      </c>
      <c r="AA110" s="31" cm="1">
        <f t="array" ref="AA110">AA$106+IF($C110&lt;&gt;0,SUMPRODUCT((AA$107:AA$108)*TRANSPOSE(($D110:$E110))),0)</f>
        <v>868674.85690812988</v>
      </c>
      <c r="AB110" s="31" cm="1">
        <f t="array" ref="AB110">AB$106+IF($C110&lt;&gt;0,SUMPRODUCT((AB$107:AB$108)*TRANSPOSE(($D110:$E110))),0)</f>
        <v>868674.85690812988</v>
      </c>
      <c r="AC110" s="31" cm="1">
        <f t="array" ref="AC110">AC$106+IF($C110&lt;&gt;0,SUMPRODUCT((AC$107:AC$108)*TRANSPOSE(($D110:$E110))),0)</f>
        <v>868674.85690812988</v>
      </c>
      <c r="AD110" s="31" cm="1">
        <f t="array" ref="AD110">AD$106+IF($C110&lt;&gt;0,SUMPRODUCT((AD$107:AD$108)*TRANSPOSE(($D110:$E110))),0)</f>
        <v>868674.85690812988</v>
      </c>
      <c r="AE110" s="31" cm="1">
        <f t="array" ref="AE110">AE$106+IF($C110&lt;&gt;0,SUMPRODUCT((AE$107:AE$108)*TRANSPOSE(($D110:$E110))),0)</f>
        <v>868674.85690812988</v>
      </c>
      <c r="AF110" s="31" cm="1">
        <f t="array" ref="AF110">AF$106+IF($C110&lt;&gt;0,SUMPRODUCT((AF$107:AF$108)*TRANSPOSE(($D110:$E110))),0)</f>
        <v>868674.85690812988</v>
      </c>
      <c r="AG110" s="31" cm="1">
        <f t="array" ref="AG110">AG$106+IF($C110&lt;&gt;0,SUMPRODUCT((AG$107:AG$108)*TRANSPOSE(($D110:$E110))),0)</f>
        <v>868674.85690812988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213763.30188924383</v>
      </c>
      <c r="K111" s="31" cm="1">
        <f t="array" ref="K111">K$106+IF($C111&lt;&gt;0,SUMPRODUCT((K$107:K$108)*TRANSPOSE(($D111:$E111))),0)</f>
        <v>186541.42954003552</v>
      </c>
      <c r="L111" s="31" cm="1">
        <f t="array" ref="L111">L$106+IF($C111&lt;&gt;0,SUMPRODUCT((L$107:L$108)*TRANSPOSE(($D111:$E111))),0)</f>
        <v>300461.6937254857</v>
      </c>
      <c r="M111" s="31" cm="1">
        <f t="array" ref="M111">M$106+IF($C111&lt;&gt;0,SUMPRODUCT((M$107:M$108)*TRANSPOSE(($D111:$E111))),0)</f>
        <v>401237.31204338372</v>
      </c>
      <c r="N111" s="31" cm="1">
        <f t="array" ref="N111">N$106+IF($C111&lt;&gt;0,SUMPRODUCT((N$107:N$108)*TRANSPOSE(($D111:$E111))),0)</f>
        <v>515157.57622883376</v>
      </c>
      <c r="O111" s="31" cm="1">
        <f t="array" ref="O111">O$106+IF($C111&lt;&gt;0,SUMPRODUCT((O$107:O$108)*TRANSPOSE(($D111:$E111))),0)</f>
        <v>703564.16699707822</v>
      </c>
      <c r="P111" s="31" cm="1">
        <f t="array" ref="P111">P$106+IF($C111&lt;&gt;0,SUMPRODUCT((P$107:P$108)*TRANSPOSE(($D111:$E111))),0)</f>
        <v>931404.69536797807</v>
      </c>
      <c r="Q111" s="31" cm="1">
        <f t="array" ref="Q111">Q$106+IF($C111&lt;&gt;0,SUMPRODUCT((Q$107:Q$108)*TRANSPOSE(($D111:$E111))),0)</f>
        <v>931404.69536797807</v>
      </c>
      <c r="R111" s="31" cm="1">
        <f t="array" ref="R111">R$106+IF($C111&lt;&gt;0,SUMPRODUCT((R$107:R$108)*TRANSPOSE(($D111:$E111))),0)</f>
        <v>931404.69536797807</v>
      </c>
      <c r="S111" s="31" cm="1">
        <f t="array" ref="S111">S$106+IF($C111&lt;&gt;0,SUMPRODUCT((S$107:S$108)*TRANSPOSE(($D111:$E111))),0)</f>
        <v>931404.69536797807</v>
      </c>
      <c r="T111" s="31" cm="1">
        <f t="array" ref="T111">T$106+IF($C111&lt;&gt;0,SUMPRODUCT((T$107:T$108)*TRANSPOSE(($D111:$E111))),0)</f>
        <v>931404.69536797807</v>
      </c>
      <c r="U111" s="31" cm="1">
        <f t="array" ref="U111">U$106+IF($C111&lt;&gt;0,SUMPRODUCT((U$107:U$108)*TRANSPOSE(($D111:$E111))),0)</f>
        <v>931404.69536797807</v>
      </c>
      <c r="V111" s="31" cm="1">
        <f t="array" ref="V111">V$106+IF($C111&lt;&gt;0,SUMPRODUCT((V$107:V$108)*TRANSPOSE(($D111:$E111))),0)</f>
        <v>931404.69536797807</v>
      </c>
      <c r="W111" s="31" cm="1">
        <f t="array" ref="W111">W$106+IF($C111&lt;&gt;0,SUMPRODUCT((W$107:W$108)*TRANSPOSE(($D111:$E111))),0)</f>
        <v>931404.69536797807</v>
      </c>
      <c r="X111" s="31" cm="1">
        <f t="array" ref="X111">X$106+IF($C111&lt;&gt;0,SUMPRODUCT((X$107:X$108)*TRANSPOSE(($D111:$E111))),0)</f>
        <v>931404.69536797807</v>
      </c>
      <c r="Y111" s="31" cm="1">
        <f t="array" ref="Y111">Y$106+IF($C111&lt;&gt;0,SUMPRODUCT((Y$107:Y$108)*TRANSPOSE(($D111:$E111))),0)</f>
        <v>931404.69536797807</v>
      </c>
      <c r="Z111" s="31" cm="1">
        <f t="array" ref="Z111">Z$106+IF($C111&lt;&gt;0,SUMPRODUCT((Z$107:Z$108)*TRANSPOSE(($D111:$E111))),0)</f>
        <v>931404.69536797807</v>
      </c>
      <c r="AA111" s="31" cm="1">
        <f t="array" ref="AA111">AA$106+IF($C111&lt;&gt;0,SUMPRODUCT((AA$107:AA$108)*TRANSPOSE(($D111:$E111))),0)</f>
        <v>931404.69536797807</v>
      </c>
      <c r="AB111" s="31" cm="1">
        <f t="array" ref="AB111">AB$106+IF($C111&lt;&gt;0,SUMPRODUCT((AB$107:AB$108)*TRANSPOSE(($D111:$E111))),0)</f>
        <v>931404.69536797807</v>
      </c>
      <c r="AC111" s="31" cm="1">
        <f t="array" ref="AC111">AC$106+IF($C111&lt;&gt;0,SUMPRODUCT((AC$107:AC$108)*TRANSPOSE(($D111:$E111))),0)</f>
        <v>931404.69536797807</v>
      </c>
      <c r="AD111" s="31" cm="1">
        <f t="array" ref="AD111">AD$106+IF($C111&lt;&gt;0,SUMPRODUCT((AD$107:AD$108)*TRANSPOSE(($D111:$E111))),0)</f>
        <v>931404.69536797807</v>
      </c>
      <c r="AE111" s="31" cm="1">
        <f t="array" ref="AE111">AE$106+IF($C111&lt;&gt;0,SUMPRODUCT((AE$107:AE$108)*TRANSPOSE(($D111:$E111))),0)</f>
        <v>931404.69536797807</v>
      </c>
      <c r="AF111" s="31" cm="1">
        <f t="array" ref="AF111">AF$106+IF($C111&lt;&gt;0,SUMPRODUCT((AF$107:AF$108)*TRANSPOSE(($D111:$E111))),0)</f>
        <v>931404.69536797807</v>
      </c>
      <c r="AG111" s="31" cm="1">
        <f t="array" ref="AG111">AG$106+IF($C111&lt;&gt;0,SUMPRODUCT((AG$107:AG$108)*TRANSPOSE(($D111:$E111))),0)</f>
        <v>931404.69536797807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233571.38611667199</v>
      </c>
      <c r="K112" s="31" cm="1">
        <f t="array" ref="K112">K$106+IF($C112&lt;&gt;0,SUMPRODUCT((K$107:K$108)*TRANSPOSE(($D112:$E112))),0)</f>
        <v>202059.08057104668</v>
      </c>
      <c r="L112" s="31" cm="1">
        <f t="array" ref="L112">L$106+IF($C112&lt;&gt;0,SUMPRODUCT((L$107:L$108)*TRANSPOSE(($D112:$E112))),0)</f>
        <v>327371.37117504183</v>
      </c>
      <c r="M112" s="31" cm="1">
        <f t="array" ref="M112">M$106+IF($C112&lt;&gt;0,SUMPRODUCT((M$107:M$108)*TRANSPOSE(($D112:$E112))),0)</f>
        <v>438224.55132472969</v>
      </c>
      <c r="N112" s="31" cm="1">
        <f t="array" ref="N112">N$106+IF($C112&lt;&gt;0,SUMPRODUCT((N$107:N$108)*TRANSPOSE(($D112:$E112))),0)</f>
        <v>563536.84192872467</v>
      </c>
      <c r="O112" s="31" cm="1">
        <f t="array" ref="O112">O$106+IF($C112&lt;&gt;0,SUMPRODUCT((O$107:O$108)*TRANSPOSE(($D112:$E112))),0)</f>
        <v>770784.09177379357</v>
      </c>
      <c r="P112" s="31" cm="1">
        <f t="array" ref="P112">P$106+IF($C112&lt;&gt;0,SUMPRODUCT((P$107:P$108)*TRANSPOSE(($D112:$E112))),0)</f>
        <v>1021408.6729817835</v>
      </c>
      <c r="Q112" s="31" cm="1">
        <f t="array" ref="Q112">Q$106+IF($C112&lt;&gt;0,SUMPRODUCT((Q$107:Q$108)*TRANSPOSE(($D112:$E112))),0)</f>
        <v>1021408.6729817835</v>
      </c>
      <c r="R112" s="31" cm="1">
        <f t="array" ref="R112">R$106+IF($C112&lt;&gt;0,SUMPRODUCT((R$107:R$108)*TRANSPOSE(($D112:$E112))),0)</f>
        <v>1021408.6729817835</v>
      </c>
      <c r="S112" s="31" cm="1">
        <f t="array" ref="S112">S$106+IF($C112&lt;&gt;0,SUMPRODUCT((S$107:S$108)*TRANSPOSE(($D112:$E112))),0)</f>
        <v>1021408.6729817835</v>
      </c>
      <c r="T112" s="31" cm="1">
        <f t="array" ref="T112">T$106+IF($C112&lt;&gt;0,SUMPRODUCT((T$107:T$108)*TRANSPOSE(($D112:$E112))),0)</f>
        <v>1021408.6729817835</v>
      </c>
      <c r="U112" s="31" cm="1">
        <f t="array" ref="U112">U$106+IF($C112&lt;&gt;0,SUMPRODUCT((U$107:U$108)*TRANSPOSE(($D112:$E112))),0)</f>
        <v>1021408.6729817835</v>
      </c>
      <c r="V112" s="31" cm="1">
        <f t="array" ref="V112">V$106+IF($C112&lt;&gt;0,SUMPRODUCT((V$107:V$108)*TRANSPOSE(($D112:$E112))),0)</f>
        <v>1021408.6729817835</v>
      </c>
      <c r="W112" s="31" cm="1">
        <f t="array" ref="W112">W$106+IF($C112&lt;&gt;0,SUMPRODUCT((W$107:W$108)*TRANSPOSE(($D112:$E112))),0)</f>
        <v>1021408.6729817835</v>
      </c>
      <c r="X112" s="31" cm="1">
        <f t="array" ref="X112">X$106+IF($C112&lt;&gt;0,SUMPRODUCT((X$107:X$108)*TRANSPOSE(($D112:$E112))),0)</f>
        <v>1021408.6729817835</v>
      </c>
      <c r="Y112" s="31" cm="1">
        <f t="array" ref="Y112">Y$106+IF($C112&lt;&gt;0,SUMPRODUCT((Y$107:Y$108)*TRANSPOSE(($D112:$E112))),0)</f>
        <v>1021408.6729817835</v>
      </c>
      <c r="Z112" s="31" cm="1">
        <f t="array" ref="Z112">Z$106+IF($C112&lt;&gt;0,SUMPRODUCT((Z$107:Z$108)*TRANSPOSE(($D112:$E112))),0)</f>
        <v>1021408.6729817835</v>
      </c>
      <c r="AA112" s="31" cm="1">
        <f t="array" ref="AA112">AA$106+IF($C112&lt;&gt;0,SUMPRODUCT((AA$107:AA$108)*TRANSPOSE(($D112:$E112))),0)</f>
        <v>1021408.6729817835</v>
      </c>
      <c r="AB112" s="31" cm="1">
        <f t="array" ref="AB112">AB$106+IF($C112&lt;&gt;0,SUMPRODUCT((AB$107:AB$108)*TRANSPOSE(($D112:$E112))),0)</f>
        <v>1021408.6729817835</v>
      </c>
      <c r="AC112" s="31" cm="1">
        <f t="array" ref="AC112">AC$106+IF($C112&lt;&gt;0,SUMPRODUCT((AC$107:AC$108)*TRANSPOSE(($D112:$E112))),0)</f>
        <v>1021408.6729817835</v>
      </c>
      <c r="AD112" s="31" cm="1">
        <f t="array" ref="AD112">AD$106+IF($C112&lt;&gt;0,SUMPRODUCT((AD$107:AD$108)*TRANSPOSE(($D112:$E112))),0)</f>
        <v>1021408.6729817835</v>
      </c>
      <c r="AE112" s="31" cm="1">
        <f t="array" ref="AE112">AE$106+IF($C112&lt;&gt;0,SUMPRODUCT((AE$107:AE$108)*TRANSPOSE(($D112:$E112))),0)</f>
        <v>1021408.6729817835</v>
      </c>
      <c r="AF112" s="31" cm="1">
        <f t="array" ref="AF112">AF$106+IF($C112&lt;&gt;0,SUMPRODUCT((AF$107:AF$108)*TRANSPOSE(($D112:$E112))),0)</f>
        <v>1021408.6729817835</v>
      </c>
      <c r="AG112" s="31" cm="1">
        <f t="array" ref="AG112">AG$106+IF($C112&lt;&gt;0,SUMPRODUCT((AG$107:AG$108)*TRANSPOSE(($D112:$E112))),0)</f>
        <v>1021408.6729817835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162590.29843189157</v>
      </c>
      <c r="K113" s="31" cm="1">
        <f t="array" ref="K113">K$106+IF($C113&lt;&gt;0,SUMPRODUCT((K$107:K$108)*TRANSPOSE(($D113:$E113))),0)</f>
        <v>108293.94004917622</v>
      </c>
      <c r="L113" s="31" cm="1">
        <f t="array" ref="L113">L$106+IF($C113&lt;&gt;0,SUMPRODUCT((L$107:L$108)*TRANSPOSE(($D113:$E113))),0)</f>
        <v>210822.17781608138</v>
      </c>
      <c r="M113" s="31" cm="1">
        <f t="array" ref="M113">M$106+IF($C113&lt;&gt;0,SUMPRODUCT((M$107:M$108)*TRANSPOSE(($D113:$E113))),0)</f>
        <v>301520.23430218955</v>
      </c>
      <c r="N113" s="31" cm="1">
        <f t="array" ref="N113">N$106+IF($C113&lt;&gt;0,SUMPRODUCT((N$107:N$108)*TRANSPOSE(($D113:$E113))),0)</f>
        <v>404048.4720690946</v>
      </c>
      <c r="O113" s="31" cm="1">
        <f t="array" ref="O113">O$106+IF($C113&lt;&gt;0,SUMPRODUCT((O$107:O$108)*TRANSPOSE(($D113:$E113))),0)</f>
        <v>573614.40376051469</v>
      </c>
      <c r="P113" s="31" cm="1">
        <f t="array" ref="P113">P$106+IF($C113&lt;&gt;0,SUMPRODUCT((P$107:P$108)*TRANSPOSE(($D113:$E113))),0)</f>
        <v>778670.87929432443</v>
      </c>
      <c r="Q113" s="31" cm="1">
        <f t="array" ref="Q113">Q$106+IF($C113&lt;&gt;0,SUMPRODUCT((Q$107:Q$108)*TRANSPOSE(($D113:$E113))),0)</f>
        <v>778670.87929432443</v>
      </c>
      <c r="R113" s="31" cm="1">
        <f t="array" ref="R113">R$106+IF($C113&lt;&gt;0,SUMPRODUCT((R$107:R$108)*TRANSPOSE(($D113:$E113))),0)</f>
        <v>778670.87929432443</v>
      </c>
      <c r="S113" s="31" cm="1">
        <f t="array" ref="S113">S$106+IF($C113&lt;&gt;0,SUMPRODUCT((S$107:S$108)*TRANSPOSE(($D113:$E113))),0)</f>
        <v>778670.87929432443</v>
      </c>
      <c r="T113" s="31" cm="1">
        <f t="array" ref="T113">T$106+IF($C113&lt;&gt;0,SUMPRODUCT((T$107:T$108)*TRANSPOSE(($D113:$E113))),0)</f>
        <v>778670.87929432443</v>
      </c>
      <c r="U113" s="31" cm="1">
        <f t="array" ref="U113">U$106+IF($C113&lt;&gt;0,SUMPRODUCT((U$107:U$108)*TRANSPOSE(($D113:$E113))),0)</f>
        <v>778670.87929432443</v>
      </c>
      <c r="V113" s="31" cm="1">
        <f t="array" ref="V113">V$106+IF($C113&lt;&gt;0,SUMPRODUCT((V$107:V$108)*TRANSPOSE(($D113:$E113))),0)</f>
        <v>778670.87929432443</v>
      </c>
      <c r="W113" s="31" cm="1">
        <f t="array" ref="W113">W$106+IF($C113&lt;&gt;0,SUMPRODUCT((W$107:W$108)*TRANSPOSE(($D113:$E113))),0)</f>
        <v>778670.87929432443</v>
      </c>
      <c r="X113" s="31" cm="1">
        <f t="array" ref="X113">X$106+IF($C113&lt;&gt;0,SUMPRODUCT((X$107:X$108)*TRANSPOSE(($D113:$E113))),0)</f>
        <v>778670.87929432443</v>
      </c>
      <c r="Y113" s="31" cm="1">
        <f t="array" ref="Y113">Y$106+IF($C113&lt;&gt;0,SUMPRODUCT((Y$107:Y$108)*TRANSPOSE(($D113:$E113))),0)</f>
        <v>778670.87929432443</v>
      </c>
      <c r="Z113" s="31" cm="1">
        <f t="array" ref="Z113">Z$106+IF($C113&lt;&gt;0,SUMPRODUCT((Z$107:Z$108)*TRANSPOSE(($D113:$E113))),0)</f>
        <v>778670.87929432443</v>
      </c>
      <c r="AA113" s="31" cm="1">
        <f t="array" ref="AA113">AA$106+IF($C113&lt;&gt;0,SUMPRODUCT((AA$107:AA$108)*TRANSPOSE(($D113:$E113))),0)</f>
        <v>778670.87929432443</v>
      </c>
      <c r="AB113" s="31" cm="1">
        <f t="array" ref="AB113">AB$106+IF($C113&lt;&gt;0,SUMPRODUCT((AB$107:AB$108)*TRANSPOSE(($D113:$E113))),0)</f>
        <v>778670.87929432443</v>
      </c>
      <c r="AC113" s="31" cm="1">
        <f t="array" ref="AC113">AC$106+IF($C113&lt;&gt;0,SUMPRODUCT((AC$107:AC$108)*TRANSPOSE(($D113:$E113))),0)</f>
        <v>778670.87929432443</v>
      </c>
      <c r="AD113" s="31" cm="1">
        <f t="array" ref="AD113">AD$106+IF($C113&lt;&gt;0,SUMPRODUCT((AD$107:AD$108)*TRANSPOSE(($D113:$E113))),0)</f>
        <v>778670.87929432443</v>
      </c>
      <c r="AE113" s="31" cm="1">
        <f t="array" ref="AE113">AE$106+IF($C113&lt;&gt;0,SUMPRODUCT((AE$107:AE$108)*TRANSPOSE(($D113:$E113))),0)</f>
        <v>778670.87929432443</v>
      </c>
      <c r="AF113" s="31" cm="1">
        <f t="array" ref="AF113">AF$106+IF($C113&lt;&gt;0,SUMPRODUCT((AF$107:AF$108)*TRANSPOSE(($D113:$E113))),0)</f>
        <v>778670.87929432443</v>
      </c>
      <c r="AG113" s="31" cm="1">
        <f t="array" ref="AG113">AG$106+IF($C113&lt;&gt;0,SUMPRODUCT((AG$107:AG$108)*TRANSPOSE(($D113:$E113))),0)</f>
        <v>778670.87929432443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146907.83881692952</v>
      </c>
      <c r="K114" s="31" cm="1">
        <f t="array" ref="K114">K$106+IF($C114&lt;&gt;0,SUMPRODUCT((K$107:K$108)*TRANSPOSE(($D114:$E114))),0)</f>
        <v>76929.020819252153</v>
      </c>
      <c r="L114" s="31" cm="1">
        <f t="array" ref="L114">L$106+IF($C114&lt;&gt;0,SUMPRODUCT((L$107:L$108)*TRANSPOSE(($D114:$E114))),0)</f>
        <v>179457.25858615729</v>
      </c>
      <c r="M114" s="31" cm="1">
        <f t="array" ref="M114">M$106+IF($C114&lt;&gt;0,SUMPRODUCT((M$107:M$108)*TRANSPOSE(($D114:$E114))),0)</f>
        <v>270155.31507226551</v>
      </c>
      <c r="N114" s="31" cm="1">
        <f t="array" ref="N114">N$106+IF($C114&lt;&gt;0,SUMPRODUCT((N$107:N$108)*TRANSPOSE(($D114:$E114))),0)</f>
        <v>372683.55283917056</v>
      </c>
      <c r="O114" s="31" cm="1">
        <f t="array" ref="O114">O$106+IF($C114&lt;&gt;0,SUMPRODUCT((O$107:O$108)*TRANSPOSE(($D114:$E114))),0)</f>
        <v>542249.48453059059</v>
      </c>
      <c r="P114" s="31" cm="1">
        <f t="array" ref="P114">P$106+IF($C114&lt;&gt;0,SUMPRODUCT((P$107:P$108)*TRANSPOSE(($D114:$E114))),0)</f>
        <v>747305.96006440045</v>
      </c>
      <c r="Q114" s="31" cm="1">
        <f t="array" ref="Q114">Q$106+IF($C114&lt;&gt;0,SUMPRODUCT((Q$107:Q$108)*TRANSPOSE(($D114:$E114))),0)</f>
        <v>747305.96006440045</v>
      </c>
      <c r="R114" s="31" cm="1">
        <f t="array" ref="R114">R$106+IF($C114&lt;&gt;0,SUMPRODUCT((R$107:R$108)*TRANSPOSE(($D114:$E114))),0)</f>
        <v>747305.96006440045</v>
      </c>
      <c r="S114" s="31" cm="1">
        <f t="array" ref="S114">S$106+IF($C114&lt;&gt;0,SUMPRODUCT((S$107:S$108)*TRANSPOSE(($D114:$E114))),0)</f>
        <v>747305.96006440045</v>
      </c>
      <c r="T114" s="31" cm="1">
        <f t="array" ref="T114">T$106+IF($C114&lt;&gt;0,SUMPRODUCT((T$107:T$108)*TRANSPOSE(($D114:$E114))),0)</f>
        <v>747305.96006440045</v>
      </c>
      <c r="U114" s="31" cm="1">
        <f t="array" ref="U114">U$106+IF($C114&lt;&gt;0,SUMPRODUCT((U$107:U$108)*TRANSPOSE(($D114:$E114))),0)</f>
        <v>747305.96006440045</v>
      </c>
      <c r="V114" s="31" cm="1">
        <f t="array" ref="V114">V$106+IF($C114&lt;&gt;0,SUMPRODUCT((V$107:V$108)*TRANSPOSE(($D114:$E114))),0)</f>
        <v>747305.96006440045</v>
      </c>
      <c r="W114" s="31" cm="1">
        <f t="array" ref="W114">W$106+IF($C114&lt;&gt;0,SUMPRODUCT((W$107:W$108)*TRANSPOSE(($D114:$E114))),0)</f>
        <v>747305.96006440045</v>
      </c>
      <c r="X114" s="31" cm="1">
        <f t="array" ref="X114">X$106+IF($C114&lt;&gt;0,SUMPRODUCT((X$107:X$108)*TRANSPOSE(($D114:$E114))),0)</f>
        <v>747305.96006440045</v>
      </c>
      <c r="Y114" s="31" cm="1">
        <f t="array" ref="Y114">Y$106+IF($C114&lt;&gt;0,SUMPRODUCT((Y$107:Y$108)*TRANSPOSE(($D114:$E114))),0)</f>
        <v>747305.96006440045</v>
      </c>
      <c r="Z114" s="31" cm="1">
        <f t="array" ref="Z114">Z$106+IF($C114&lt;&gt;0,SUMPRODUCT((Z$107:Z$108)*TRANSPOSE(($D114:$E114))),0)</f>
        <v>747305.96006440045</v>
      </c>
      <c r="AA114" s="31" cm="1">
        <f t="array" ref="AA114">AA$106+IF($C114&lt;&gt;0,SUMPRODUCT((AA$107:AA$108)*TRANSPOSE(($D114:$E114))),0)</f>
        <v>747305.96006440045</v>
      </c>
      <c r="AB114" s="31" cm="1">
        <f t="array" ref="AB114">AB$106+IF($C114&lt;&gt;0,SUMPRODUCT((AB$107:AB$108)*TRANSPOSE(($D114:$E114))),0)</f>
        <v>747305.96006440045</v>
      </c>
      <c r="AC114" s="31" cm="1">
        <f t="array" ref="AC114">AC$106+IF($C114&lt;&gt;0,SUMPRODUCT((AC$107:AC$108)*TRANSPOSE(($D114:$E114))),0)</f>
        <v>747305.96006440045</v>
      </c>
      <c r="AD114" s="31" cm="1">
        <f t="array" ref="AD114">AD$106+IF($C114&lt;&gt;0,SUMPRODUCT((AD$107:AD$108)*TRANSPOSE(($D114:$E114))),0)</f>
        <v>747305.96006440045</v>
      </c>
      <c r="AE114" s="31" cm="1">
        <f t="array" ref="AE114">AE$106+IF($C114&lt;&gt;0,SUMPRODUCT((AE$107:AE$108)*TRANSPOSE(($D114:$E114))),0)</f>
        <v>747305.96006440045</v>
      </c>
      <c r="AF114" s="31" cm="1">
        <f t="array" ref="AF114">AF$106+IF($C114&lt;&gt;0,SUMPRODUCT((AF$107:AF$108)*TRANSPOSE(($D114:$E114))),0)</f>
        <v>747305.96006440045</v>
      </c>
      <c r="AG114" s="31" cm="1">
        <f t="array" ref="AG114">AG$106+IF($C114&lt;&gt;0,SUMPRODUCT((AG$107:AG$108)*TRANSPOSE(($D114:$E114))),0)</f>
        <v>747305.96006440045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198080.84227428178</v>
      </c>
      <c r="K115" s="31" cm="1">
        <f t="array" ref="K115">K$106+IF($C115&lt;&gt;0,SUMPRODUCT((K$107:K$108)*TRANSPOSE(($D115:$E115))),0)</f>
        <v>155176.51031011145</v>
      </c>
      <c r="L115" s="31" cm="1">
        <f t="array" ref="L115">L$106+IF($C115&lt;&gt;0,SUMPRODUCT((L$107:L$108)*TRANSPOSE(($D115:$E115))),0)</f>
        <v>269096.77449556161</v>
      </c>
      <c r="M115" s="31" cm="1">
        <f t="array" ref="M115">M$106+IF($C115&lt;&gt;0,SUMPRODUCT((M$107:M$108)*TRANSPOSE(($D115:$E115))),0)</f>
        <v>369872.39281345962</v>
      </c>
      <c r="N115" s="31" cm="1">
        <f t="array" ref="N115">N$106+IF($C115&lt;&gt;0,SUMPRODUCT((N$107:N$108)*TRANSPOSE(($D115:$E115))),0)</f>
        <v>483792.65699890966</v>
      </c>
      <c r="O115" s="31" cm="1">
        <f t="array" ref="O115">O$106+IF($C115&lt;&gt;0,SUMPRODUCT((O$107:O$108)*TRANSPOSE(($D115:$E115))),0)</f>
        <v>672199.24776715413</v>
      </c>
      <c r="P115" s="31" cm="1">
        <f t="array" ref="P115">P$106+IF($C115&lt;&gt;0,SUMPRODUCT((P$107:P$108)*TRANSPOSE(($D115:$E115))),0)</f>
        <v>900039.77613805397</v>
      </c>
      <c r="Q115" s="31" cm="1">
        <f t="array" ref="Q115">Q$106+IF($C115&lt;&gt;0,SUMPRODUCT((Q$107:Q$108)*TRANSPOSE(($D115:$E115))),0)</f>
        <v>900039.77613805397</v>
      </c>
      <c r="R115" s="31" cm="1">
        <f t="array" ref="R115">R$106+IF($C115&lt;&gt;0,SUMPRODUCT((R$107:R$108)*TRANSPOSE(($D115:$E115))),0)</f>
        <v>900039.77613805397</v>
      </c>
      <c r="S115" s="31" cm="1">
        <f t="array" ref="S115">S$106+IF($C115&lt;&gt;0,SUMPRODUCT((S$107:S$108)*TRANSPOSE(($D115:$E115))),0)</f>
        <v>900039.77613805397</v>
      </c>
      <c r="T115" s="31" cm="1">
        <f t="array" ref="T115">T$106+IF($C115&lt;&gt;0,SUMPRODUCT((T$107:T$108)*TRANSPOSE(($D115:$E115))),0)</f>
        <v>900039.77613805397</v>
      </c>
      <c r="U115" s="31" cm="1">
        <f t="array" ref="U115">U$106+IF($C115&lt;&gt;0,SUMPRODUCT((U$107:U$108)*TRANSPOSE(($D115:$E115))),0)</f>
        <v>900039.77613805397</v>
      </c>
      <c r="V115" s="31" cm="1">
        <f t="array" ref="V115">V$106+IF($C115&lt;&gt;0,SUMPRODUCT((V$107:V$108)*TRANSPOSE(($D115:$E115))),0)</f>
        <v>900039.77613805397</v>
      </c>
      <c r="W115" s="31" cm="1">
        <f t="array" ref="W115">W$106+IF($C115&lt;&gt;0,SUMPRODUCT((W$107:W$108)*TRANSPOSE(($D115:$E115))),0)</f>
        <v>900039.77613805397</v>
      </c>
      <c r="X115" s="31" cm="1">
        <f t="array" ref="X115">X$106+IF($C115&lt;&gt;0,SUMPRODUCT((X$107:X$108)*TRANSPOSE(($D115:$E115))),0)</f>
        <v>900039.77613805397</v>
      </c>
      <c r="Y115" s="31" cm="1">
        <f t="array" ref="Y115">Y$106+IF($C115&lt;&gt;0,SUMPRODUCT((Y$107:Y$108)*TRANSPOSE(($D115:$E115))),0)</f>
        <v>900039.77613805397</v>
      </c>
      <c r="Z115" s="31" cm="1">
        <f t="array" ref="Z115">Z$106+IF($C115&lt;&gt;0,SUMPRODUCT((Z$107:Z$108)*TRANSPOSE(($D115:$E115))),0)</f>
        <v>900039.77613805397</v>
      </c>
      <c r="AA115" s="31" cm="1">
        <f t="array" ref="AA115">AA$106+IF($C115&lt;&gt;0,SUMPRODUCT((AA$107:AA$108)*TRANSPOSE(($D115:$E115))),0)</f>
        <v>900039.77613805397</v>
      </c>
      <c r="AB115" s="31" cm="1">
        <f t="array" ref="AB115">AB$106+IF($C115&lt;&gt;0,SUMPRODUCT((AB$107:AB$108)*TRANSPOSE(($D115:$E115))),0)</f>
        <v>900039.77613805397</v>
      </c>
      <c r="AC115" s="31" cm="1">
        <f t="array" ref="AC115">AC$106+IF($C115&lt;&gt;0,SUMPRODUCT((AC$107:AC$108)*TRANSPOSE(($D115:$E115))),0)</f>
        <v>900039.77613805397</v>
      </c>
      <c r="AD115" s="31" cm="1">
        <f t="array" ref="AD115">AD$106+IF($C115&lt;&gt;0,SUMPRODUCT((AD$107:AD$108)*TRANSPOSE(($D115:$E115))),0)</f>
        <v>900039.77613805397</v>
      </c>
      <c r="AE115" s="31" cm="1">
        <f t="array" ref="AE115">AE$106+IF($C115&lt;&gt;0,SUMPRODUCT((AE$107:AE$108)*TRANSPOSE(($D115:$E115))),0)</f>
        <v>900039.77613805397</v>
      </c>
      <c r="AF115" s="31" cm="1">
        <f t="array" ref="AF115">AF$106+IF($C115&lt;&gt;0,SUMPRODUCT((AF$107:AF$108)*TRANSPOSE(($D115:$E115))),0)</f>
        <v>900039.77613805397</v>
      </c>
      <c r="AG115" s="31" cm="1">
        <f t="array" ref="AG115">AG$106+IF($C115&lt;&gt;0,SUMPRODUCT((AG$107:AG$108)*TRANSPOSE(($D115:$E115))),0)</f>
        <v>900039.77613805397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198080.84227428178</v>
      </c>
      <c r="K116" s="31" cm="1">
        <f t="array" ref="K116">K$106+IF($C116&lt;&gt;0,SUMPRODUCT((K$107:K$108)*TRANSPOSE(($D116:$E116))),0)</f>
        <v>155176.51031011145</v>
      </c>
      <c r="L116" s="31" cm="1">
        <f t="array" ref="L116">L$106+IF($C116&lt;&gt;0,SUMPRODUCT((L$107:L$108)*TRANSPOSE(($D116:$E116))),0)</f>
        <v>269096.77449556161</v>
      </c>
      <c r="M116" s="31" cm="1">
        <f t="array" ref="M116">M$106+IF($C116&lt;&gt;0,SUMPRODUCT((M$107:M$108)*TRANSPOSE(($D116:$E116))),0)</f>
        <v>369872.39281345962</v>
      </c>
      <c r="N116" s="31" cm="1">
        <f t="array" ref="N116">N$106+IF($C116&lt;&gt;0,SUMPRODUCT((N$107:N$108)*TRANSPOSE(($D116:$E116))),0)</f>
        <v>483792.65699890966</v>
      </c>
      <c r="O116" s="31" cm="1">
        <f t="array" ref="O116">O$106+IF($C116&lt;&gt;0,SUMPRODUCT((O$107:O$108)*TRANSPOSE(($D116:$E116))),0)</f>
        <v>672199.24776715413</v>
      </c>
      <c r="P116" s="31" cm="1">
        <f t="array" ref="P116">P$106+IF($C116&lt;&gt;0,SUMPRODUCT((P$107:P$108)*TRANSPOSE(($D116:$E116))),0)</f>
        <v>900039.77613805397</v>
      </c>
      <c r="Q116" s="31" cm="1">
        <f t="array" ref="Q116">Q$106+IF($C116&lt;&gt;0,SUMPRODUCT((Q$107:Q$108)*TRANSPOSE(($D116:$E116))),0)</f>
        <v>900039.77613805397</v>
      </c>
      <c r="R116" s="31" cm="1">
        <f t="array" ref="R116">R$106+IF($C116&lt;&gt;0,SUMPRODUCT((R$107:R$108)*TRANSPOSE(($D116:$E116))),0)</f>
        <v>900039.77613805397</v>
      </c>
      <c r="S116" s="31" cm="1">
        <f t="array" ref="S116">S$106+IF($C116&lt;&gt;0,SUMPRODUCT((S$107:S$108)*TRANSPOSE(($D116:$E116))),0)</f>
        <v>900039.77613805397</v>
      </c>
      <c r="T116" s="31" cm="1">
        <f t="array" ref="T116">T$106+IF($C116&lt;&gt;0,SUMPRODUCT((T$107:T$108)*TRANSPOSE(($D116:$E116))),0)</f>
        <v>900039.77613805397</v>
      </c>
      <c r="U116" s="31" cm="1">
        <f t="array" ref="U116">U$106+IF($C116&lt;&gt;0,SUMPRODUCT((U$107:U$108)*TRANSPOSE(($D116:$E116))),0)</f>
        <v>900039.77613805397</v>
      </c>
      <c r="V116" s="31" cm="1">
        <f t="array" ref="V116">V$106+IF($C116&lt;&gt;0,SUMPRODUCT((V$107:V$108)*TRANSPOSE(($D116:$E116))),0)</f>
        <v>900039.77613805397</v>
      </c>
      <c r="W116" s="31" cm="1">
        <f t="array" ref="W116">W$106+IF($C116&lt;&gt;0,SUMPRODUCT((W$107:W$108)*TRANSPOSE(($D116:$E116))),0)</f>
        <v>900039.77613805397</v>
      </c>
      <c r="X116" s="31" cm="1">
        <f t="array" ref="X116">X$106+IF($C116&lt;&gt;0,SUMPRODUCT((X$107:X$108)*TRANSPOSE(($D116:$E116))),0)</f>
        <v>900039.77613805397</v>
      </c>
      <c r="Y116" s="31" cm="1">
        <f t="array" ref="Y116">Y$106+IF($C116&lt;&gt;0,SUMPRODUCT((Y$107:Y$108)*TRANSPOSE(($D116:$E116))),0)</f>
        <v>900039.77613805397</v>
      </c>
      <c r="Z116" s="31" cm="1">
        <f t="array" ref="Z116">Z$106+IF($C116&lt;&gt;0,SUMPRODUCT((Z$107:Z$108)*TRANSPOSE(($D116:$E116))),0)</f>
        <v>900039.77613805397</v>
      </c>
      <c r="AA116" s="31" cm="1">
        <f t="array" ref="AA116">AA$106+IF($C116&lt;&gt;0,SUMPRODUCT((AA$107:AA$108)*TRANSPOSE(($D116:$E116))),0)</f>
        <v>900039.77613805397</v>
      </c>
      <c r="AB116" s="31" cm="1">
        <f t="array" ref="AB116">AB$106+IF($C116&lt;&gt;0,SUMPRODUCT((AB$107:AB$108)*TRANSPOSE(($D116:$E116))),0)</f>
        <v>900039.77613805397</v>
      </c>
      <c r="AC116" s="31" cm="1">
        <f t="array" ref="AC116">AC$106+IF($C116&lt;&gt;0,SUMPRODUCT((AC$107:AC$108)*TRANSPOSE(($D116:$E116))),0)</f>
        <v>900039.77613805397</v>
      </c>
      <c r="AD116" s="31" cm="1">
        <f t="array" ref="AD116">AD$106+IF($C116&lt;&gt;0,SUMPRODUCT((AD$107:AD$108)*TRANSPOSE(($D116:$E116))),0)</f>
        <v>900039.77613805397</v>
      </c>
      <c r="AE116" s="31" cm="1">
        <f t="array" ref="AE116">AE$106+IF($C116&lt;&gt;0,SUMPRODUCT((AE$107:AE$108)*TRANSPOSE(($D116:$E116))),0)</f>
        <v>900039.77613805397</v>
      </c>
      <c r="AF116" s="31" cm="1">
        <f t="array" ref="AF116">AF$106+IF($C116&lt;&gt;0,SUMPRODUCT((AF$107:AF$108)*TRANSPOSE(($D116:$E116))),0)</f>
        <v>900039.77613805397</v>
      </c>
      <c r="AG116" s="31" cm="1">
        <f t="array" ref="AG116">AG$106+IF($C116&lt;&gt;0,SUMPRODUCT((AG$107:AG$108)*TRANSPOSE(($D116:$E116))),0)</f>
        <v>900039.77613805397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198080.84227428178</v>
      </c>
      <c r="K117" s="31" cm="1">
        <f t="array" ref="K117">K$106+IF($C117&lt;&gt;0,SUMPRODUCT((K$107:K$108)*TRANSPOSE(($D117:$E117))),0)</f>
        <v>155176.51031011145</v>
      </c>
      <c r="L117" s="31" cm="1">
        <f t="array" ref="L117">L$106+IF($C117&lt;&gt;0,SUMPRODUCT((L$107:L$108)*TRANSPOSE(($D117:$E117))),0)</f>
        <v>269096.77449556161</v>
      </c>
      <c r="M117" s="31" cm="1">
        <f t="array" ref="M117">M$106+IF($C117&lt;&gt;0,SUMPRODUCT((M$107:M$108)*TRANSPOSE(($D117:$E117))),0)</f>
        <v>369872.39281345962</v>
      </c>
      <c r="N117" s="31" cm="1">
        <f t="array" ref="N117">N$106+IF($C117&lt;&gt;0,SUMPRODUCT((N$107:N$108)*TRANSPOSE(($D117:$E117))),0)</f>
        <v>483792.65699890966</v>
      </c>
      <c r="O117" s="31" cm="1">
        <f t="array" ref="O117">O$106+IF($C117&lt;&gt;0,SUMPRODUCT((O$107:O$108)*TRANSPOSE(($D117:$E117))),0)</f>
        <v>672199.24776715413</v>
      </c>
      <c r="P117" s="31" cm="1">
        <f t="array" ref="P117">P$106+IF($C117&lt;&gt;0,SUMPRODUCT((P$107:P$108)*TRANSPOSE(($D117:$E117))),0)</f>
        <v>900039.77613805397</v>
      </c>
      <c r="Q117" s="31" cm="1">
        <f t="array" ref="Q117">Q$106+IF($C117&lt;&gt;0,SUMPRODUCT((Q$107:Q$108)*TRANSPOSE(($D117:$E117))),0)</f>
        <v>900039.77613805397</v>
      </c>
      <c r="R117" s="31" cm="1">
        <f t="array" ref="R117">R$106+IF($C117&lt;&gt;0,SUMPRODUCT((R$107:R$108)*TRANSPOSE(($D117:$E117))),0)</f>
        <v>900039.77613805397</v>
      </c>
      <c r="S117" s="31" cm="1">
        <f t="array" ref="S117">S$106+IF($C117&lt;&gt;0,SUMPRODUCT((S$107:S$108)*TRANSPOSE(($D117:$E117))),0)</f>
        <v>900039.77613805397</v>
      </c>
      <c r="T117" s="31" cm="1">
        <f t="array" ref="T117">T$106+IF($C117&lt;&gt;0,SUMPRODUCT((T$107:T$108)*TRANSPOSE(($D117:$E117))),0)</f>
        <v>900039.77613805397</v>
      </c>
      <c r="U117" s="31" cm="1">
        <f t="array" ref="U117">U$106+IF($C117&lt;&gt;0,SUMPRODUCT((U$107:U$108)*TRANSPOSE(($D117:$E117))),0)</f>
        <v>900039.77613805397</v>
      </c>
      <c r="V117" s="31" cm="1">
        <f t="array" ref="V117">V$106+IF($C117&lt;&gt;0,SUMPRODUCT((V$107:V$108)*TRANSPOSE(($D117:$E117))),0)</f>
        <v>900039.77613805397</v>
      </c>
      <c r="W117" s="31" cm="1">
        <f t="array" ref="W117">W$106+IF($C117&lt;&gt;0,SUMPRODUCT((W$107:W$108)*TRANSPOSE(($D117:$E117))),0)</f>
        <v>900039.77613805397</v>
      </c>
      <c r="X117" s="31" cm="1">
        <f t="array" ref="X117">X$106+IF($C117&lt;&gt;0,SUMPRODUCT((X$107:X$108)*TRANSPOSE(($D117:$E117))),0)</f>
        <v>900039.77613805397</v>
      </c>
      <c r="Y117" s="31" cm="1">
        <f t="array" ref="Y117">Y$106+IF($C117&lt;&gt;0,SUMPRODUCT((Y$107:Y$108)*TRANSPOSE(($D117:$E117))),0)</f>
        <v>900039.77613805397</v>
      </c>
      <c r="Z117" s="31" cm="1">
        <f t="array" ref="Z117">Z$106+IF($C117&lt;&gt;0,SUMPRODUCT((Z$107:Z$108)*TRANSPOSE(($D117:$E117))),0)</f>
        <v>900039.77613805397</v>
      </c>
      <c r="AA117" s="31" cm="1">
        <f t="array" ref="AA117">AA$106+IF($C117&lt;&gt;0,SUMPRODUCT((AA$107:AA$108)*TRANSPOSE(($D117:$E117))),0)</f>
        <v>900039.77613805397</v>
      </c>
      <c r="AB117" s="31" cm="1">
        <f t="array" ref="AB117">AB$106+IF($C117&lt;&gt;0,SUMPRODUCT((AB$107:AB$108)*TRANSPOSE(($D117:$E117))),0)</f>
        <v>900039.77613805397</v>
      </c>
      <c r="AC117" s="31" cm="1">
        <f t="array" ref="AC117">AC$106+IF($C117&lt;&gt;0,SUMPRODUCT((AC$107:AC$108)*TRANSPOSE(($D117:$E117))),0)</f>
        <v>900039.77613805397</v>
      </c>
      <c r="AD117" s="31" cm="1">
        <f t="array" ref="AD117">AD$106+IF($C117&lt;&gt;0,SUMPRODUCT((AD$107:AD$108)*TRANSPOSE(($D117:$E117))),0)</f>
        <v>900039.77613805397</v>
      </c>
      <c r="AE117" s="31" cm="1">
        <f t="array" ref="AE117">AE$106+IF($C117&lt;&gt;0,SUMPRODUCT((AE$107:AE$108)*TRANSPOSE(($D117:$E117))),0)</f>
        <v>900039.77613805397</v>
      </c>
      <c r="AF117" s="31" cm="1">
        <f t="array" ref="AF117">AF$106+IF($C117&lt;&gt;0,SUMPRODUCT((AF$107:AF$108)*TRANSPOSE(($D117:$E117))),0)</f>
        <v>900039.77613805397</v>
      </c>
      <c r="AG117" s="31" cm="1">
        <f t="array" ref="AG117">AG$106+IF($C117&lt;&gt;0,SUMPRODUCT((AG$107:AG$108)*TRANSPOSE(($D117:$E117))),0)</f>
        <v>900039.77613805397</v>
      </c>
    </row>
    <row r="118" spans="1:33" x14ac:dyDescent="0.2">
      <c r="E118" s="248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53"/>
      <c r="J129" s="253"/>
      <c r="K129" s="253"/>
      <c r="L129" s="253"/>
    </row>
    <row r="130" spans="9:12" x14ac:dyDescent="0.2">
      <c r="I130" s="253"/>
      <c r="J130" s="253"/>
      <c r="K130" s="253"/>
      <c r="L130" s="253"/>
    </row>
    <row r="131" spans="9:12" x14ac:dyDescent="0.2">
      <c r="I131" s="253"/>
      <c r="J131" s="253"/>
      <c r="K131" s="253"/>
      <c r="L131" s="253"/>
    </row>
    <row r="132" spans="9:12" x14ac:dyDescent="0.2">
      <c r="I132" s="253"/>
      <c r="J132" s="253"/>
      <c r="K132" s="253"/>
      <c r="L132" s="253"/>
    </row>
    <row r="133" spans="9:12" x14ac:dyDescent="0.2">
      <c r="I133" s="253"/>
      <c r="J133" s="253"/>
      <c r="K133" s="253"/>
      <c r="L133" s="253"/>
    </row>
    <row r="134" spans="9:12" x14ac:dyDescent="0.2">
      <c r="I134" s="253"/>
      <c r="J134" s="253"/>
      <c r="K134" s="253"/>
      <c r="L134" s="253"/>
    </row>
    <row r="135" spans="9:12" x14ac:dyDescent="0.2">
      <c r="I135" s="253"/>
      <c r="J135" s="253"/>
      <c r="K135" s="253"/>
      <c r="L135" s="253"/>
    </row>
    <row r="136" spans="9:12" x14ac:dyDescent="0.2">
      <c r="I136" s="253"/>
      <c r="J136" s="253"/>
      <c r="K136" s="253"/>
      <c r="L136" s="253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7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S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Collingwood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135</v>
      </c>
      <c r="B3" s="5"/>
      <c r="C3" s="204" t="str">
        <f>INDEX(Assumptions!$E$14:$E$18, MATCH(A3,_xlfn.ANCHORARRAY( Assumptions!$C$14),0))</f>
        <v>Offload feeders at B to CW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249</v>
      </c>
      <c r="D14"/>
      <c r="E14" s="151">
        <v>50</v>
      </c>
      <c r="G14" s="211">
        <f>input_dollars</f>
        <v>45291</v>
      </c>
      <c r="H14" s="152"/>
      <c r="I14" s="32">
        <v>8989836.3414999992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/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/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8989836.3414999992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9"/>
      <c r="AH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6.8</v>
      </c>
      <c r="J27" s="172">
        <v>0.3</v>
      </c>
      <c r="K27" s="172">
        <v>0.3</v>
      </c>
      <c r="L27" s="172">
        <v>0.3</v>
      </c>
      <c r="M27" s="172">
        <v>0.3</v>
      </c>
      <c r="N27" s="172">
        <v>1</v>
      </c>
      <c r="O27" s="172">
        <v>1.2999999999999998</v>
      </c>
      <c r="P27" s="172">
        <v>1.2999999999999998</v>
      </c>
      <c r="Q27" s="172">
        <v>1.2999999999999998</v>
      </c>
      <c r="R27" s="172">
        <v>1.2999999999999998</v>
      </c>
      <c r="S27" s="172">
        <v>1.2999999999999998</v>
      </c>
      <c r="T27" s="172">
        <v>1.2999999999999998</v>
      </c>
      <c r="U27" s="172">
        <v>1.2999999999999998</v>
      </c>
      <c r="V27" s="172">
        <v>1.2999999999999998</v>
      </c>
      <c r="W27" s="172">
        <v>1.2999999999999998</v>
      </c>
      <c r="X27" s="172">
        <v>1.2999999999999998</v>
      </c>
      <c r="Y27" s="172">
        <v>1.2999999999999998</v>
      </c>
      <c r="Z27" s="172">
        <v>1.2999999999999998</v>
      </c>
      <c r="AA27" s="172">
        <v>1.2999999999999998</v>
      </c>
      <c r="AB27" s="172">
        <v>1.2999999999999998</v>
      </c>
      <c r="AC27" s="172">
        <v>1.2999999999999998</v>
      </c>
      <c r="AD27" s="172">
        <v>1.2999999999999998</v>
      </c>
      <c r="AE27" s="172">
        <v>1.2999999999999998</v>
      </c>
      <c r="AF27" s="172">
        <v>1.2999999999999998</v>
      </c>
      <c r="AG27" s="172">
        <v>1.2999999999999998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43815.486225173103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297945.30633117707</v>
      </c>
      <c r="J28" s="119">
        <f t="shared" ref="J28:AG28" si="2">J27*$E$28</f>
        <v>13144.64586755193</v>
      </c>
      <c r="K28" s="119">
        <f t="shared" si="2"/>
        <v>13144.64586755193</v>
      </c>
      <c r="L28" s="119">
        <f t="shared" si="2"/>
        <v>13144.64586755193</v>
      </c>
      <c r="M28" s="119">
        <f t="shared" si="2"/>
        <v>13144.64586755193</v>
      </c>
      <c r="N28" s="119">
        <f t="shared" si="2"/>
        <v>43815.486225173103</v>
      </c>
      <c r="O28" s="119">
        <f t="shared" si="2"/>
        <v>56960.132092725027</v>
      </c>
      <c r="P28" s="119">
        <f t="shared" si="2"/>
        <v>56960.132092725027</v>
      </c>
      <c r="Q28" s="119">
        <f t="shared" si="2"/>
        <v>56960.132092725027</v>
      </c>
      <c r="R28" s="119">
        <f t="shared" si="2"/>
        <v>56960.132092725027</v>
      </c>
      <c r="S28" s="119">
        <f t="shared" si="2"/>
        <v>56960.132092725027</v>
      </c>
      <c r="T28" s="119">
        <f t="shared" si="2"/>
        <v>56960.132092725027</v>
      </c>
      <c r="U28" s="119">
        <f t="shared" si="2"/>
        <v>56960.132092725027</v>
      </c>
      <c r="V28" s="119">
        <f t="shared" si="2"/>
        <v>56960.132092725027</v>
      </c>
      <c r="W28" s="119">
        <f t="shared" si="2"/>
        <v>56960.132092725027</v>
      </c>
      <c r="X28" s="119">
        <f t="shared" si="2"/>
        <v>56960.132092725027</v>
      </c>
      <c r="Y28" s="119">
        <f t="shared" si="2"/>
        <v>56960.132092725027</v>
      </c>
      <c r="Z28" s="119">
        <f t="shared" si="2"/>
        <v>56960.132092725027</v>
      </c>
      <c r="AA28" s="119">
        <f t="shared" si="2"/>
        <v>56960.132092725027</v>
      </c>
      <c r="AB28" s="119">
        <f t="shared" si="2"/>
        <v>56960.132092725027</v>
      </c>
      <c r="AC28" s="119">
        <f t="shared" si="2"/>
        <v>56960.132092725027</v>
      </c>
      <c r="AD28" s="119">
        <f t="shared" si="2"/>
        <v>56960.132092725027</v>
      </c>
      <c r="AE28" s="119">
        <f t="shared" si="2"/>
        <v>56960.132092725027</v>
      </c>
      <c r="AF28" s="119">
        <f t="shared" si="2"/>
        <v>56960.132092725027</v>
      </c>
      <c r="AG28" s="119">
        <f t="shared" si="2"/>
        <v>56960.132092725027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08">
        <f>SUM(I28:I34)</f>
        <v>297945.30633117707</v>
      </c>
      <c r="J36" s="108">
        <f t="shared" ref="J36:AB36" si="3">SUM(J28:J34)</f>
        <v>13144.64586755193</v>
      </c>
      <c r="K36" s="108">
        <f t="shared" si="3"/>
        <v>13144.64586755193</v>
      </c>
      <c r="L36" s="108">
        <f t="shared" si="3"/>
        <v>13144.64586755193</v>
      </c>
      <c r="M36" s="108">
        <f t="shared" si="3"/>
        <v>13144.64586755193</v>
      </c>
      <c r="N36" s="108">
        <f t="shared" si="3"/>
        <v>43815.486225173103</v>
      </c>
      <c r="O36" s="108">
        <f t="shared" si="3"/>
        <v>56960.132092725027</v>
      </c>
      <c r="P36" s="108">
        <f t="shared" si="3"/>
        <v>56960.132092725027</v>
      </c>
      <c r="Q36" s="108">
        <f t="shared" si="3"/>
        <v>56960.132092725027</v>
      </c>
      <c r="R36" s="108">
        <f t="shared" si="3"/>
        <v>56960.132092725027</v>
      </c>
      <c r="S36" s="108">
        <f t="shared" si="3"/>
        <v>56960.132092725027</v>
      </c>
      <c r="T36" s="108">
        <f t="shared" si="3"/>
        <v>56960.132092725027</v>
      </c>
      <c r="U36" s="108">
        <f t="shared" si="3"/>
        <v>56960.132092725027</v>
      </c>
      <c r="V36" s="108">
        <f t="shared" si="3"/>
        <v>56960.132092725027</v>
      </c>
      <c r="W36" s="108">
        <f t="shared" si="3"/>
        <v>56960.132092725027</v>
      </c>
      <c r="X36" s="108">
        <f t="shared" si="3"/>
        <v>56960.132092725027</v>
      </c>
      <c r="Y36" s="108">
        <f t="shared" si="3"/>
        <v>56960.132092725027</v>
      </c>
      <c r="Z36" s="108">
        <f t="shared" si="3"/>
        <v>56960.132092725027</v>
      </c>
      <c r="AA36" s="108">
        <f t="shared" si="3"/>
        <v>56960.132092725027</v>
      </c>
      <c r="AB36" s="108">
        <f t="shared" si="3"/>
        <v>56960.132092725027</v>
      </c>
      <c r="AC36" s="108">
        <f>SUM(AC28:AC34)</f>
        <v>56960.132092725027</v>
      </c>
      <c r="AD36" s="108">
        <f>SUM(AD28:AD34)</f>
        <v>56960.132092725027</v>
      </c>
      <c r="AE36" s="108">
        <f>SUM(AE28:AE34)</f>
        <v>56960.132092725027</v>
      </c>
      <c r="AF36" s="108">
        <f>SUM(AF28:AF34)</f>
        <v>56960.132092725027</v>
      </c>
      <c r="AG36" s="108">
        <f>SUM(AG28:AG34)</f>
        <v>56960.132092725027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9"/>
      <c r="G56" s="209"/>
      <c r="AH56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  <c r="AH57"/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341760.79255635024</v>
      </c>
      <c r="K64" s="135">
        <f>(1-INDEX(Data!$C$9:$C$13, MATCH($A$3, options,0)))*('Option1 (base case)'!K36-K36)</f>
        <v>455681.05674180028</v>
      </c>
      <c r="L64" s="135">
        <f>(1-INDEX(Data!$C$9:$C$13, MATCH($A$3, options,0)))*('Option1 (base case)'!L36-L36)</f>
        <v>569601.32092725043</v>
      </c>
      <c r="M64" s="135">
        <f>(1-INDEX(Data!$C$9:$C$13, MATCH($A$3, options,0)))*('Option1 (base case)'!M36-M36)</f>
        <v>670376.93924514845</v>
      </c>
      <c r="N64" s="135">
        <f>(1-INDEX(Data!$C$9:$C$13, MATCH($A$3, options,0)))*('Option1 (base case)'!N36-N36)</f>
        <v>753626.36307297728</v>
      </c>
      <c r="O64" s="135">
        <f>(1-INDEX(Data!$C$9:$C$13, MATCH($A$3, options,0)))*('Option1 (base case)'!O36-O36)</f>
        <v>928888.30797366984</v>
      </c>
      <c r="P64" s="135">
        <f>(1-INDEX(Data!$C$9:$C$13, MATCH($A$3, options,0)))*('Option1 (base case)'!P36-P36)</f>
        <v>1156728.8363445697</v>
      </c>
      <c r="Q64" s="135">
        <f>(1-INDEX(Data!$C$9:$C$13, MATCH($A$3, options,0)))*('Option1 (base case)'!Q36-Q36)</f>
        <v>1156728.8363445697</v>
      </c>
      <c r="R64" s="135">
        <f>(1-INDEX(Data!$C$9:$C$13, MATCH($A$3, options,0)))*('Option1 (base case)'!R36-R36)</f>
        <v>1156728.8363445697</v>
      </c>
      <c r="S64" s="135">
        <f>(1-INDEX(Data!$C$9:$C$13, MATCH($A$3, options,0)))*('Option1 (base case)'!S36-S36)</f>
        <v>1156728.8363445697</v>
      </c>
      <c r="T64" s="135">
        <f>(1-INDEX(Data!$C$9:$C$13, MATCH($A$3, options,0)))*('Option1 (base case)'!T36-T36)</f>
        <v>1156728.8363445697</v>
      </c>
      <c r="U64" s="135">
        <f>(1-INDEX(Data!$C$9:$C$13, MATCH($A$3, options,0)))*('Option1 (base case)'!U36-U36)</f>
        <v>1156728.8363445697</v>
      </c>
      <c r="V64" s="135">
        <f>(1-INDEX(Data!$C$9:$C$13, MATCH($A$3, options,0)))*('Option1 (base case)'!V36-V36)</f>
        <v>1156728.8363445697</v>
      </c>
      <c r="W64" s="135">
        <f>(1-INDEX(Data!$C$9:$C$13, MATCH($A$3, options,0)))*('Option1 (base case)'!W36-W36)</f>
        <v>1156728.8363445697</v>
      </c>
      <c r="X64" s="135">
        <f>(1-INDEX(Data!$C$9:$C$13, MATCH($A$3, options,0)))*('Option1 (base case)'!X36-X36)</f>
        <v>1156728.8363445697</v>
      </c>
      <c r="Y64" s="135">
        <f>(1-INDEX(Data!$C$9:$C$13, MATCH($A$3, options,0)))*('Option1 (base case)'!Y36-Y36)</f>
        <v>1156728.8363445697</v>
      </c>
      <c r="Z64" s="135">
        <f>(1-INDEX(Data!$C$9:$C$13, MATCH($A$3, options,0)))*('Option1 (base case)'!Z36-Z36)</f>
        <v>1156728.8363445697</v>
      </c>
      <c r="AA64" s="135">
        <f>(1-INDEX(Data!$C$9:$C$13, MATCH($A$3, options,0)))*('Option1 (base case)'!AA36-AA36)</f>
        <v>1156728.8363445697</v>
      </c>
      <c r="AB64" s="135">
        <f>(1-INDEX(Data!$C$9:$C$13, MATCH($A$3, options,0)))*('Option1 (base case)'!AB36-AB36)</f>
        <v>1156728.8363445697</v>
      </c>
      <c r="AC64" s="135">
        <f>(1-INDEX(Data!$C$9:$C$13, MATCH($A$3, options,0)))*('Option1 (base case)'!AC36-AC36)</f>
        <v>1156728.8363445697</v>
      </c>
      <c r="AD64" s="135">
        <f>(1-INDEX(Data!$C$9:$C$13, MATCH($A$3, options,0)))*('Option1 (base case)'!AD36-AD36)</f>
        <v>1156728.8363445697</v>
      </c>
      <c r="AE64" s="135">
        <f>(1-INDEX(Data!$C$9:$C$13, MATCH($A$3, options,0)))*('Option1 (base case)'!AE36-AE36)</f>
        <v>1156728.8363445697</v>
      </c>
      <c r="AF64" s="135">
        <f>(1-INDEX(Data!$C$9:$C$13, MATCH($A$3, options,0)))*('Option1 (base case)'!AF36-AF36)</f>
        <v>1156728.8363445697</v>
      </c>
      <c r="AG64" s="135">
        <f>(1-INDEX(Data!$C$9:$C$13, MATCH($A$3, options,0)))*('Option1 (base case)'!AG36-AG36)</f>
        <v>1156728.8363445697</v>
      </c>
      <c r="AH64"/>
    </row>
    <row r="65" spans="1:34" x14ac:dyDescent="0.2">
      <c r="G65" s="216"/>
      <c r="AH65"/>
    </row>
    <row r="66" spans="1:34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Permanent transfers to CW</v>
      </c>
      <c r="D67" s="38"/>
      <c r="F67" s="97"/>
      <c r="G67" s="214">
        <f>input_dollars</f>
        <v>45291</v>
      </c>
      <c r="H67" s="31"/>
      <c r="I67" s="119">
        <f t="shared" ref="I67:AG67" si="5">-I14</f>
        <v>-8989836.3414999992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Permanent transfers to CW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-8989836.3414999992</v>
      </c>
      <c r="J72" s="119" cm="1">
        <f t="array" ref="J72">SUMPRODUCT(($I67:J67))-SUMPRODUCT(($I67:J67)*($I$6:J$6&lt;=(J$6-$E14)))</f>
        <v>-8989836.3414999992</v>
      </c>
      <c r="K72" s="119" cm="1">
        <f t="array" ref="K72">SUMPRODUCT(($I67:K67))-SUMPRODUCT(($I67:K67)*($I$6:K$6&lt;=(K$6-$E14)))</f>
        <v>-8989836.3414999992</v>
      </c>
      <c r="L72" s="119" cm="1">
        <f t="array" ref="L72">SUMPRODUCT(($I67:L67))-SUMPRODUCT(($I67:L67)*($I$6:L$6&lt;=(L$6-$E14)))</f>
        <v>-8989836.3414999992</v>
      </c>
      <c r="M72" s="119" cm="1">
        <f t="array" ref="M72">SUMPRODUCT(($I67:M67))-SUMPRODUCT(($I67:M67)*($I$6:M$6&lt;=(M$6-$E14)))</f>
        <v>-8989836.3414999992</v>
      </c>
      <c r="N72" s="119" cm="1">
        <f t="array" ref="N72">SUMPRODUCT(($I67:N67))-SUMPRODUCT(($I67:N67)*($I$6:N$6&lt;=(N$6-$E14)))</f>
        <v>-8989836.3414999992</v>
      </c>
      <c r="O72" s="119" cm="1">
        <f t="array" ref="O72">SUMPRODUCT(($I67:O67))-SUMPRODUCT(($I67:O67)*($I$6:O$6&lt;=(O$6-$E14)))</f>
        <v>-8989836.3414999992</v>
      </c>
      <c r="P72" s="119" cm="1">
        <f t="array" ref="P72">SUMPRODUCT(($I67:P67))-SUMPRODUCT(($I67:P67)*($I$6:P$6&lt;=(P$6-$E14)))</f>
        <v>-8989836.3414999992</v>
      </c>
      <c r="Q72" s="119" cm="1">
        <f t="array" ref="Q72">SUMPRODUCT(($I67:Q67))-SUMPRODUCT(($I67:Q67)*($I$6:Q$6&lt;=(Q$6-$E14)))</f>
        <v>-8989836.3414999992</v>
      </c>
      <c r="R72" s="119" cm="1">
        <f t="array" ref="R72">SUMPRODUCT(($I67:R67))-SUMPRODUCT(($I67:R67)*($I$6:R$6&lt;=(R$6-$E14)))</f>
        <v>-8989836.3414999992</v>
      </c>
      <c r="S72" s="119" cm="1">
        <f t="array" ref="S72">SUMPRODUCT(($I67:S67))-SUMPRODUCT(($I67:S67)*($I$6:S$6&lt;=(S$6-$E14)))</f>
        <v>-8989836.3414999992</v>
      </c>
      <c r="T72" s="119" cm="1">
        <f t="array" ref="T72">SUMPRODUCT(($I67:T67))-SUMPRODUCT(($I67:T67)*($I$6:T$6&lt;=(T$6-$E14)))</f>
        <v>-8989836.3414999992</v>
      </c>
      <c r="U72" s="119" cm="1">
        <f t="array" ref="U72">SUMPRODUCT(($I67:U67))-SUMPRODUCT(($I67:U67)*($I$6:U$6&lt;=(U$6-$E14)))</f>
        <v>-8989836.3414999992</v>
      </c>
      <c r="V72" s="119" cm="1">
        <f t="array" ref="V72">SUMPRODUCT(($I67:V67))-SUMPRODUCT(($I67:V67)*($I$6:V$6&lt;=(V$6-$E14)))</f>
        <v>-8989836.3414999992</v>
      </c>
      <c r="W72" s="119" cm="1">
        <f t="array" ref="W72">SUMPRODUCT(($I67:W67))-SUMPRODUCT(($I67:W67)*($I$6:W$6&lt;=(W$6-$E14)))</f>
        <v>-8989836.3414999992</v>
      </c>
      <c r="X72" s="119" cm="1">
        <f t="array" ref="X72">SUMPRODUCT(($I67:X67))-SUMPRODUCT(($I67:X67)*($I$6:X$6&lt;=(X$6-$E14)))</f>
        <v>-8989836.3414999992</v>
      </c>
      <c r="Y72" s="119" cm="1">
        <f t="array" ref="Y72">SUMPRODUCT(($I67:Y67))-SUMPRODUCT(($I67:Y67)*($I$6:Y$6&lt;=(Y$6-$E14)))</f>
        <v>-8989836.3414999992</v>
      </c>
      <c r="Z72" s="119" cm="1">
        <f t="array" ref="Z72">SUMPRODUCT(($I67:Z67))-SUMPRODUCT(($I67:Z67)*($I$6:Z$6&lt;=(Z$6-$E14)))</f>
        <v>-8989836.3414999992</v>
      </c>
      <c r="AA72" s="119" cm="1">
        <f t="array" ref="AA72">SUMPRODUCT(($I67:AA67))-SUMPRODUCT(($I67:AA67)*($I$6:AA$6&lt;=(AA$6-$E14)))</f>
        <v>-8989836.3414999992</v>
      </c>
      <c r="AB72" s="119" cm="1">
        <f t="array" ref="AB72">SUMPRODUCT(($I67:AB67))-SUMPRODUCT(($I67:AB67)*($I$6:AB$6&lt;=(AB$6-$E14)))</f>
        <v>-8989836.3414999992</v>
      </c>
      <c r="AC72" s="119" cm="1">
        <f t="array" ref="AC72">SUMPRODUCT(($I67:AC67))-SUMPRODUCT(($I67:AC67)*($I$6:AC$6&lt;=(AC$6-$E14)))</f>
        <v>-8989836.3414999992</v>
      </c>
      <c r="AD72" s="119" cm="1">
        <f t="array" ref="AD72">SUMPRODUCT(($I67:AD67))-SUMPRODUCT(($I67:AD67)*($I$6:AD$6&lt;=(AD$6-$E14)))</f>
        <v>-8989836.3414999992</v>
      </c>
      <c r="AE72" s="119" cm="1">
        <f t="array" ref="AE72">SUMPRODUCT(($I67:AE67))-SUMPRODUCT(($I67:AE67)*($I$6:AE$6&lt;=(AE$6-$E14)))</f>
        <v>-8989836.3414999992</v>
      </c>
      <c r="AF72" s="119" cm="1">
        <f t="array" ref="AF72">SUMPRODUCT(($I67:AF67))-SUMPRODUCT(($I67:AF67)*($I$6:AF$6&lt;=(AF$6-$E14)))</f>
        <v>-8989836.3414999992</v>
      </c>
      <c r="AG72" s="119" cm="1">
        <f t="array" ref="AG72">SUMPRODUCT(($I67:AG67))-SUMPRODUCT(($I67:AG67)*($I$6:AG$6&lt;=(AG$6-$E14)))</f>
        <v>-8989836.3414999992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50" t="s">
        <v>91</v>
      </c>
      <c r="D76" s="38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Permanent transfers to CW</v>
      </c>
      <c r="D77" s="38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-383270.07163430919</v>
      </c>
      <c r="K77" s="119">
        <f t="shared" si="8"/>
        <v>-383270.07163430919</v>
      </c>
      <c r="L77" s="119">
        <f t="shared" si="8"/>
        <v>-383270.07163430919</v>
      </c>
      <c r="M77" s="119">
        <f t="shared" si="8"/>
        <v>-383270.07163430919</v>
      </c>
      <c r="N77" s="119">
        <f t="shared" si="8"/>
        <v>-383270.07163430919</v>
      </c>
      <c r="O77" s="119">
        <f t="shared" si="8"/>
        <v>-383270.07163430919</v>
      </c>
      <c r="P77" s="119">
        <f t="shared" si="8"/>
        <v>-383270.07163430919</v>
      </c>
      <c r="Q77" s="119">
        <f t="shared" si="8"/>
        <v>-383270.07163430919</v>
      </c>
      <c r="R77" s="119">
        <f t="shared" si="8"/>
        <v>-383270.07163430919</v>
      </c>
      <c r="S77" s="119">
        <f t="shared" si="8"/>
        <v>-383270.07163430919</v>
      </c>
      <c r="T77" s="119">
        <f t="shared" si="8"/>
        <v>-383270.07163430919</v>
      </c>
      <c r="U77" s="119">
        <f t="shared" si="8"/>
        <v>-383270.07163430919</v>
      </c>
      <c r="V77" s="119">
        <f t="shared" si="8"/>
        <v>-383270.07163430919</v>
      </c>
      <c r="W77" s="119">
        <f t="shared" si="8"/>
        <v>-383270.07163430919</v>
      </c>
      <c r="X77" s="119">
        <f t="shared" si="8"/>
        <v>-383270.07163430919</v>
      </c>
      <c r="Y77" s="119">
        <f t="shared" si="8"/>
        <v>-383270.07163430919</v>
      </c>
      <c r="Z77" s="119">
        <f t="shared" si="8"/>
        <v>-383270.07163430919</v>
      </c>
      <c r="AA77" s="119">
        <f t="shared" si="8"/>
        <v>-383270.07163430919</v>
      </c>
      <c r="AB77" s="119">
        <f t="shared" si="8"/>
        <v>-383270.07163430919</v>
      </c>
      <c r="AC77" s="119">
        <f t="shared" si="8"/>
        <v>-383270.07163430919</v>
      </c>
      <c r="AD77" s="119">
        <f t="shared" si="8"/>
        <v>-383270.07163430919</v>
      </c>
      <c r="AE77" s="119">
        <f t="shared" si="8"/>
        <v>-383270.07163430919</v>
      </c>
      <c r="AF77" s="119">
        <f t="shared" si="8"/>
        <v>-383270.07163430919</v>
      </c>
      <c r="AG77" s="119">
        <f t="shared" si="8"/>
        <v>-383270.07163430919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-383270.07163430919</v>
      </c>
      <c r="K80" s="180">
        <f t="shared" si="11"/>
        <v>-383270.07163430919</v>
      </c>
      <c r="L80" s="180">
        <f t="shared" si="11"/>
        <v>-383270.07163430919</v>
      </c>
      <c r="M80" s="180">
        <f t="shared" si="11"/>
        <v>-383270.07163430919</v>
      </c>
      <c r="N80" s="180">
        <f t="shared" si="11"/>
        <v>-383270.07163430919</v>
      </c>
      <c r="O80" s="180">
        <f t="shared" si="11"/>
        <v>-383270.07163430919</v>
      </c>
      <c r="P80" s="180">
        <f t="shared" si="11"/>
        <v>-383270.07163430919</v>
      </c>
      <c r="Q80" s="180">
        <f t="shared" si="11"/>
        <v>-383270.07163430919</v>
      </c>
      <c r="R80" s="180">
        <f t="shared" si="11"/>
        <v>-383270.07163430919</v>
      </c>
      <c r="S80" s="180">
        <f t="shared" si="11"/>
        <v>-383270.07163430919</v>
      </c>
      <c r="T80" s="180">
        <f t="shared" si="11"/>
        <v>-383270.07163430919</v>
      </c>
      <c r="U80" s="180">
        <f t="shared" si="11"/>
        <v>-383270.07163430919</v>
      </c>
      <c r="V80" s="180">
        <f t="shared" si="11"/>
        <v>-383270.07163430919</v>
      </c>
      <c r="W80" s="180">
        <f t="shared" si="11"/>
        <v>-383270.07163430919</v>
      </c>
      <c r="X80" s="180">
        <f t="shared" si="11"/>
        <v>-383270.07163430919</v>
      </c>
      <c r="Y80" s="180">
        <f t="shared" si="11"/>
        <v>-383270.07163430919</v>
      </c>
      <c r="Z80" s="180">
        <f t="shared" si="11"/>
        <v>-383270.07163430919</v>
      </c>
      <c r="AA80" s="180">
        <f t="shared" si="11"/>
        <v>-383270.07163430919</v>
      </c>
      <c r="AB80" s="180">
        <f t="shared" si="11"/>
        <v>-383270.07163430919</v>
      </c>
      <c r="AC80" s="180">
        <f>SUM(AC77:AC79)</f>
        <v>-383270.07163430919</v>
      </c>
      <c r="AD80" s="180">
        <f>SUM(AD77:AD79)</f>
        <v>-383270.07163430919</v>
      </c>
      <c r="AE80" s="180">
        <f>SUM(AE77:AE79)</f>
        <v>-383270.07163430919</v>
      </c>
      <c r="AF80" s="180">
        <f>SUM(AF77:AF79)</f>
        <v>-383270.07163430919</v>
      </c>
      <c r="AG80" s="180">
        <f>SUM(AG77:AG79)</f>
        <v>-383270.07163430919</v>
      </c>
      <c r="AH80"/>
    </row>
    <row r="81" spans="1:34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-383270.07163430919</v>
      </c>
      <c r="K82" s="119">
        <f t="shared" si="13"/>
        <v>-383270.07163430919</v>
      </c>
      <c r="L82" s="119">
        <f t="shared" si="13"/>
        <v>-383270.07163430919</v>
      </c>
      <c r="M82" s="119">
        <f t="shared" si="13"/>
        <v>-383270.07163430919</v>
      </c>
      <c r="N82" s="119">
        <f t="shared" si="13"/>
        <v>-383270.07163430919</v>
      </c>
      <c r="O82" s="119">
        <f t="shared" si="13"/>
        <v>-383270.07163430919</v>
      </c>
      <c r="P82" s="119">
        <f t="shared" si="13"/>
        <v>-383270.07163430919</v>
      </c>
      <c r="Q82" s="119">
        <f t="shared" si="13"/>
        <v>-383270.07163430919</v>
      </c>
      <c r="R82" s="119">
        <f t="shared" si="13"/>
        <v>-383270.07163430919</v>
      </c>
      <c r="S82" s="119">
        <f t="shared" si="13"/>
        <v>-383270.07163430919</v>
      </c>
      <c r="T82" s="119">
        <f t="shared" si="13"/>
        <v>-383270.07163430919</v>
      </c>
      <c r="U82" s="119">
        <f t="shared" si="13"/>
        <v>-383270.07163430919</v>
      </c>
      <c r="V82" s="119">
        <f t="shared" si="13"/>
        <v>-383270.07163430919</v>
      </c>
      <c r="W82" s="119">
        <f t="shared" si="13"/>
        <v>-383270.07163430919</v>
      </c>
      <c r="X82" s="119">
        <f t="shared" si="13"/>
        <v>-383270.07163430919</v>
      </c>
      <c r="Y82" s="119">
        <f t="shared" si="13"/>
        <v>-383270.07163430919</v>
      </c>
      <c r="Z82" s="119">
        <f t="shared" si="13"/>
        <v>-383270.07163430919</v>
      </c>
      <c r="AA82" s="119">
        <f t="shared" si="13"/>
        <v>-383270.07163430919</v>
      </c>
      <c r="AB82" s="119">
        <f t="shared" si="13"/>
        <v>-383270.07163430919</v>
      </c>
      <c r="AC82" s="119">
        <f>AC80</f>
        <v>-383270.07163430919</v>
      </c>
      <c r="AD82" s="119">
        <f>AD80</f>
        <v>-383270.07163430919</v>
      </c>
      <c r="AE82" s="119">
        <f>AE80</f>
        <v>-383270.07163430919</v>
      </c>
      <c r="AF82" s="119">
        <f>AF80</f>
        <v>-383270.07163430919</v>
      </c>
      <c r="AG82" s="119">
        <f>AG80</f>
        <v>-383270.07163430919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 t="shared" ref="I84:AG84" si="15">I64</f>
        <v>0</v>
      </c>
      <c r="J84" s="31">
        <f t="shared" si="15"/>
        <v>341760.79255635024</v>
      </c>
      <c r="K84" s="31">
        <f t="shared" si="15"/>
        <v>455681.05674180028</v>
      </c>
      <c r="L84" s="31">
        <f t="shared" si="15"/>
        <v>569601.32092725043</v>
      </c>
      <c r="M84" s="31">
        <f t="shared" si="15"/>
        <v>670376.93924514845</v>
      </c>
      <c r="N84" s="31">
        <f t="shared" si="15"/>
        <v>753626.36307297728</v>
      </c>
      <c r="O84" s="31">
        <f t="shared" si="15"/>
        <v>928888.30797366984</v>
      </c>
      <c r="P84" s="31">
        <f t="shared" si="15"/>
        <v>1156728.8363445697</v>
      </c>
      <c r="Q84" s="31">
        <f t="shared" si="15"/>
        <v>1156728.8363445697</v>
      </c>
      <c r="R84" s="31">
        <f t="shared" si="15"/>
        <v>1156728.8363445697</v>
      </c>
      <c r="S84" s="31">
        <f t="shared" si="15"/>
        <v>1156728.8363445697</v>
      </c>
      <c r="T84" s="31">
        <f t="shared" si="15"/>
        <v>1156728.8363445697</v>
      </c>
      <c r="U84" s="31">
        <f t="shared" si="15"/>
        <v>1156728.8363445697</v>
      </c>
      <c r="V84" s="31">
        <f t="shared" si="15"/>
        <v>1156728.8363445697</v>
      </c>
      <c r="W84" s="31">
        <f t="shared" si="15"/>
        <v>1156728.8363445697</v>
      </c>
      <c r="X84" s="31">
        <f t="shared" si="15"/>
        <v>1156728.8363445697</v>
      </c>
      <c r="Y84" s="31">
        <f t="shared" si="15"/>
        <v>1156728.8363445697</v>
      </c>
      <c r="Z84" s="31">
        <f t="shared" si="15"/>
        <v>1156728.8363445697</v>
      </c>
      <c r="AA84" s="31">
        <f t="shared" si="15"/>
        <v>1156728.8363445697</v>
      </c>
      <c r="AB84" s="31">
        <f t="shared" si="15"/>
        <v>1156728.8363445697</v>
      </c>
      <c r="AC84" s="31">
        <f t="shared" si="15"/>
        <v>1156728.8363445697</v>
      </c>
      <c r="AD84" s="31">
        <f t="shared" si="15"/>
        <v>1156728.8363445697</v>
      </c>
      <c r="AE84" s="31">
        <f t="shared" si="15"/>
        <v>1156728.8363445697</v>
      </c>
      <c r="AF84" s="31">
        <f t="shared" si="15"/>
        <v>1156728.8363445697</v>
      </c>
      <c r="AG84" s="31">
        <f t="shared" si="15"/>
        <v>1156728.8363445697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-41509.279077958956</v>
      </c>
      <c r="K87" s="183">
        <f t="shared" si="17"/>
        <v>72410.985107491084</v>
      </c>
      <c r="L87" s="183">
        <f t="shared" si="17"/>
        <v>186331.24929294124</v>
      </c>
      <c r="M87" s="183">
        <f t="shared" si="17"/>
        <v>287106.86761083925</v>
      </c>
      <c r="N87" s="183">
        <f t="shared" si="17"/>
        <v>370356.29143866809</v>
      </c>
      <c r="O87" s="183">
        <f t="shared" si="17"/>
        <v>545618.23633936071</v>
      </c>
      <c r="P87" s="183">
        <f t="shared" si="17"/>
        <v>773458.76471026056</v>
      </c>
      <c r="Q87" s="183">
        <f t="shared" si="17"/>
        <v>773458.76471026056</v>
      </c>
      <c r="R87" s="183">
        <f t="shared" si="17"/>
        <v>773458.76471026056</v>
      </c>
      <c r="S87" s="183">
        <f t="shared" si="17"/>
        <v>773458.76471026056</v>
      </c>
      <c r="T87" s="183">
        <f t="shared" si="17"/>
        <v>773458.76471026056</v>
      </c>
      <c r="U87" s="183">
        <f t="shared" si="17"/>
        <v>773458.76471026056</v>
      </c>
      <c r="V87" s="183">
        <f t="shared" si="17"/>
        <v>773458.76471026056</v>
      </c>
      <c r="W87" s="183">
        <f t="shared" si="17"/>
        <v>773458.76471026056</v>
      </c>
      <c r="X87" s="183">
        <f t="shared" si="17"/>
        <v>773458.76471026056</v>
      </c>
      <c r="Y87" s="183">
        <f t="shared" si="17"/>
        <v>773458.76471026056</v>
      </c>
      <c r="Z87" s="183">
        <f t="shared" si="17"/>
        <v>773458.76471026056</v>
      </c>
      <c r="AA87" s="183">
        <f t="shared" si="17"/>
        <v>773458.76471026056</v>
      </c>
      <c r="AB87" s="183">
        <f t="shared" si="17"/>
        <v>773458.76471026056</v>
      </c>
      <c r="AC87" s="183">
        <f>SUM(AC82:AC86)</f>
        <v>773458.76471026056</v>
      </c>
      <c r="AD87" s="183">
        <f>SUM(AD82:AD86)</f>
        <v>773458.76471026056</v>
      </c>
      <c r="AE87" s="183">
        <f>SUM(AE82:AE86)</f>
        <v>773458.76471026056</v>
      </c>
      <c r="AF87" s="183">
        <f>SUM(AF82:AF86)</f>
        <v>773458.76471026056</v>
      </c>
      <c r="AG87" s="183">
        <f>SUM(AG82:AG86)</f>
        <v>773458.76471026056</v>
      </c>
      <c r="AH87"/>
    </row>
    <row r="88" spans="1:34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8"/>
      <c r="E91" s="235"/>
      <c r="F91" s="235"/>
      <c r="G91" s="237"/>
    </row>
    <row r="92" spans="1:34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-41509.279077958956</v>
      </c>
      <c r="K106" s="31">
        <f t="shared" si="18"/>
        <v>72410.985107491084</v>
      </c>
      <c r="L106" s="31">
        <f t="shared" si="18"/>
        <v>186331.24929294124</v>
      </c>
      <c r="M106" s="31">
        <f t="shared" si="18"/>
        <v>287106.86761083925</v>
      </c>
      <c r="N106" s="31">
        <f t="shared" si="18"/>
        <v>370356.29143866809</v>
      </c>
      <c r="O106" s="31">
        <f t="shared" si="18"/>
        <v>545618.23633936071</v>
      </c>
      <c r="P106" s="31">
        <f t="shared" si="18"/>
        <v>773458.76471026056</v>
      </c>
      <c r="Q106" s="31">
        <f t="shared" si="18"/>
        <v>773458.76471026056</v>
      </c>
      <c r="R106" s="31">
        <f t="shared" si="18"/>
        <v>773458.76471026056</v>
      </c>
      <c r="S106" s="31">
        <f t="shared" si="18"/>
        <v>773458.76471026056</v>
      </c>
      <c r="T106" s="31">
        <f t="shared" si="18"/>
        <v>773458.76471026056</v>
      </c>
      <c r="U106" s="31">
        <f t="shared" si="18"/>
        <v>773458.76471026056</v>
      </c>
      <c r="V106" s="31">
        <f t="shared" si="18"/>
        <v>773458.76471026056</v>
      </c>
      <c r="W106" s="31">
        <f t="shared" si="18"/>
        <v>773458.76471026056</v>
      </c>
      <c r="X106" s="31">
        <f t="shared" si="18"/>
        <v>773458.76471026056</v>
      </c>
      <c r="Y106" s="31">
        <f t="shared" si="18"/>
        <v>773458.76471026056</v>
      </c>
      <c r="Z106" s="31">
        <f t="shared" si="18"/>
        <v>773458.76471026056</v>
      </c>
      <c r="AA106" s="31">
        <f t="shared" si="18"/>
        <v>773458.76471026056</v>
      </c>
      <c r="AB106" s="31">
        <f t="shared" si="18"/>
        <v>773458.76471026056</v>
      </c>
      <c r="AC106" s="31">
        <f t="shared" si="18"/>
        <v>773458.76471026056</v>
      </c>
      <c r="AD106" s="31">
        <f t="shared" si="18"/>
        <v>773458.76471026056</v>
      </c>
      <c r="AE106" s="31">
        <f t="shared" si="18"/>
        <v>773458.76471026056</v>
      </c>
      <c r="AF106" s="31">
        <f t="shared" si="18"/>
        <v>773458.76471026056</v>
      </c>
      <c r="AG106" s="31">
        <f t="shared" si="18"/>
        <v>773458.76471026056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-383270.07163430919</v>
      </c>
      <c r="K107" s="31">
        <f t="shared" si="19"/>
        <v>-383270.07163430919</v>
      </c>
      <c r="L107" s="31">
        <f t="shared" si="19"/>
        <v>-383270.07163430919</v>
      </c>
      <c r="M107" s="31">
        <f t="shared" si="19"/>
        <v>-383270.07163430919</v>
      </c>
      <c r="N107" s="31">
        <f t="shared" si="19"/>
        <v>-383270.07163430919</v>
      </c>
      <c r="O107" s="31">
        <f t="shared" si="19"/>
        <v>-383270.07163430919</v>
      </c>
      <c r="P107" s="31">
        <f t="shared" si="19"/>
        <v>-383270.07163430919</v>
      </c>
      <c r="Q107" s="31">
        <f t="shared" si="19"/>
        <v>-383270.07163430919</v>
      </c>
      <c r="R107" s="31">
        <f t="shared" si="19"/>
        <v>-383270.07163430919</v>
      </c>
      <c r="S107" s="31">
        <f t="shared" si="19"/>
        <v>-383270.07163430919</v>
      </c>
      <c r="T107" s="31">
        <f t="shared" si="19"/>
        <v>-383270.07163430919</v>
      </c>
      <c r="U107" s="31">
        <f t="shared" si="19"/>
        <v>-383270.07163430919</v>
      </c>
      <c r="V107" s="31">
        <f t="shared" si="19"/>
        <v>-383270.07163430919</v>
      </c>
      <c r="W107" s="31">
        <f t="shared" si="19"/>
        <v>-383270.07163430919</v>
      </c>
      <c r="X107" s="31">
        <f t="shared" si="19"/>
        <v>-383270.07163430919</v>
      </c>
      <c r="Y107" s="31">
        <f t="shared" si="19"/>
        <v>-383270.07163430919</v>
      </c>
      <c r="Z107" s="31">
        <f t="shared" si="19"/>
        <v>-383270.07163430919</v>
      </c>
      <c r="AA107" s="31">
        <f t="shared" si="19"/>
        <v>-383270.07163430919</v>
      </c>
      <c r="AB107" s="31">
        <f t="shared" si="19"/>
        <v>-383270.07163430919</v>
      </c>
      <c r="AC107" s="31">
        <f t="shared" si="19"/>
        <v>-383270.07163430919</v>
      </c>
      <c r="AD107" s="31">
        <f t="shared" si="19"/>
        <v>-383270.07163430919</v>
      </c>
      <c r="AE107" s="31">
        <f t="shared" si="19"/>
        <v>-383270.07163430919</v>
      </c>
      <c r="AF107" s="31">
        <f t="shared" si="19"/>
        <v>-383270.07163430919</v>
      </c>
      <c r="AG107" s="31">
        <f t="shared" si="19"/>
        <v>-383270.07163430919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341760.79255635024</v>
      </c>
      <c r="K108" s="31">
        <f t="shared" si="20"/>
        <v>455681.05674180028</v>
      </c>
      <c r="L108" s="31">
        <f t="shared" si="20"/>
        <v>569601.32092725043</v>
      </c>
      <c r="M108" s="31">
        <f t="shared" si="20"/>
        <v>670376.93924514845</v>
      </c>
      <c r="N108" s="31">
        <f t="shared" si="20"/>
        <v>753626.36307297728</v>
      </c>
      <c r="O108" s="31">
        <f t="shared" si="20"/>
        <v>928888.30797366984</v>
      </c>
      <c r="P108" s="31">
        <f t="shared" si="20"/>
        <v>1156728.8363445697</v>
      </c>
      <c r="Q108" s="31">
        <f t="shared" si="20"/>
        <v>1156728.8363445697</v>
      </c>
      <c r="R108" s="31">
        <f t="shared" si="20"/>
        <v>1156728.8363445697</v>
      </c>
      <c r="S108" s="31">
        <f t="shared" si="20"/>
        <v>1156728.8363445697</v>
      </c>
      <c r="T108" s="31">
        <f t="shared" si="20"/>
        <v>1156728.8363445697</v>
      </c>
      <c r="U108" s="31">
        <f t="shared" si="20"/>
        <v>1156728.8363445697</v>
      </c>
      <c r="V108" s="31">
        <f t="shared" si="20"/>
        <v>1156728.8363445697</v>
      </c>
      <c r="W108" s="31">
        <f t="shared" si="20"/>
        <v>1156728.8363445697</v>
      </c>
      <c r="X108" s="31">
        <f t="shared" si="20"/>
        <v>1156728.8363445697</v>
      </c>
      <c r="Y108" s="31">
        <f t="shared" si="20"/>
        <v>1156728.8363445697</v>
      </c>
      <c r="Z108" s="31">
        <f t="shared" si="20"/>
        <v>1156728.8363445697</v>
      </c>
      <c r="AA108" s="31">
        <f t="shared" si="20"/>
        <v>1156728.8363445697</v>
      </c>
      <c r="AB108" s="31">
        <f t="shared" si="20"/>
        <v>1156728.8363445697</v>
      </c>
      <c r="AC108" s="31">
        <f t="shared" si="20"/>
        <v>1156728.8363445697</v>
      </c>
      <c r="AD108" s="31">
        <f t="shared" si="20"/>
        <v>1156728.8363445697</v>
      </c>
      <c r="AE108" s="31">
        <f t="shared" si="20"/>
        <v>1156728.8363445697</v>
      </c>
      <c r="AF108" s="31">
        <f t="shared" si="20"/>
        <v>1156728.8363445697</v>
      </c>
      <c r="AG108" s="31">
        <f t="shared" si="20"/>
        <v>1156728.8363445697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-79836.286241389869</v>
      </c>
      <c r="K110" s="31" cm="1">
        <f t="array" ref="K110">K$106+IF($C110&lt;&gt;0,SUMPRODUCT((K$107:K$108)*TRANSPOSE(($D110:$E110))),0)</f>
        <v>34083.977944060163</v>
      </c>
      <c r="L110" s="31" cm="1">
        <f t="array" ref="L110">L$106+IF($C110&lt;&gt;0,SUMPRODUCT((L$107:L$108)*TRANSPOSE(($D110:$E110))),0)</f>
        <v>148004.24212951033</v>
      </c>
      <c r="M110" s="31" cm="1">
        <f t="array" ref="M110">M$106+IF($C110&lt;&gt;0,SUMPRODUCT((M$107:M$108)*TRANSPOSE(($D110:$E110))),0)</f>
        <v>248779.86044740834</v>
      </c>
      <c r="N110" s="31" cm="1">
        <f t="array" ref="N110">N$106+IF($C110&lt;&gt;0,SUMPRODUCT((N$107:N$108)*TRANSPOSE(($D110:$E110))),0)</f>
        <v>332029.28427523718</v>
      </c>
      <c r="O110" s="31" cm="1">
        <f t="array" ref="O110">O$106+IF($C110&lt;&gt;0,SUMPRODUCT((O$107:O$108)*TRANSPOSE(($D110:$E110))),0)</f>
        <v>507291.2291759298</v>
      </c>
      <c r="P110" s="31" cm="1">
        <f t="array" ref="P110">P$106+IF($C110&lt;&gt;0,SUMPRODUCT((P$107:P$108)*TRANSPOSE(($D110:$E110))),0)</f>
        <v>735131.75754682964</v>
      </c>
      <c r="Q110" s="31" cm="1">
        <f t="array" ref="Q110">Q$106+IF($C110&lt;&gt;0,SUMPRODUCT((Q$107:Q$108)*TRANSPOSE(($D110:$E110))),0)</f>
        <v>735131.75754682964</v>
      </c>
      <c r="R110" s="31" cm="1">
        <f t="array" ref="R110">R$106+IF($C110&lt;&gt;0,SUMPRODUCT((R$107:R$108)*TRANSPOSE(($D110:$E110))),0)</f>
        <v>735131.75754682964</v>
      </c>
      <c r="S110" s="31" cm="1">
        <f t="array" ref="S110">S$106+IF($C110&lt;&gt;0,SUMPRODUCT((S$107:S$108)*TRANSPOSE(($D110:$E110))),0)</f>
        <v>735131.75754682964</v>
      </c>
      <c r="T110" s="31" cm="1">
        <f t="array" ref="T110">T$106+IF($C110&lt;&gt;0,SUMPRODUCT((T$107:T$108)*TRANSPOSE(($D110:$E110))),0)</f>
        <v>735131.75754682964</v>
      </c>
      <c r="U110" s="31" cm="1">
        <f t="array" ref="U110">U$106+IF($C110&lt;&gt;0,SUMPRODUCT((U$107:U$108)*TRANSPOSE(($D110:$E110))),0)</f>
        <v>735131.75754682964</v>
      </c>
      <c r="V110" s="31" cm="1">
        <f t="array" ref="V110">V$106+IF($C110&lt;&gt;0,SUMPRODUCT((V$107:V$108)*TRANSPOSE(($D110:$E110))),0)</f>
        <v>735131.75754682964</v>
      </c>
      <c r="W110" s="31" cm="1">
        <f t="array" ref="W110">W$106+IF($C110&lt;&gt;0,SUMPRODUCT((W$107:W$108)*TRANSPOSE(($D110:$E110))),0)</f>
        <v>735131.75754682964</v>
      </c>
      <c r="X110" s="31" cm="1">
        <f t="array" ref="X110">X$106+IF($C110&lt;&gt;0,SUMPRODUCT((X$107:X$108)*TRANSPOSE(($D110:$E110))),0)</f>
        <v>735131.75754682964</v>
      </c>
      <c r="Y110" s="31" cm="1">
        <f t="array" ref="Y110">Y$106+IF($C110&lt;&gt;0,SUMPRODUCT((Y$107:Y$108)*TRANSPOSE(($D110:$E110))),0)</f>
        <v>735131.75754682964</v>
      </c>
      <c r="Z110" s="31" cm="1">
        <f t="array" ref="Z110">Z$106+IF($C110&lt;&gt;0,SUMPRODUCT((Z$107:Z$108)*TRANSPOSE(($D110:$E110))),0)</f>
        <v>735131.75754682964</v>
      </c>
      <c r="AA110" s="31" cm="1">
        <f t="array" ref="AA110">AA$106+IF($C110&lt;&gt;0,SUMPRODUCT((AA$107:AA$108)*TRANSPOSE(($D110:$E110))),0)</f>
        <v>735131.75754682964</v>
      </c>
      <c r="AB110" s="31" cm="1">
        <f t="array" ref="AB110">AB$106+IF($C110&lt;&gt;0,SUMPRODUCT((AB$107:AB$108)*TRANSPOSE(($D110:$E110))),0)</f>
        <v>735131.75754682964</v>
      </c>
      <c r="AC110" s="31" cm="1">
        <f t="array" ref="AC110">AC$106+IF($C110&lt;&gt;0,SUMPRODUCT((AC$107:AC$108)*TRANSPOSE(($D110:$E110))),0)</f>
        <v>735131.75754682964</v>
      </c>
      <c r="AD110" s="31" cm="1">
        <f t="array" ref="AD110">AD$106+IF($C110&lt;&gt;0,SUMPRODUCT((AD$107:AD$108)*TRANSPOSE(($D110:$E110))),0)</f>
        <v>735131.75754682964</v>
      </c>
      <c r="AE110" s="31" cm="1">
        <f t="array" ref="AE110">AE$106+IF($C110&lt;&gt;0,SUMPRODUCT((AE$107:AE$108)*TRANSPOSE(($D110:$E110))),0)</f>
        <v>735131.75754682964</v>
      </c>
      <c r="AF110" s="31" cm="1">
        <f t="array" ref="AF110">AF$106+IF($C110&lt;&gt;0,SUMPRODUCT((AF$107:AF$108)*TRANSPOSE(($D110:$E110))),0)</f>
        <v>735131.75754682964</v>
      </c>
      <c r="AG110" s="31" cm="1">
        <f t="array" ref="AG110">AG$106+IF($C110&lt;&gt;0,SUMPRODUCT((AG$107:AG$108)*TRANSPOSE(($D110:$E110))),0)</f>
        <v>735131.75754682964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-3182.2719145280353</v>
      </c>
      <c r="K111" s="31" cm="1">
        <f t="array" ref="K111">K$106+IF($C111&lt;&gt;0,SUMPRODUCT((K$107:K$108)*TRANSPOSE(($D111:$E111))),0)</f>
        <v>110737.992270922</v>
      </c>
      <c r="L111" s="31" cm="1">
        <f t="array" ref="L111">L$106+IF($C111&lt;&gt;0,SUMPRODUCT((L$107:L$108)*TRANSPOSE(($D111:$E111))),0)</f>
        <v>224658.25645637215</v>
      </c>
      <c r="M111" s="31" cm="1">
        <f t="array" ref="M111">M$106+IF($C111&lt;&gt;0,SUMPRODUCT((M$107:M$108)*TRANSPOSE(($D111:$E111))),0)</f>
        <v>325433.87477427017</v>
      </c>
      <c r="N111" s="31" cm="1">
        <f t="array" ref="N111">N$106+IF($C111&lt;&gt;0,SUMPRODUCT((N$107:N$108)*TRANSPOSE(($D111:$E111))),0)</f>
        <v>408683.29860209901</v>
      </c>
      <c r="O111" s="31" cm="1">
        <f t="array" ref="O111">O$106+IF($C111&lt;&gt;0,SUMPRODUCT((O$107:O$108)*TRANSPOSE(($D111:$E111))),0)</f>
        <v>583945.24350279162</v>
      </c>
      <c r="P111" s="31" cm="1">
        <f t="array" ref="P111">P$106+IF($C111&lt;&gt;0,SUMPRODUCT((P$107:P$108)*TRANSPOSE(($D111:$E111))),0)</f>
        <v>811785.77187369147</v>
      </c>
      <c r="Q111" s="31" cm="1">
        <f t="array" ref="Q111">Q$106+IF($C111&lt;&gt;0,SUMPRODUCT((Q$107:Q$108)*TRANSPOSE(($D111:$E111))),0)</f>
        <v>811785.77187369147</v>
      </c>
      <c r="R111" s="31" cm="1">
        <f t="array" ref="R111">R$106+IF($C111&lt;&gt;0,SUMPRODUCT((R$107:R$108)*TRANSPOSE(($D111:$E111))),0)</f>
        <v>811785.77187369147</v>
      </c>
      <c r="S111" s="31" cm="1">
        <f t="array" ref="S111">S$106+IF($C111&lt;&gt;0,SUMPRODUCT((S$107:S$108)*TRANSPOSE(($D111:$E111))),0)</f>
        <v>811785.77187369147</v>
      </c>
      <c r="T111" s="31" cm="1">
        <f t="array" ref="T111">T$106+IF($C111&lt;&gt;0,SUMPRODUCT((T$107:T$108)*TRANSPOSE(($D111:$E111))),0)</f>
        <v>811785.77187369147</v>
      </c>
      <c r="U111" s="31" cm="1">
        <f t="array" ref="U111">U$106+IF($C111&lt;&gt;0,SUMPRODUCT((U$107:U$108)*TRANSPOSE(($D111:$E111))),0)</f>
        <v>811785.77187369147</v>
      </c>
      <c r="V111" s="31" cm="1">
        <f t="array" ref="V111">V$106+IF($C111&lt;&gt;0,SUMPRODUCT((V$107:V$108)*TRANSPOSE(($D111:$E111))),0)</f>
        <v>811785.77187369147</v>
      </c>
      <c r="W111" s="31" cm="1">
        <f t="array" ref="W111">W$106+IF($C111&lt;&gt;0,SUMPRODUCT((W$107:W$108)*TRANSPOSE(($D111:$E111))),0)</f>
        <v>811785.77187369147</v>
      </c>
      <c r="X111" s="31" cm="1">
        <f t="array" ref="X111">X$106+IF($C111&lt;&gt;0,SUMPRODUCT((X$107:X$108)*TRANSPOSE(($D111:$E111))),0)</f>
        <v>811785.77187369147</v>
      </c>
      <c r="Y111" s="31" cm="1">
        <f t="array" ref="Y111">Y$106+IF($C111&lt;&gt;0,SUMPRODUCT((Y$107:Y$108)*TRANSPOSE(($D111:$E111))),0)</f>
        <v>811785.77187369147</v>
      </c>
      <c r="Z111" s="31" cm="1">
        <f t="array" ref="Z111">Z$106+IF($C111&lt;&gt;0,SUMPRODUCT((Z$107:Z$108)*TRANSPOSE(($D111:$E111))),0)</f>
        <v>811785.77187369147</v>
      </c>
      <c r="AA111" s="31" cm="1">
        <f t="array" ref="AA111">AA$106+IF($C111&lt;&gt;0,SUMPRODUCT((AA$107:AA$108)*TRANSPOSE(($D111:$E111))),0)</f>
        <v>811785.77187369147</v>
      </c>
      <c r="AB111" s="31" cm="1">
        <f t="array" ref="AB111">AB$106+IF($C111&lt;&gt;0,SUMPRODUCT((AB$107:AB$108)*TRANSPOSE(($D111:$E111))),0)</f>
        <v>811785.77187369147</v>
      </c>
      <c r="AC111" s="31" cm="1">
        <f t="array" ref="AC111">AC$106+IF($C111&lt;&gt;0,SUMPRODUCT((AC$107:AC$108)*TRANSPOSE(($D111:$E111))),0)</f>
        <v>811785.77187369147</v>
      </c>
      <c r="AD111" s="31" cm="1">
        <f t="array" ref="AD111">AD$106+IF($C111&lt;&gt;0,SUMPRODUCT((AD$107:AD$108)*TRANSPOSE(($D111:$E111))),0)</f>
        <v>811785.77187369147</v>
      </c>
      <c r="AE111" s="31" cm="1">
        <f t="array" ref="AE111">AE$106+IF($C111&lt;&gt;0,SUMPRODUCT((AE$107:AE$108)*TRANSPOSE(($D111:$E111))),0)</f>
        <v>811785.77187369147</v>
      </c>
      <c r="AF111" s="31" cm="1">
        <f t="array" ref="AF111">AF$106+IF($C111&lt;&gt;0,SUMPRODUCT((AF$107:AF$108)*TRANSPOSE(($D111:$E111))),0)</f>
        <v>811785.77187369147</v>
      </c>
      <c r="AG111" s="31" cm="1">
        <f t="array" ref="AG111">AG$106+IF($C111&lt;&gt;0,SUMPRODUCT((AG$107:AG$108)*TRANSPOSE(($D111:$E111))),0)</f>
        <v>811785.77187369147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-7333.1998223239279</v>
      </c>
      <c r="K112" s="31" cm="1">
        <f t="array" ref="K112">K$106+IF($C112&lt;&gt;0,SUMPRODUCT((K$107:K$108)*TRANSPOSE(($D112:$E112))),0)</f>
        <v>117979.09078167111</v>
      </c>
      <c r="L112" s="31" cm="1">
        <f t="array" ref="L112">L$106+IF($C112&lt;&gt;0,SUMPRODUCT((L$107:L$108)*TRANSPOSE(($D112:$E112))),0)</f>
        <v>243291.38138566629</v>
      </c>
      <c r="M112" s="31" cm="1">
        <f t="array" ref="M112">M$106+IF($C112&lt;&gt;0,SUMPRODUCT((M$107:M$108)*TRANSPOSE(($D112:$E112))),0)</f>
        <v>354144.56153535412</v>
      </c>
      <c r="N112" s="31" cm="1">
        <f t="array" ref="N112">N$106+IF($C112&lt;&gt;0,SUMPRODUCT((N$107:N$108)*TRANSPOSE(($D112:$E112))),0)</f>
        <v>445718.92774596583</v>
      </c>
      <c r="O112" s="31" cm="1">
        <f t="array" ref="O112">O$106+IF($C112&lt;&gt;0,SUMPRODUCT((O$107:O$108)*TRANSPOSE(($D112:$E112))),0)</f>
        <v>638507.06713672774</v>
      </c>
      <c r="P112" s="31" cm="1">
        <f t="array" ref="P112">P$106+IF($C112&lt;&gt;0,SUMPRODUCT((P$107:P$108)*TRANSPOSE(($D112:$E112))),0)</f>
        <v>889131.64834471757</v>
      </c>
      <c r="Q112" s="31" cm="1">
        <f t="array" ref="Q112">Q$106+IF($C112&lt;&gt;0,SUMPRODUCT((Q$107:Q$108)*TRANSPOSE(($D112:$E112))),0)</f>
        <v>889131.64834471757</v>
      </c>
      <c r="R112" s="31" cm="1">
        <f t="array" ref="R112">R$106+IF($C112&lt;&gt;0,SUMPRODUCT((R$107:R$108)*TRANSPOSE(($D112:$E112))),0)</f>
        <v>889131.64834471757</v>
      </c>
      <c r="S112" s="31" cm="1">
        <f t="array" ref="S112">S$106+IF($C112&lt;&gt;0,SUMPRODUCT((S$107:S$108)*TRANSPOSE(($D112:$E112))),0)</f>
        <v>889131.64834471757</v>
      </c>
      <c r="T112" s="31" cm="1">
        <f t="array" ref="T112">T$106+IF($C112&lt;&gt;0,SUMPRODUCT((T$107:T$108)*TRANSPOSE(($D112:$E112))),0)</f>
        <v>889131.64834471757</v>
      </c>
      <c r="U112" s="31" cm="1">
        <f t="array" ref="U112">U$106+IF($C112&lt;&gt;0,SUMPRODUCT((U$107:U$108)*TRANSPOSE(($D112:$E112))),0)</f>
        <v>889131.64834471757</v>
      </c>
      <c r="V112" s="31" cm="1">
        <f t="array" ref="V112">V$106+IF($C112&lt;&gt;0,SUMPRODUCT((V$107:V$108)*TRANSPOSE(($D112:$E112))),0)</f>
        <v>889131.64834471757</v>
      </c>
      <c r="W112" s="31" cm="1">
        <f t="array" ref="W112">W$106+IF($C112&lt;&gt;0,SUMPRODUCT((W$107:W$108)*TRANSPOSE(($D112:$E112))),0)</f>
        <v>889131.64834471757</v>
      </c>
      <c r="X112" s="31" cm="1">
        <f t="array" ref="X112">X$106+IF($C112&lt;&gt;0,SUMPRODUCT((X$107:X$108)*TRANSPOSE(($D112:$E112))),0)</f>
        <v>889131.64834471757</v>
      </c>
      <c r="Y112" s="31" cm="1">
        <f t="array" ref="Y112">Y$106+IF($C112&lt;&gt;0,SUMPRODUCT((Y$107:Y$108)*TRANSPOSE(($D112:$E112))),0)</f>
        <v>889131.64834471757</v>
      </c>
      <c r="Z112" s="31" cm="1">
        <f t="array" ref="Z112">Z$106+IF($C112&lt;&gt;0,SUMPRODUCT((Z$107:Z$108)*TRANSPOSE(($D112:$E112))),0)</f>
        <v>889131.64834471757</v>
      </c>
      <c r="AA112" s="31" cm="1">
        <f t="array" ref="AA112">AA$106+IF($C112&lt;&gt;0,SUMPRODUCT((AA$107:AA$108)*TRANSPOSE(($D112:$E112))),0)</f>
        <v>889131.64834471757</v>
      </c>
      <c r="AB112" s="31" cm="1">
        <f t="array" ref="AB112">AB$106+IF($C112&lt;&gt;0,SUMPRODUCT((AB$107:AB$108)*TRANSPOSE(($D112:$E112))),0)</f>
        <v>889131.64834471757</v>
      </c>
      <c r="AC112" s="31" cm="1">
        <f t="array" ref="AC112">AC$106+IF($C112&lt;&gt;0,SUMPRODUCT((AC$107:AC$108)*TRANSPOSE(($D112:$E112))),0)</f>
        <v>889131.64834471757</v>
      </c>
      <c r="AD112" s="31" cm="1">
        <f t="array" ref="AD112">AD$106+IF($C112&lt;&gt;0,SUMPRODUCT((AD$107:AD$108)*TRANSPOSE(($D112:$E112))),0)</f>
        <v>889131.64834471757</v>
      </c>
      <c r="AE112" s="31" cm="1">
        <f t="array" ref="AE112">AE$106+IF($C112&lt;&gt;0,SUMPRODUCT((AE$107:AE$108)*TRANSPOSE(($D112:$E112))),0)</f>
        <v>889131.64834471757</v>
      </c>
      <c r="AF112" s="31" cm="1">
        <f t="array" ref="AF112">AF$106+IF($C112&lt;&gt;0,SUMPRODUCT((AF$107:AF$108)*TRANSPOSE(($D112:$E112))),0)</f>
        <v>889131.64834471757</v>
      </c>
      <c r="AG112" s="31" cm="1">
        <f t="array" ref="AG112">AG$106+IF($C112&lt;&gt;0,SUMPRODUCT((AG$107:AG$108)*TRANSPOSE(($D112:$E112))),0)</f>
        <v>889131.64834471757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-75685.358333593991</v>
      </c>
      <c r="K113" s="31" cm="1">
        <f t="array" ref="K113">K$106+IF($C113&lt;&gt;0,SUMPRODUCT((K$107:K$108)*TRANSPOSE(($D113:$E113))),0)</f>
        <v>26842.879433311056</v>
      </c>
      <c r="L113" s="31" cm="1">
        <f t="array" ref="L113">L$106+IF($C113&lt;&gt;0,SUMPRODUCT((L$107:L$108)*TRANSPOSE(($D113:$E113))),0)</f>
        <v>129371.11720021619</v>
      </c>
      <c r="M113" s="31" cm="1">
        <f t="array" ref="M113">M$106+IF($C113&lt;&gt;0,SUMPRODUCT((M$107:M$108)*TRANSPOSE(($D113:$E113))),0)</f>
        <v>220069.17368632439</v>
      </c>
      <c r="N113" s="31" cm="1">
        <f t="array" ref="N113">N$106+IF($C113&lt;&gt;0,SUMPRODUCT((N$107:N$108)*TRANSPOSE(($D113:$E113))),0)</f>
        <v>294993.65513137035</v>
      </c>
      <c r="O113" s="31" cm="1">
        <f t="array" ref="O113">O$106+IF($C113&lt;&gt;0,SUMPRODUCT((O$107:O$108)*TRANSPOSE(($D113:$E113))),0)</f>
        <v>452729.40554199374</v>
      </c>
      <c r="P113" s="31" cm="1">
        <f t="array" ref="P113">P$106+IF($C113&lt;&gt;0,SUMPRODUCT((P$107:P$108)*TRANSPOSE(($D113:$E113))),0)</f>
        <v>657785.88107580354</v>
      </c>
      <c r="Q113" s="31" cm="1">
        <f t="array" ref="Q113">Q$106+IF($C113&lt;&gt;0,SUMPRODUCT((Q$107:Q$108)*TRANSPOSE(($D113:$E113))),0)</f>
        <v>657785.88107580354</v>
      </c>
      <c r="R113" s="31" cm="1">
        <f t="array" ref="R113">R$106+IF($C113&lt;&gt;0,SUMPRODUCT((R$107:R$108)*TRANSPOSE(($D113:$E113))),0)</f>
        <v>657785.88107580354</v>
      </c>
      <c r="S113" s="31" cm="1">
        <f t="array" ref="S113">S$106+IF($C113&lt;&gt;0,SUMPRODUCT((S$107:S$108)*TRANSPOSE(($D113:$E113))),0)</f>
        <v>657785.88107580354</v>
      </c>
      <c r="T113" s="31" cm="1">
        <f t="array" ref="T113">T$106+IF($C113&lt;&gt;0,SUMPRODUCT((T$107:T$108)*TRANSPOSE(($D113:$E113))),0)</f>
        <v>657785.88107580354</v>
      </c>
      <c r="U113" s="31" cm="1">
        <f t="array" ref="U113">U$106+IF($C113&lt;&gt;0,SUMPRODUCT((U$107:U$108)*TRANSPOSE(($D113:$E113))),0)</f>
        <v>657785.88107580354</v>
      </c>
      <c r="V113" s="31" cm="1">
        <f t="array" ref="V113">V$106+IF($C113&lt;&gt;0,SUMPRODUCT((V$107:V$108)*TRANSPOSE(($D113:$E113))),0)</f>
        <v>657785.88107580354</v>
      </c>
      <c r="W113" s="31" cm="1">
        <f t="array" ref="W113">W$106+IF($C113&lt;&gt;0,SUMPRODUCT((W$107:W$108)*TRANSPOSE(($D113:$E113))),0)</f>
        <v>657785.88107580354</v>
      </c>
      <c r="X113" s="31" cm="1">
        <f t="array" ref="X113">X$106+IF($C113&lt;&gt;0,SUMPRODUCT((X$107:X$108)*TRANSPOSE(($D113:$E113))),0)</f>
        <v>657785.88107580354</v>
      </c>
      <c r="Y113" s="31" cm="1">
        <f t="array" ref="Y113">Y$106+IF($C113&lt;&gt;0,SUMPRODUCT((Y$107:Y$108)*TRANSPOSE(($D113:$E113))),0)</f>
        <v>657785.88107580354</v>
      </c>
      <c r="Z113" s="31" cm="1">
        <f t="array" ref="Z113">Z$106+IF($C113&lt;&gt;0,SUMPRODUCT((Z$107:Z$108)*TRANSPOSE(($D113:$E113))),0)</f>
        <v>657785.88107580354</v>
      </c>
      <c r="AA113" s="31" cm="1">
        <f t="array" ref="AA113">AA$106+IF($C113&lt;&gt;0,SUMPRODUCT((AA$107:AA$108)*TRANSPOSE(($D113:$E113))),0)</f>
        <v>657785.88107580354</v>
      </c>
      <c r="AB113" s="31" cm="1">
        <f t="array" ref="AB113">AB$106+IF($C113&lt;&gt;0,SUMPRODUCT((AB$107:AB$108)*TRANSPOSE(($D113:$E113))),0)</f>
        <v>657785.88107580354</v>
      </c>
      <c r="AC113" s="31" cm="1">
        <f t="array" ref="AC113">AC$106+IF($C113&lt;&gt;0,SUMPRODUCT((AC$107:AC$108)*TRANSPOSE(($D113:$E113))),0)</f>
        <v>657785.88107580354</v>
      </c>
      <c r="AD113" s="31" cm="1">
        <f t="array" ref="AD113">AD$106+IF($C113&lt;&gt;0,SUMPRODUCT((AD$107:AD$108)*TRANSPOSE(($D113:$E113))),0)</f>
        <v>657785.88107580354</v>
      </c>
      <c r="AE113" s="31" cm="1">
        <f t="array" ref="AE113">AE$106+IF($C113&lt;&gt;0,SUMPRODUCT((AE$107:AE$108)*TRANSPOSE(($D113:$E113))),0)</f>
        <v>657785.88107580354</v>
      </c>
      <c r="AF113" s="31" cm="1">
        <f t="array" ref="AF113">AF$106+IF($C113&lt;&gt;0,SUMPRODUCT((AF$107:AF$108)*TRANSPOSE(($D113:$E113))),0)</f>
        <v>657785.88107580354</v>
      </c>
      <c r="AG113" s="31" cm="1">
        <f t="array" ref="AG113">AG$106+IF($C113&lt;&gt;0,SUMPRODUCT((AG$107:AG$108)*TRANSPOSE(($D113:$E113))),0)</f>
        <v>657785.88107580354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-114012.3654970249</v>
      </c>
      <c r="K114" s="31" cm="1">
        <f t="array" ref="K114">K$106+IF($C114&lt;&gt;0,SUMPRODUCT((K$107:K$108)*TRANSPOSE(($D114:$E114))),0)</f>
        <v>-11484.127730119857</v>
      </c>
      <c r="L114" s="31" cm="1">
        <f t="array" ref="L114">L$106+IF($C114&lt;&gt;0,SUMPRODUCT((L$107:L$108)*TRANSPOSE(($D114:$E114))),0)</f>
        <v>91044.110036785278</v>
      </c>
      <c r="M114" s="31" cm="1">
        <f t="array" ref="M114">M$106+IF($C114&lt;&gt;0,SUMPRODUCT((M$107:M$108)*TRANSPOSE(($D114:$E114))),0)</f>
        <v>181742.16652289347</v>
      </c>
      <c r="N114" s="31" cm="1">
        <f t="array" ref="N114">N$106+IF($C114&lt;&gt;0,SUMPRODUCT((N$107:N$108)*TRANSPOSE(($D114:$E114))),0)</f>
        <v>256666.64796793944</v>
      </c>
      <c r="O114" s="31" cm="1">
        <f t="array" ref="O114">O$106+IF($C114&lt;&gt;0,SUMPRODUCT((O$107:O$108)*TRANSPOSE(($D114:$E114))),0)</f>
        <v>414402.39837856276</v>
      </c>
      <c r="P114" s="31" cm="1">
        <f t="array" ref="P114">P$106+IF($C114&lt;&gt;0,SUMPRODUCT((P$107:P$108)*TRANSPOSE(($D114:$E114))),0)</f>
        <v>619458.87391237263</v>
      </c>
      <c r="Q114" s="31" cm="1">
        <f t="array" ref="Q114">Q$106+IF($C114&lt;&gt;0,SUMPRODUCT((Q$107:Q$108)*TRANSPOSE(($D114:$E114))),0)</f>
        <v>619458.87391237263</v>
      </c>
      <c r="R114" s="31" cm="1">
        <f t="array" ref="R114">R$106+IF($C114&lt;&gt;0,SUMPRODUCT((R$107:R$108)*TRANSPOSE(($D114:$E114))),0)</f>
        <v>619458.87391237263</v>
      </c>
      <c r="S114" s="31" cm="1">
        <f t="array" ref="S114">S$106+IF($C114&lt;&gt;0,SUMPRODUCT((S$107:S$108)*TRANSPOSE(($D114:$E114))),0)</f>
        <v>619458.87391237263</v>
      </c>
      <c r="T114" s="31" cm="1">
        <f t="array" ref="T114">T$106+IF($C114&lt;&gt;0,SUMPRODUCT((T$107:T$108)*TRANSPOSE(($D114:$E114))),0)</f>
        <v>619458.87391237263</v>
      </c>
      <c r="U114" s="31" cm="1">
        <f t="array" ref="U114">U$106+IF($C114&lt;&gt;0,SUMPRODUCT((U$107:U$108)*TRANSPOSE(($D114:$E114))),0)</f>
        <v>619458.87391237263</v>
      </c>
      <c r="V114" s="31" cm="1">
        <f t="array" ref="V114">V$106+IF($C114&lt;&gt;0,SUMPRODUCT((V$107:V$108)*TRANSPOSE(($D114:$E114))),0)</f>
        <v>619458.87391237263</v>
      </c>
      <c r="W114" s="31" cm="1">
        <f t="array" ref="W114">W$106+IF($C114&lt;&gt;0,SUMPRODUCT((W$107:W$108)*TRANSPOSE(($D114:$E114))),0)</f>
        <v>619458.87391237263</v>
      </c>
      <c r="X114" s="31" cm="1">
        <f t="array" ref="X114">X$106+IF($C114&lt;&gt;0,SUMPRODUCT((X$107:X$108)*TRANSPOSE(($D114:$E114))),0)</f>
        <v>619458.87391237263</v>
      </c>
      <c r="Y114" s="31" cm="1">
        <f t="array" ref="Y114">Y$106+IF($C114&lt;&gt;0,SUMPRODUCT((Y$107:Y$108)*TRANSPOSE(($D114:$E114))),0)</f>
        <v>619458.87391237263</v>
      </c>
      <c r="Z114" s="31" cm="1">
        <f t="array" ref="Z114">Z$106+IF($C114&lt;&gt;0,SUMPRODUCT((Z$107:Z$108)*TRANSPOSE(($D114:$E114))),0)</f>
        <v>619458.87391237263</v>
      </c>
      <c r="AA114" s="31" cm="1">
        <f t="array" ref="AA114">AA$106+IF($C114&lt;&gt;0,SUMPRODUCT((AA$107:AA$108)*TRANSPOSE(($D114:$E114))),0)</f>
        <v>619458.87391237263</v>
      </c>
      <c r="AB114" s="31" cm="1">
        <f t="array" ref="AB114">AB$106+IF($C114&lt;&gt;0,SUMPRODUCT((AB$107:AB$108)*TRANSPOSE(($D114:$E114))),0)</f>
        <v>619458.87391237263</v>
      </c>
      <c r="AC114" s="31" cm="1">
        <f t="array" ref="AC114">AC$106+IF($C114&lt;&gt;0,SUMPRODUCT((AC$107:AC$108)*TRANSPOSE(($D114:$E114))),0)</f>
        <v>619458.87391237263</v>
      </c>
      <c r="AD114" s="31" cm="1">
        <f t="array" ref="AD114">AD$106+IF($C114&lt;&gt;0,SUMPRODUCT((AD$107:AD$108)*TRANSPOSE(($D114:$E114))),0)</f>
        <v>619458.87391237263</v>
      </c>
      <c r="AE114" s="31" cm="1">
        <f t="array" ref="AE114">AE$106+IF($C114&lt;&gt;0,SUMPRODUCT((AE$107:AE$108)*TRANSPOSE(($D114:$E114))),0)</f>
        <v>619458.87391237263</v>
      </c>
      <c r="AF114" s="31" cm="1">
        <f t="array" ref="AF114">AF$106+IF($C114&lt;&gt;0,SUMPRODUCT((AF$107:AF$108)*TRANSPOSE(($D114:$E114))),0)</f>
        <v>619458.87391237263</v>
      </c>
      <c r="AG114" s="31" cm="1">
        <f t="array" ref="AG114">AG$106+IF($C114&lt;&gt;0,SUMPRODUCT((AG$107:AG$108)*TRANSPOSE(($D114:$E114))),0)</f>
        <v>619458.87391237263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-41509.279077958956</v>
      </c>
      <c r="K115" s="31" cm="1">
        <f t="array" ref="K115">K$106+IF($C115&lt;&gt;0,SUMPRODUCT((K$107:K$108)*TRANSPOSE(($D115:$E115))),0)</f>
        <v>72410.985107491084</v>
      </c>
      <c r="L115" s="31" cm="1">
        <f t="array" ref="L115">L$106+IF($C115&lt;&gt;0,SUMPRODUCT((L$107:L$108)*TRANSPOSE(($D115:$E115))),0)</f>
        <v>186331.24929294124</v>
      </c>
      <c r="M115" s="31" cm="1">
        <f t="array" ref="M115">M$106+IF($C115&lt;&gt;0,SUMPRODUCT((M$107:M$108)*TRANSPOSE(($D115:$E115))),0)</f>
        <v>287106.86761083925</v>
      </c>
      <c r="N115" s="31" cm="1">
        <f t="array" ref="N115">N$106+IF($C115&lt;&gt;0,SUMPRODUCT((N$107:N$108)*TRANSPOSE(($D115:$E115))),0)</f>
        <v>370356.29143866809</v>
      </c>
      <c r="O115" s="31" cm="1">
        <f t="array" ref="O115">O$106+IF($C115&lt;&gt;0,SUMPRODUCT((O$107:O$108)*TRANSPOSE(($D115:$E115))),0)</f>
        <v>545618.23633936071</v>
      </c>
      <c r="P115" s="31" cm="1">
        <f t="array" ref="P115">P$106+IF($C115&lt;&gt;0,SUMPRODUCT((P$107:P$108)*TRANSPOSE(($D115:$E115))),0)</f>
        <v>773458.76471026056</v>
      </c>
      <c r="Q115" s="31" cm="1">
        <f t="array" ref="Q115">Q$106+IF($C115&lt;&gt;0,SUMPRODUCT((Q$107:Q$108)*TRANSPOSE(($D115:$E115))),0)</f>
        <v>773458.76471026056</v>
      </c>
      <c r="R115" s="31" cm="1">
        <f t="array" ref="R115">R$106+IF($C115&lt;&gt;0,SUMPRODUCT((R$107:R$108)*TRANSPOSE(($D115:$E115))),0)</f>
        <v>773458.76471026056</v>
      </c>
      <c r="S115" s="31" cm="1">
        <f t="array" ref="S115">S$106+IF($C115&lt;&gt;0,SUMPRODUCT((S$107:S$108)*TRANSPOSE(($D115:$E115))),0)</f>
        <v>773458.76471026056</v>
      </c>
      <c r="T115" s="31" cm="1">
        <f t="array" ref="T115">T$106+IF($C115&lt;&gt;0,SUMPRODUCT((T$107:T$108)*TRANSPOSE(($D115:$E115))),0)</f>
        <v>773458.76471026056</v>
      </c>
      <c r="U115" s="31" cm="1">
        <f t="array" ref="U115">U$106+IF($C115&lt;&gt;0,SUMPRODUCT((U$107:U$108)*TRANSPOSE(($D115:$E115))),0)</f>
        <v>773458.76471026056</v>
      </c>
      <c r="V115" s="31" cm="1">
        <f t="array" ref="V115">V$106+IF($C115&lt;&gt;0,SUMPRODUCT((V$107:V$108)*TRANSPOSE(($D115:$E115))),0)</f>
        <v>773458.76471026056</v>
      </c>
      <c r="W115" s="31" cm="1">
        <f t="array" ref="W115">W$106+IF($C115&lt;&gt;0,SUMPRODUCT((W$107:W$108)*TRANSPOSE(($D115:$E115))),0)</f>
        <v>773458.76471026056</v>
      </c>
      <c r="X115" s="31" cm="1">
        <f t="array" ref="X115">X$106+IF($C115&lt;&gt;0,SUMPRODUCT((X$107:X$108)*TRANSPOSE(($D115:$E115))),0)</f>
        <v>773458.76471026056</v>
      </c>
      <c r="Y115" s="31" cm="1">
        <f t="array" ref="Y115">Y$106+IF($C115&lt;&gt;0,SUMPRODUCT((Y$107:Y$108)*TRANSPOSE(($D115:$E115))),0)</f>
        <v>773458.76471026056</v>
      </c>
      <c r="Z115" s="31" cm="1">
        <f t="array" ref="Z115">Z$106+IF($C115&lt;&gt;0,SUMPRODUCT((Z$107:Z$108)*TRANSPOSE(($D115:$E115))),0)</f>
        <v>773458.76471026056</v>
      </c>
      <c r="AA115" s="31" cm="1">
        <f t="array" ref="AA115">AA$106+IF($C115&lt;&gt;0,SUMPRODUCT((AA$107:AA$108)*TRANSPOSE(($D115:$E115))),0)</f>
        <v>773458.76471026056</v>
      </c>
      <c r="AB115" s="31" cm="1">
        <f t="array" ref="AB115">AB$106+IF($C115&lt;&gt;0,SUMPRODUCT((AB$107:AB$108)*TRANSPOSE(($D115:$E115))),0)</f>
        <v>773458.76471026056</v>
      </c>
      <c r="AC115" s="31" cm="1">
        <f t="array" ref="AC115">AC$106+IF($C115&lt;&gt;0,SUMPRODUCT((AC$107:AC$108)*TRANSPOSE(($D115:$E115))),0)</f>
        <v>773458.76471026056</v>
      </c>
      <c r="AD115" s="31" cm="1">
        <f t="array" ref="AD115">AD$106+IF($C115&lt;&gt;0,SUMPRODUCT((AD$107:AD$108)*TRANSPOSE(($D115:$E115))),0)</f>
        <v>773458.76471026056</v>
      </c>
      <c r="AE115" s="31" cm="1">
        <f t="array" ref="AE115">AE$106+IF($C115&lt;&gt;0,SUMPRODUCT((AE$107:AE$108)*TRANSPOSE(($D115:$E115))),0)</f>
        <v>773458.76471026056</v>
      </c>
      <c r="AF115" s="31" cm="1">
        <f t="array" ref="AF115">AF$106+IF($C115&lt;&gt;0,SUMPRODUCT((AF$107:AF$108)*TRANSPOSE(($D115:$E115))),0)</f>
        <v>773458.76471026056</v>
      </c>
      <c r="AG115" s="31" cm="1">
        <f t="array" ref="AG115">AG$106+IF($C115&lt;&gt;0,SUMPRODUCT((AG$107:AG$108)*TRANSPOSE(($D115:$E115))),0)</f>
        <v>773458.76471026056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-41509.279077958956</v>
      </c>
      <c r="K116" s="31" cm="1">
        <f t="array" ref="K116">K$106+IF($C116&lt;&gt;0,SUMPRODUCT((K$107:K$108)*TRANSPOSE(($D116:$E116))),0)</f>
        <v>72410.985107491084</v>
      </c>
      <c r="L116" s="31" cm="1">
        <f t="array" ref="L116">L$106+IF($C116&lt;&gt;0,SUMPRODUCT((L$107:L$108)*TRANSPOSE(($D116:$E116))),0)</f>
        <v>186331.24929294124</v>
      </c>
      <c r="M116" s="31" cm="1">
        <f t="array" ref="M116">M$106+IF($C116&lt;&gt;0,SUMPRODUCT((M$107:M$108)*TRANSPOSE(($D116:$E116))),0)</f>
        <v>287106.86761083925</v>
      </c>
      <c r="N116" s="31" cm="1">
        <f t="array" ref="N116">N$106+IF($C116&lt;&gt;0,SUMPRODUCT((N$107:N$108)*TRANSPOSE(($D116:$E116))),0)</f>
        <v>370356.29143866809</v>
      </c>
      <c r="O116" s="31" cm="1">
        <f t="array" ref="O116">O$106+IF($C116&lt;&gt;0,SUMPRODUCT((O$107:O$108)*TRANSPOSE(($D116:$E116))),0)</f>
        <v>545618.23633936071</v>
      </c>
      <c r="P116" s="31" cm="1">
        <f t="array" ref="P116">P$106+IF($C116&lt;&gt;0,SUMPRODUCT((P$107:P$108)*TRANSPOSE(($D116:$E116))),0)</f>
        <v>773458.76471026056</v>
      </c>
      <c r="Q116" s="31" cm="1">
        <f t="array" ref="Q116">Q$106+IF($C116&lt;&gt;0,SUMPRODUCT((Q$107:Q$108)*TRANSPOSE(($D116:$E116))),0)</f>
        <v>773458.76471026056</v>
      </c>
      <c r="R116" s="31" cm="1">
        <f t="array" ref="R116">R$106+IF($C116&lt;&gt;0,SUMPRODUCT((R$107:R$108)*TRANSPOSE(($D116:$E116))),0)</f>
        <v>773458.76471026056</v>
      </c>
      <c r="S116" s="31" cm="1">
        <f t="array" ref="S116">S$106+IF($C116&lt;&gt;0,SUMPRODUCT((S$107:S$108)*TRANSPOSE(($D116:$E116))),0)</f>
        <v>773458.76471026056</v>
      </c>
      <c r="T116" s="31" cm="1">
        <f t="array" ref="T116">T$106+IF($C116&lt;&gt;0,SUMPRODUCT((T$107:T$108)*TRANSPOSE(($D116:$E116))),0)</f>
        <v>773458.76471026056</v>
      </c>
      <c r="U116" s="31" cm="1">
        <f t="array" ref="U116">U$106+IF($C116&lt;&gt;0,SUMPRODUCT((U$107:U$108)*TRANSPOSE(($D116:$E116))),0)</f>
        <v>773458.76471026056</v>
      </c>
      <c r="V116" s="31" cm="1">
        <f t="array" ref="V116">V$106+IF($C116&lt;&gt;0,SUMPRODUCT((V$107:V$108)*TRANSPOSE(($D116:$E116))),0)</f>
        <v>773458.76471026056</v>
      </c>
      <c r="W116" s="31" cm="1">
        <f t="array" ref="W116">W$106+IF($C116&lt;&gt;0,SUMPRODUCT((W$107:W$108)*TRANSPOSE(($D116:$E116))),0)</f>
        <v>773458.76471026056</v>
      </c>
      <c r="X116" s="31" cm="1">
        <f t="array" ref="X116">X$106+IF($C116&lt;&gt;0,SUMPRODUCT((X$107:X$108)*TRANSPOSE(($D116:$E116))),0)</f>
        <v>773458.76471026056</v>
      </c>
      <c r="Y116" s="31" cm="1">
        <f t="array" ref="Y116">Y$106+IF($C116&lt;&gt;0,SUMPRODUCT((Y$107:Y$108)*TRANSPOSE(($D116:$E116))),0)</f>
        <v>773458.76471026056</v>
      </c>
      <c r="Z116" s="31" cm="1">
        <f t="array" ref="Z116">Z$106+IF($C116&lt;&gt;0,SUMPRODUCT((Z$107:Z$108)*TRANSPOSE(($D116:$E116))),0)</f>
        <v>773458.76471026056</v>
      </c>
      <c r="AA116" s="31" cm="1">
        <f t="array" ref="AA116">AA$106+IF($C116&lt;&gt;0,SUMPRODUCT((AA$107:AA$108)*TRANSPOSE(($D116:$E116))),0)</f>
        <v>773458.76471026056</v>
      </c>
      <c r="AB116" s="31" cm="1">
        <f t="array" ref="AB116">AB$106+IF($C116&lt;&gt;0,SUMPRODUCT((AB$107:AB$108)*TRANSPOSE(($D116:$E116))),0)</f>
        <v>773458.76471026056</v>
      </c>
      <c r="AC116" s="31" cm="1">
        <f t="array" ref="AC116">AC$106+IF($C116&lt;&gt;0,SUMPRODUCT((AC$107:AC$108)*TRANSPOSE(($D116:$E116))),0)</f>
        <v>773458.76471026056</v>
      </c>
      <c r="AD116" s="31" cm="1">
        <f t="array" ref="AD116">AD$106+IF($C116&lt;&gt;0,SUMPRODUCT((AD$107:AD$108)*TRANSPOSE(($D116:$E116))),0)</f>
        <v>773458.76471026056</v>
      </c>
      <c r="AE116" s="31" cm="1">
        <f t="array" ref="AE116">AE$106+IF($C116&lt;&gt;0,SUMPRODUCT((AE$107:AE$108)*TRANSPOSE(($D116:$E116))),0)</f>
        <v>773458.76471026056</v>
      </c>
      <c r="AF116" s="31" cm="1">
        <f t="array" ref="AF116">AF$106+IF($C116&lt;&gt;0,SUMPRODUCT((AF$107:AF$108)*TRANSPOSE(($D116:$E116))),0)</f>
        <v>773458.76471026056</v>
      </c>
      <c r="AG116" s="31" cm="1">
        <f t="array" ref="AG116">AG$106+IF($C116&lt;&gt;0,SUMPRODUCT((AG$107:AG$108)*TRANSPOSE(($D116:$E116))),0)</f>
        <v>773458.76471026056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-41509.279077958956</v>
      </c>
      <c r="K117" s="31" cm="1">
        <f t="array" ref="K117">K$106+IF($C117&lt;&gt;0,SUMPRODUCT((K$107:K$108)*TRANSPOSE(($D117:$E117))),0)</f>
        <v>72410.985107491084</v>
      </c>
      <c r="L117" s="31" cm="1">
        <f t="array" ref="L117">L$106+IF($C117&lt;&gt;0,SUMPRODUCT((L$107:L$108)*TRANSPOSE(($D117:$E117))),0)</f>
        <v>186331.24929294124</v>
      </c>
      <c r="M117" s="31" cm="1">
        <f t="array" ref="M117">M$106+IF($C117&lt;&gt;0,SUMPRODUCT((M$107:M$108)*TRANSPOSE(($D117:$E117))),0)</f>
        <v>287106.86761083925</v>
      </c>
      <c r="N117" s="31" cm="1">
        <f t="array" ref="N117">N$106+IF($C117&lt;&gt;0,SUMPRODUCT((N$107:N$108)*TRANSPOSE(($D117:$E117))),0)</f>
        <v>370356.29143866809</v>
      </c>
      <c r="O117" s="31" cm="1">
        <f t="array" ref="O117">O$106+IF($C117&lt;&gt;0,SUMPRODUCT((O$107:O$108)*TRANSPOSE(($D117:$E117))),0)</f>
        <v>545618.23633936071</v>
      </c>
      <c r="P117" s="31" cm="1">
        <f t="array" ref="P117">P$106+IF($C117&lt;&gt;0,SUMPRODUCT((P$107:P$108)*TRANSPOSE(($D117:$E117))),0)</f>
        <v>773458.76471026056</v>
      </c>
      <c r="Q117" s="31" cm="1">
        <f t="array" ref="Q117">Q$106+IF($C117&lt;&gt;0,SUMPRODUCT((Q$107:Q$108)*TRANSPOSE(($D117:$E117))),0)</f>
        <v>773458.76471026056</v>
      </c>
      <c r="R117" s="31" cm="1">
        <f t="array" ref="R117">R$106+IF($C117&lt;&gt;0,SUMPRODUCT((R$107:R$108)*TRANSPOSE(($D117:$E117))),0)</f>
        <v>773458.76471026056</v>
      </c>
      <c r="S117" s="31" cm="1">
        <f t="array" ref="S117">S$106+IF($C117&lt;&gt;0,SUMPRODUCT((S$107:S$108)*TRANSPOSE(($D117:$E117))),0)</f>
        <v>773458.76471026056</v>
      </c>
      <c r="T117" s="31" cm="1">
        <f t="array" ref="T117">T$106+IF($C117&lt;&gt;0,SUMPRODUCT((T$107:T$108)*TRANSPOSE(($D117:$E117))),0)</f>
        <v>773458.76471026056</v>
      </c>
      <c r="U117" s="31" cm="1">
        <f t="array" ref="U117">U$106+IF($C117&lt;&gt;0,SUMPRODUCT((U$107:U$108)*TRANSPOSE(($D117:$E117))),0)</f>
        <v>773458.76471026056</v>
      </c>
      <c r="V117" s="31" cm="1">
        <f t="array" ref="V117">V$106+IF($C117&lt;&gt;0,SUMPRODUCT((V$107:V$108)*TRANSPOSE(($D117:$E117))),0)</f>
        <v>773458.76471026056</v>
      </c>
      <c r="W117" s="31" cm="1">
        <f t="array" ref="W117">W$106+IF($C117&lt;&gt;0,SUMPRODUCT((W$107:W$108)*TRANSPOSE(($D117:$E117))),0)</f>
        <v>773458.76471026056</v>
      </c>
      <c r="X117" s="31" cm="1">
        <f t="array" ref="X117">X$106+IF($C117&lt;&gt;0,SUMPRODUCT((X$107:X$108)*TRANSPOSE(($D117:$E117))),0)</f>
        <v>773458.76471026056</v>
      </c>
      <c r="Y117" s="31" cm="1">
        <f t="array" ref="Y117">Y$106+IF($C117&lt;&gt;0,SUMPRODUCT((Y$107:Y$108)*TRANSPOSE(($D117:$E117))),0)</f>
        <v>773458.76471026056</v>
      </c>
      <c r="Z117" s="31" cm="1">
        <f t="array" ref="Z117">Z$106+IF($C117&lt;&gt;0,SUMPRODUCT((Z$107:Z$108)*TRANSPOSE(($D117:$E117))),0)</f>
        <v>773458.76471026056</v>
      </c>
      <c r="AA117" s="31" cm="1">
        <f t="array" ref="AA117">AA$106+IF($C117&lt;&gt;0,SUMPRODUCT((AA$107:AA$108)*TRANSPOSE(($D117:$E117))),0)</f>
        <v>773458.76471026056</v>
      </c>
      <c r="AB117" s="31" cm="1">
        <f t="array" ref="AB117">AB$106+IF($C117&lt;&gt;0,SUMPRODUCT((AB$107:AB$108)*TRANSPOSE(($D117:$E117))),0)</f>
        <v>773458.76471026056</v>
      </c>
      <c r="AC117" s="31" cm="1">
        <f t="array" ref="AC117">AC$106+IF($C117&lt;&gt;0,SUMPRODUCT((AC$107:AC$108)*TRANSPOSE(($D117:$E117))),0)</f>
        <v>773458.76471026056</v>
      </c>
      <c r="AD117" s="31" cm="1">
        <f t="array" ref="AD117">AD$106+IF($C117&lt;&gt;0,SUMPRODUCT((AD$107:AD$108)*TRANSPOSE(($D117:$E117))),0)</f>
        <v>773458.76471026056</v>
      </c>
      <c r="AE117" s="31" cm="1">
        <f t="array" ref="AE117">AE$106+IF($C117&lt;&gt;0,SUMPRODUCT((AE$107:AE$108)*TRANSPOSE(($D117:$E117))),0)</f>
        <v>773458.76471026056</v>
      </c>
      <c r="AF117" s="31" cm="1">
        <f t="array" ref="AF117">AF$106+IF($C117&lt;&gt;0,SUMPRODUCT((AF$107:AF$108)*TRANSPOSE(($D117:$E117))),0)</f>
        <v>773458.76471026056</v>
      </c>
      <c r="AG117" s="31" cm="1">
        <f t="array" ref="AG117">AG$106+IF($C117&lt;&gt;0,SUMPRODUCT((AG$107:AG$108)*TRANSPOSE(($D117:$E117))),0)</f>
        <v>773458.76471026056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4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S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Collingwood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134</v>
      </c>
      <c r="B3" s="5"/>
      <c r="C3" s="204" t="str">
        <f>INDEX(Assumptions!$E$14:$E$18, MATCH(A3,_xlfn.ANCHORARRAY( Assumptions!$C$14),0))</f>
        <v>Offload feeders at B via existing network to NR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9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250</v>
      </c>
      <c r="D14"/>
      <c r="E14" s="151">
        <v>50</v>
      </c>
      <c r="G14" s="211">
        <f>input_dollars</f>
        <v>45291</v>
      </c>
      <c r="H14" s="152"/>
      <c r="I14" s="32">
        <v>12229979.841499999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12229979.841499999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  <c r="AL19"/>
      <c r="AM19"/>
    </row>
    <row r="20" spans="1:43" x14ac:dyDescent="0.2">
      <c r="G20" s="209"/>
      <c r="AH20"/>
      <c r="AI20"/>
      <c r="AJ20"/>
      <c r="AK20"/>
      <c r="AL20"/>
      <c r="AM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6.8</v>
      </c>
      <c r="J27" s="172">
        <v>0.3</v>
      </c>
      <c r="K27" s="172">
        <v>0.3</v>
      </c>
      <c r="L27" s="172">
        <v>0.3</v>
      </c>
      <c r="M27" s="172">
        <v>0.3</v>
      </c>
      <c r="N27" s="172">
        <v>1</v>
      </c>
      <c r="O27" s="172">
        <v>1.2999999999999998</v>
      </c>
      <c r="P27" s="172">
        <v>1.2999999999999998</v>
      </c>
      <c r="Q27" s="172">
        <v>1.2999999999999998</v>
      </c>
      <c r="R27" s="172">
        <v>1.2999999999999998</v>
      </c>
      <c r="S27" s="172">
        <v>1.2999999999999998</v>
      </c>
      <c r="T27" s="172">
        <v>1.2999999999999998</v>
      </c>
      <c r="U27" s="172">
        <v>1.2999999999999998</v>
      </c>
      <c r="V27" s="172">
        <v>1.2999999999999998</v>
      </c>
      <c r="W27" s="172">
        <v>1.2999999999999998</v>
      </c>
      <c r="X27" s="172">
        <v>1.2999999999999998</v>
      </c>
      <c r="Y27" s="172">
        <v>1.2999999999999998</v>
      </c>
      <c r="Z27" s="172">
        <v>1.2999999999999998</v>
      </c>
      <c r="AA27" s="172">
        <v>1.2999999999999998</v>
      </c>
      <c r="AB27" s="172">
        <v>1.2999999999999998</v>
      </c>
      <c r="AC27" s="172">
        <v>1.2999999999999998</v>
      </c>
      <c r="AD27" s="172">
        <v>1.2999999999999998</v>
      </c>
      <c r="AE27" s="172">
        <v>1.2999999999999998</v>
      </c>
      <c r="AF27" s="172">
        <v>1.2999999999999998</v>
      </c>
      <c r="AG27" s="172">
        <v>1.2999999999999998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43815.486225173103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297945.30633117707</v>
      </c>
      <c r="J28" s="119">
        <f t="shared" ref="J28:AG28" si="2">J27*$E$28</f>
        <v>13144.64586755193</v>
      </c>
      <c r="K28" s="119">
        <f t="shared" si="2"/>
        <v>13144.64586755193</v>
      </c>
      <c r="L28" s="119">
        <f t="shared" si="2"/>
        <v>13144.64586755193</v>
      </c>
      <c r="M28" s="119">
        <f t="shared" si="2"/>
        <v>13144.64586755193</v>
      </c>
      <c r="N28" s="119">
        <f t="shared" si="2"/>
        <v>43815.486225173103</v>
      </c>
      <c r="O28" s="119">
        <f t="shared" si="2"/>
        <v>56960.132092725027</v>
      </c>
      <c r="P28" s="119">
        <f t="shared" si="2"/>
        <v>56960.132092725027</v>
      </c>
      <c r="Q28" s="119">
        <f t="shared" si="2"/>
        <v>56960.132092725027</v>
      </c>
      <c r="R28" s="119">
        <f t="shared" si="2"/>
        <v>56960.132092725027</v>
      </c>
      <c r="S28" s="119">
        <f t="shared" si="2"/>
        <v>56960.132092725027</v>
      </c>
      <c r="T28" s="119">
        <f t="shared" si="2"/>
        <v>56960.132092725027</v>
      </c>
      <c r="U28" s="119">
        <f t="shared" si="2"/>
        <v>56960.132092725027</v>
      </c>
      <c r="V28" s="119">
        <f t="shared" si="2"/>
        <v>56960.132092725027</v>
      </c>
      <c r="W28" s="119">
        <f t="shared" si="2"/>
        <v>56960.132092725027</v>
      </c>
      <c r="X28" s="119">
        <f t="shared" si="2"/>
        <v>56960.132092725027</v>
      </c>
      <c r="Y28" s="119">
        <f t="shared" si="2"/>
        <v>56960.132092725027</v>
      </c>
      <c r="Z28" s="119">
        <f t="shared" si="2"/>
        <v>56960.132092725027</v>
      </c>
      <c r="AA28" s="119">
        <f t="shared" si="2"/>
        <v>56960.132092725027</v>
      </c>
      <c r="AB28" s="119">
        <f t="shared" si="2"/>
        <v>56960.132092725027</v>
      </c>
      <c r="AC28" s="119">
        <f t="shared" si="2"/>
        <v>56960.132092725027</v>
      </c>
      <c r="AD28" s="119">
        <f t="shared" si="2"/>
        <v>56960.132092725027</v>
      </c>
      <c r="AE28" s="119">
        <f t="shared" si="2"/>
        <v>56960.132092725027</v>
      </c>
      <c r="AF28" s="119">
        <f t="shared" si="2"/>
        <v>56960.132092725027</v>
      </c>
      <c r="AG28" s="119">
        <f t="shared" si="2"/>
        <v>56960.132092725027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74">
        <f>SUM(I28:I34)</f>
        <v>297945.30633117707</v>
      </c>
      <c r="J36" s="174">
        <f t="shared" ref="J36:AG36" si="3">SUM(J28:J34)</f>
        <v>13144.64586755193</v>
      </c>
      <c r="K36" s="174">
        <f t="shared" si="3"/>
        <v>13144.64586755193</v>
      </c>
      <c r="L36" s="174">
        <f t="shared" si="3"/>
        <v>13144.64586755193</v>
      </c>
      <c r="M36" s="174">
        <f t="shared" si="3"/>
        <v>13144.64586755193</v>
      </c>
      <c r="N36" s="174">
        <f t="shared" si="3"/>
        <v>43815.486225173103</v>
      </c>
      <c r="O36" s="174">
        <f t="shared" si="3"/>
        <v>56960.132092725027</v>
      </c>
      <c r="P36" s="174">
        <f t="shared" si="3"/>
        <v>56960.132092725027</v>
      </c>
      <c r="Q36" s="174">
        <f t="shared" si="3"/>
        <v>56960.132092725027</v>
      </c>
      <c r="R36" s="174">
        <f t="shared" si="3"/>
        <v>56960.132092725027</v>
      </c>
      <c r="S36" s="174">
        <f t="shared" si="3"/>
        <v>56960.132092725027</v>
      </c>
      <c r="T36" s="174">
        <f t="shared" si="3"/>
        <v>56960.132092725027</v>
      </c>
      <c r="U36" s="174">
        <f t="shared" si="3"/>
        <v>56960.132092725027</v>
      </c>
      <c r="V36" s="174">
        <f t="shared" si="3"/>
        <v>56960.132092725027</v>
      </c>
      <c r="W36" s="174">
        <f t="shared" si="3"/>
        <v>56960.132092725027</v>
      </c>
      <c r="X36" s="174">
        <f t="shared" si="3"/>
        <v>56960.132092725027</v>
      </c>
      <c r="Y36" s="174">
        <f t="shared" si="3"/>
        <v>56960.132092725027</v>
      </c>
      <c r="Z36" s="174">
        <f t="shared" si="3"/>
        <v>56960.132092725027</v>
      </c>
      <c r="AA36" s="174">
        <f t="shared" si="3"/>
        <v>56960.132092725027</v>
      </c>
      <c r="AB36" s="174">
        <f t="shared" si="3"/>
        <v>56960.132092725027</v>
      </c>
      <c r="AC36" s="174">
        <f t="shared" si="3"/>
        <v>56960.132092725027</v>
      </c>
      <c r="AD36" s="174">
        <f t="shared" si="3"/>
        <v>56960.132092725027</v>
      </c>
      <c r="AE36" s="174">
        <f t="shared" si="3"/>
        <v>56960.132092725027</v>
      </c>
      <c r="AF36" s="174">
        <f t="shared" si="3"/>
        <v>56960.132092725027</v>
      </c>
      <c r="AG36" s="174">
        <f t="shared" si="3"/>
        <v>56960.132092725027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1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341760.79255635024</v>
      </c>
      <c r="K64" s="135">
        <f>(1-INDEX(Data!$C$9:$C$13, MATCH($A$3, options,0)))*('Option1 (base case)'!K36-K36)</f>
        <v>455681.05674180028</v>
      </c>
      <c r="L64" s="135">
        <f>(1-INDEX(Data!$C$9:$C$13, MATCH($A$3, options,0)))*('Option1 (base case)'!L36-L36)</f>
        <v>569601.32092725043</v>
      </c>
      <c r="M64" s="135">
        <f>(1-INDEX(Data!$C$9:$C$13, MATCH($A$3, options,0)))*('Option1 (base case)'!M36-M36)</f>
        <v>670376.93924514845</v>
      </c>
      <c r="N64" s="135">
        <f>(1-INDEX(Data!$C$9:$C$13, MATCH($A$3, options,0)))*('Option1 (base case)'!N36-N36)</f>
        <v>753626.36307297728</v>
      </c>
      <c r="O64" s="135">
        <f>(1-INDEX(Data!$C$9:$C$13, MATCH($A$3, options,0)))*('Option1 (base case)'!O36-O36)</f>
        <v>928888.30797366984</v>
      </c>
      <c r="P64" s="135">
        <f>(1-INDEX(Data!$C$9:$C$13, MATCH($A$3, options,0)))*('Option1 (base case)'!P36-P36)</f>
        <v>1156728.8363445697</v>
      </c>
      <c r="Q64" s="135">
        <f>(1-INDEX(Data!$C$9:$C$13, MATCH($A$3, options,0)))*('Option1 (base case)'!Q36-Q36)</f>
        <v>1156728.8363445697</v>
      </c>
      <c r="R64" s="135">
        <f>(1-INDEX(Data!$C$9:$C$13, MATCH($A$3, options,0)))*('Option1 (base case)'!R36-R36)</f>
        <v>1156728.8363445697</v>
      </c>
      <c r="S64" s="135">
        <f>(1-INDEX(Data!$C$9:$C$13, MATCH($A$3, options,0)))*('Option1 (base case)'!S36-S36)</f>
        <v>1156728.8363445697</v>
      </c>
      <c r="T64" s="135">
        <f>(1-INDEX(Data!$C$9:$C$13, MATCH($A$3, options,0)))*('Option1 (base case)'!T36-T36)</f>
        <v>1156728.8363445697</v>
      </c>
      <c r="U64" s="135">
        <f>(1-INDEX(Data!$C$9:$C$13, MATCH($A$3, options,0)))*('Option1 (base case)'!U36-U36)</f>
        <v>1156728.8363445697</v>
      </c>
      <c r="V64" s="135">
        <f>(1-INDEX(Data!$C$9:$C$13, MATCH($A$3, options,0)))*('Option1 (base case)'!V36-V36)</f>
        <v>1156728.8363445697</v>
      </c>
      <c r="W64" s="135">
        <f>(1-INDEX(Data!$C$9:$C$13, MATCH($A$3, options,0)))*('Option1 (base case)'!W36-W36)</f>
        <v>1156728.8363445697</v>
      </c>
      <c r="X64" s="135">
        <f>(1-INDEX(Data!$C$9:$C$13, MATCH($A$3, options,0)))*('Option1 (base case)'!X36-X36)</f>
        <v>1156728.8363445697</v>
      </c>
      <c r="Y64" s="135">
        <f>(1-INDEX(Data!$C$9:$C$13, MATCH($A$3, options,0)))*('Option1 (base case)'!Y36-Y36)</f>
        <v>1156728.8363445697</v>
      </c>
      <c r="Z64" s="135">
        <f>(1-INDEX(Data!$C$9:$C$13, MATCH($A$3, options,0)))*('Option1 (base case)'!Z36-Z36)</f>
        <v>1156728.8363445697</v>
      </c>
      <c r="AA64" s="135">
        <f>(1-INDEX(Data!$C$9:$C$13, MATCH($A$3, options,0)))*('Option1 (base case)'!AA36-AA36)</f>
        <v>1156728.8363445697</v>
      </c>
      <c r="AB64" s="135">
        <f>(1-INDEX(Data!$C$9:$C$13, MATCH($A$3, options,0)))*('Option1 (base case)'!AB36-AB36)</f>
        <v>1156728.8363445697</v>
      </c>
      <c r="AC64" s="135">
        <f>(1-INDEX(Data!$C$9:$C$13, MATCH($A$3, options,0)))*('Option1 (base case)'!AC36-AC36)</f>
        <v>1156728.8363445697</v>
      </c>
      <c r="AD64" s="135">
        <f>(1-INDEX(Data!$C$9:$C$13, MATCH($A$3, options,0)))*('Option1 (base case)'!AD36-AD36)</f>
        <v>1156728.8363445697</v>
      </c>
      <c r="AE64" s="135">
        <f>(1-INDEX(Data!$C$9:$C$13, MATCH($A$3, options,0)))*('Option1 (base case)'!AE36-AE36)</f>
        <v>1156728.8363445697</v>
      </c>
      <c r="AF64" s="135">
        <f>(1-INDEX(Data!$C$9:$C$13, MATCH($A$3, options,0)))*('Option1 (base case)'!AF36-AF36)</f>
        <v>1156728.8363445697</v>
      </c>
      <c r="AG64" s="135">
        <f>(1-INDEX(Data!$C$9:$C$13, MATCH($A$3, options,0)))*('Option1 (base case)'!AG36-AG36)</f>
        <v>1156728.8363445697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Permanent transfers to NR</v>
      </c>
      <c r="D67" s="38"/>
      <c r="F67" s="97"/>
      <c r="G67" s="214">
        <f>input_dollars</f>
        <v>45291</v>
      </c>
      <c r="H67" s="31"/>
      <c r="I67" s="119">
        <f t="shared" ref="I67:AG67" si="5">-I14</f>
        <v>-12229979.841499999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Permanent transfers to NR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-12229979.841499999</v>
      </c>
      <c r="J72" s="119" cm="1">
        <f t="array" ref="J72">SUMPRODUCT(($I67:J67))-SUMPRODUCT(($I67:J67)*($I$6:J$6&lt;=(J$6-$E14)))</f>
        <v>-12229979.841499999</v>
      </c>
      <c r="K72" s="119" cm="1">
        <f t="array" ref="K72">SUMPRODUCT(($I67:K67))-SUMPRODUCT(($I67:K67)*($I$6:K$6&lt;=(K$6-$E14)))</f>
        <v>-12229979.841499999</v>
      </c>
      <c r="L72" s="119" cm="1">
        <f t="array" ref="L72">SUMPRODUCT(($I67:L67))-SUMPRODUCT(($I67:L67)*($I$6:L$6&lt;=(L$6-$E14)))</f>
        <v>-12229979.841499999</v>
      </c>
      <c r="M72" s="119" cm="1">
        <f t="array" ref="M72">SUMPRODUCT(($I67:M67))-SUMPRODUCT(($I67:M67)*($I$6:M$6&lt;=(M$6-$E14)))</f>
        <v>-12229979.841499999</v>
      </c>
      <c r="N72" s="119" cm="1">
        <f t="array" ref="N72">SUMPRODUCT(($I67:N67))-SUMPRODUCT(($I67:N67)*($I$6:N$6&lt;=(N$6-$E14)))</f>
        <v>-12229979.841499999</v>
      </c>
      <c r="O72" s="119" cm="1">
        <f t="array" ref="O72">SUMPRODUCT(($I67:O67))-SUMPRODUCT(($I67:O67)*($I$6:O$6&lt;=(O$6-$E14)))</f>
        <v>-12229979.841499999</v>
      </c>
      <c r="P72" s="119" cm="1">
        <f t="array" ref="P72">SUMPRODUCT(($I67:P67))-SUMPRODUCT(($I67:P67)*($I$6:P$6&lt;=(P$6-$E14)))</f>
        <v>-12229979.841499999</v>
      </c>
      <c r="Q72" s="119" cm="1">
        <f t="array" ref="Q72">SUMPRODUCT(($I67:Q67))-SUMPRODUCT(($I67:Q67)*($I$6:Q$6&lt;=(Q$6-$E14)))</f>
        <v>-12229979.841499999</v>
      </c>
      <c r="R72" s="119" cm="1">
        <f t="array" ref="R72">SUMPRODUCT(($I67:R67))-SUMPRODUCT(($I67:R67)*($I$6:R$6&lt;=(R$6-$E14)))</f>
        <v>-12229979.841499999</v>
      </c>
      <c r="S72" s="119" cm="1">
        <f t="array" ref="S72">SUMPRODUCT(($I67:S67))-SUMPRODUCT(($I67:S67)*($I$6:S$6&lt;=(S$6-$E14)))</f>
        <v>-12229979.841499999</v>
      </c>
      <c r="T72" s="119" cm="1">
        <f t="array" ref="T72">SUMPRODUCT(($I67:T67))-SUMPRODUCT(($I67:T67)*($I$6:T$6&lt;=(T$6-$E14)))</f>
        <v>-12229979.841499999</v>
      </c>
      <c r="U72" s="119" cm="1">
        <f t="array" ref="U72">SUMPRODUCT(($I67:U67))-SUMPRODUCT(($I67:U67)*($I$6:U$6&lt;=(U$6-$E14)))</f>
        <v>-12229979.841499999</v>
      </c>
      <c r="V72" s="119" cm="1">
        <f t="array" ref="V72">SUMPRODUCT(($I67:V67))-SUMPRODUCT(($I67:V67)*($I$6:V$6&lt;=(V$6-$E14)))</f>
        <v>-12229979.841499999</v>
      </c>
      <c r="W72" s="119" cm="1">
        <f t="array" ref="W72">SUMPRODUCT(($I67:W67))-SUMPRODUCT(($I67:W67)*($I$6:W$6&lt;=(W$6-$E14)))</f>
        <v>-12229979.841499999</v>
      </c>
      <c r="X72" s="119" cm="1">
        <f t="array" ref="X72">SUMPRODUCT(($I67:X67))-SUMPRODUCT(($I67:X67)*($I$6:X$6&lt;=(X$6-$E14)))</f>
        <v>-12229979.841499999</v>
      </c>
      <c r="Y72" s="119" cm="1">
        <f t="array" ref="Y72">SUMPRODUCT(($I67:Y67))-SUMPRODUCT(($I67:Y67)*($I$6:Y$6&lt;=(Y$6-$E14)))</f>
        <v>-12229979.841499999</v>
      </c>
      <c r="Z72" s="119" cm="1">
        <f t="array" ref="Z72">SUMPRODUCT(($I67:Z67))-SUMPRODUCT(($I67:Z67)*($I$6:Z$6&lt;=(Z$6-$E14)))</f>
        <v>-12229979.841499999</v>
      </c>
      <c r="AA72" s="119" cm="1">
        <f t="array" ref="AA72">SUMPRODUCT(($I67:AA67))-SUMPRODUCT(($I67:AA67)*($I$6:AA$6&lt;=(AA$6-$E14)))</f>
        <v>-12229979.841499999</v>
      </c>
      <c r="AB72" s="119" cm="1">
        <f t="array" ref="AB72">SUMPRODUCT(($I67:AB67))-SUMPRODUCT(($I67:AB67)*($I$6:AB$6&lt;=(AB$6-$E14)))</f>
        <v>-12229979.841499999</v>
      </c>
      <c r="AC72" s="119" cm="1">
        <f t="array" ref="AC72">SUMPRODUCT(($I67:AC67))-SUMPRODUCT(($I67:AC67)*($I$6:AC$6&lt;=(AC$6-$E14)))</f>
        <v>-12229979.841499999</v>
      </c>
      <c r="AD72" s="119" cm="1">
        <f t="array" ref="AD72">SUMPRODUCT(($I67:AD67))-SUMPRODUCT(($I67:AD67)*($I$6:AD$6&lt;=(AD$6-$E14)))</f>
        <v>-12229979.841499999</v>
      </c>
      <c r="AE72" s="119" cm="1">
        <f t="array" ref="AE72">SUMPRODUCT(($I67:AE67))-SUMPRODUCT(($I67:AE67)*($I$6:AE$6&lt;=(AE$6-$E14)))</f>
        <v>-12229979.841499999</v>
      </c>
      <c r="AF72" s="119" cm="1">
        <f t="array" ref="AF72">SUMPRODUCT(($I67:AF67))-SUMPRODUCT(($I67:AF67)*($I$6:AF$6&lt;=(AF$6-$E14)))</f>
        <v>-12229979.841499999</v>
      </c>
      <c r="AG72" s="119" cm="1">
        <f t="array" ref="AG72">SUMPRODUCT(($I67:AG67))-SUMPRODUCT(($I67:AG67)*($I$6:AG$6&lt;=(AG$6-$E14)))</f>
        <v>-12229979.841499999</v>
      </c>
    </row>
    <row r="73" spans="1:33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Permanent transfers to NR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-521409.40856724745</v>
      </c>
      <c r="K77" s="119">
        <f t="shared" si="8"/>
        <v>-521409.40856724745</v>
      </c>
      <c r="L77" s="119">
        <f t="shared" si="8"/>
        <v>-521409.40856724745</v>
      </c>
      <c r="M77" s="119">
        <f t="shared" si="8"/>
        <v>-521409.40856724745</v>
      </c>
      <c r="N77" s="119">
        <f t="shared" si="8"/>
        <v>-521409.40856724745</v>
      </c>
      <c r="O77" s="119">
        <f t="shared" si="8"/>
        <v>-521409.40856724745</v>
      </c>
      <c r="P77" s="119">
        <f t="shared" si="8"/>
        <v>-521409.40856724745</v>
      </c>
      <c r="Q77" s="119">
        <f t="shared" si="8"/>
        <v>-521409.40856724745</v>
      </c>
      <c r="R77" s="119">
        <f t="shared" si="8"/>
        <v>-521409.40856724745</v>
      </c>
      <c r="S77" s="119">
        <f t="shared" si="8"/>
        <v>-521409.40856724745</v>
      </c>
      <c r="T77" s="119">
        <f t="shared" si="8"/>
        <v>-521409.40856724745</v>
      </c>
      <c r="U77" s="119">
        <f t="shared" si="8"/>
        <v>-521409.40856724745</v>
      </c>
      <c r="V77" s="119">
        <f t="shared" si="8"/>
        <v>-521409.40856724745</v>
      </c>
      <c r="W77" s="119">
        <f t="shared" si="8"/>
        <v>-521409.40856724745</v>
      </c>
      <c r="X77" s="119">
        <f t="shared" si="8"/>
        <v>-521409.40856724745</v>
      </c>
      <c r="Y77" s="119">
        <f t="shared" si="8"/>
        <v>-521409.40856724745</v>
      </c>
      <c r="Z77" s="119">
        <f t="shared" si="8"/>
        <v>-521409.40856724745</v>
      </c>
      <c r="AA77" s="119">
        <f t="shared" si="8"/>
        <v>-521409.40856724745</v>
      </c>
      <c r="AB77" s="119">
        <f t="shared" si="8"/>
        <v>-521409.40856724745</v>
      </c>
      <c r="AC77" s="119">
        <f t="shared" si="8"/>
        <v>-521409.40856724745</v>
      </c>
      <c r="AD77" s="119">
        <f t="shared" si="8"/>
        <v>-521409.40856724745</v>
      </c>
      <c r="AE77" s="119">
        <f t="shared" si="8"/>
        <v>-521409.40856724745</v>
      </c>
      <c r="AF77" s="119">
        <f t="shared" si="8"/>
        <v>-521409.40856724745</v>
      </c>
      <c r="AG77" s="119">
        <f t="shared" si="8"/>
        <v>-521409.40856724745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-521409.40856724745</v>
      </c>
      <c r="K80" s="180">
        <f t="shared" si="11"/>
        <v>-521409.40856724745</v>
      </c>
      <c r="L80" s="180">
        <f t="shared" si="11"/>
        <v>-521409.40856724745</v>
      </c>
      <c r="M80" s="180">
        <f t="shared" si="11"/>
        <v>-521409.40856724745</v>
      </c>
      <c r="N80" s="180">
        <f t="shared" si="11"/>
        <v>-521409.40856724745</v>
      </c>
      <c r="O80" s="180">
        <f t="shared" si="11"/>
        <v>-521409.40856724745</v>
      </c>
      <c r="P80" s="180">
        <f t="shared" si="11"/>
        <v>-521409.40856724745</v>
      </c>
      <c r="Q80" s="180">
        <f t="shared" si="11"/>
        <v>-521409.40856724745</v>
      </c>
      <c r="R80" s="180">
        <f t="shared" si="11"/>
        <v>-521409.40856724745</v>
      </c>
      <c r="S80" s="180">
        <f t="shared" si="11"/>
        <v>-521409.40856724745</v>
      </c>
      <c r="T80" s="180">
        <f t="shared" si="11"/>
        <v>-521409.40856724745</v>
      </c>
      <c r="U80" s="180">
        <f t="shared" si="11"/>
        <v>-521409.40856724745</v>
      </c>
      <c r="V80" s="180">
        <f t="shared" si="11"/>
        <v>-521409.40856724745</v>
      </c>
      <c r="W80" s="180">
        <f t="shared" si="11"/>
        <v>-521409.40856724745</v>
      </c>
      <c r="X80" s="180">
        <f t="shared" si="11"/>
        <v>-521409.40856724745</v>
      </c>
      <c r="Y80" s="180">
        <f t="shared" si="11"/>
        <v>-521409.40856724745</v>
      </c>
      <c r="Z80" s="180">
        <f t="shared" si="11"/>
        <v>-521409.40856724745</v>
      </c>
      <c r="AA80" s="180">
        <f t="shared" si="11"/>
        <v>-521409.40856724745</v>
      </c>
      <c r="AB80" s="180">
        <f t="shared" si="11"/>
        <v>-521409.40856724745</v>
      </c>
      <c r="AC80" s="180">
        <f>SUM(AC77:AC79)</f>
        <v>-521409.40856724745</v>
      </c>
      <c r="AD80" s="180">
        <f>SUM(AD77:AD79)</f>
        <v>-521409.40856724745</v>
      </c>
      <c r="AE80" s="180">
        <f>SUM(AE77:AE79)</f>
        <v>-521409.40856724745</v>
      </c>
      <c r="AF80" s="180">
        <f>SUM(AF77:AF79)</f>
        <v>-521409.40856724745</v>
      </c>
      <c r="AG80" s="180">
        <f>SUM(AG77:AG79)</f>
        <v>-521409.40856724745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-521409.40856724745</v>
      </c>
      <c r="K82" s="119">
        <f t="shared" si="13"/>
        <v>-521409.40856724745</v>
      </c>
      <c r="L82" s="119">
        <f t="shared" si="13"/>
        <v>-521409.40856724745</v>
      </c>
      <c r="M82" s="119">
        <f t="shared" si="13"/>
        <v>-521409.40856724745</v>
      </c>
      <c r="N82" s="119">
        <f t="shared" si="13"/>
        <v>-521409.40856724745</v>
      </c>
      <c r="O82" s="119">
        <f t="shared" si="13"/>
        <v>-521409.40856724745</v>
      </c>
      <c r="P82" s="119">
        <f t="shared" si="13"/>
        <v>-521409.40856724745</v>
      </c>
      <c r="Q82" s="119">
        <f t="shared" si="13"/>
        <v>-521409.40856724745</v>
      </c>
      <c r="R82" s="119">
        <f t="shared" si="13"/>
        <v>-521409.40856724745</v>
      </c>
      <c r="S82" s="119">
        <f t="shared" si="13"/>
        <v>-521409.40856724745</v>
      </c>
      <c r="T82" s="119">
        <f t="shared" si="13"/>
        <v>-521409.40856724745</v>
      </c>
      <c r="U82" s="119">
        <f t="shared" si="13"/>
        <v>-521409.40856724745</v>
      </c>
      <c r="V82" s="119">
        <f t="shared" si="13"/>
        <v>-521409.40856724745</v>
      </c>
      <c r="W82" s="119">
        <f t="shared" si="13"/>
        <v>-521409.40856724745</v>
      </c>
      <c r="X82" s="119">
        <f t="shared" si="13"/>
        <v>-521409.40856724745</v>
      </c>
      <c r="Y82" s="119">
        <f t="shared" si="13"/>
        <v>-521409.40856724745</v>
      </c>
      <c r="Z82" s="119">
        <f t="shared" si="13"/>
        <v>-521409.40856724745</v>
      </c>
      <c r="AA82" s="119">
        <f t="shared" si="13"/>
        <v>-521409.40856724745</v>
      </c>
      <c r="AB82" s="119">
        <f t="shared" si="13"/>
        <v>-521409.40856724745</v>
      </c>
      <c r="AC82" s="119">
        <f>AC80</f>
        <v>-521409.40856724745</v>
      </c>
      <c r="AD82" s="119">
        <f>AD80</f>
        <v>-521409.40856724745</v>
      </c>
      <c r="AE82" s="119">
        <f>AE80</f>
        <v>-521409.40856724745</v>
      </c>
      <c r="AF82" s="119">
        <f>AF80</f>
        <v>-521409.40856724745</v>
      </c>
      <c r="AG82" s="119">
        <f>AG80</f>
        <v>-521409.40856724745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341760.79255635024</v>
      </c>
      <c r="K84" s="31">
        <f t="shared" si="15"/>
        <v>455681.05674180028</v>
      </c>
      <c r="L84" s="31">
        <f t="shared" si="15"/>
        <v>569601.32092725043</v>
      </c>
      <c r="M84" s="31">
        <f t="shared" si="15"/>
        <v>670376.93924514845</v>
      </c>
      <c r="N84" s="31">
        <f t="shared" si="15"/>
        <v>753626.36307297728</v>
      </c>
      <c r="O84" s="31">
        <f t="shared" si="15"/>
        <v>928888.30797366984</v>
      </c>
      <c r="P84" s="31">
        <f t="shared" si="15"/>
        <v>1156728.8363445697</v>
      </c>
      <c r="Q84" s="31">
        <f t="shared" si="15"/>
        <v>1156728.8363445697</v>
      </c>
      <c r="R84" s="31">
        <f t="shared" si="15"/>
        <v>1156728.8363445697</v>
      </c>
      <c r="S84" s="31">
        <f t="shared" si="15"/>
        <v>1156728.8363445697</v>
      </c>
      <c r="T84" s="31">
        <f t="shared" si="15"/>
        <v>1156728.8363445697</v>
      </c>
      <c r="U84" s="31">
        <f t="shared" si="15"/>
        <v>1156728.8363445697</v>
      </c>
      <c r="V84" s="31">
        <f t="shared" si="15"/>
        <v>1156728.8363445697</v>
      </c>
      <c r="W84" s="31">
        <f t="shared" si="15"/>
        <v>1156728.8363445697</v>
      </c>
      <c r="X84" s="31">
        <f t="shared" si="15"/>
        <v>1156728.8363445697</v>
      </c>
      <c r="Y84" s="31">
        <f t="shared" si="15"/>
        <v>1156728.8363445697</v>
      </c>
      <c r="Z84" s="31">
        <f t="shared" si="15"/>
        <v>1156728.8363445697</v>
      </c>
      <c r="AA84" s="31">
        <f t="shared" si="15"/>
        <v>1156728.8363445697</v>
      </c>
      <c r="AB84" s="31">
        <f t="shared" si="15"/>
        <v>1156728.8363445697</v>
      </c>
      <c r="AC84" s="31">
        <f>AC64</f>
        <v>1156728.8363445697</v>
      </c>
      <c r="AD84" s="31">
        <f>AD64</f>
        <v>1156728.8363445697</v>
      </c>
      <c r="AE84" s="31">
        <f>AE64</f>
        <v>1156728.8363445697</v>
      </c>
      <c r="AF84" s="31">
        <f>AF64</f>
        <v>1156728.8363445697</v>
      </c>
      <c r="AG84" s="31">
        <f>AG64</f>
        <v>1156728.8363445697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-179648.61601089721</v>
      </c>
      <c r="K87" s="183">
        <f t="shared" si="17"/>
        <v>-65728.351825447171</v>
      </c>
      <c r="L87" s="183">
        <f t="shared" si="17"/>
        <v>48191.912360002985</v>
      </c>
      <c r="M87" s="183">
        <f t="shared" si="17"/>
        <v>148967.530677901</v>
      </c>
      <c r="N87" s="183">
        <f t="shared" si="17"/>
        <v>232216.95450572984</v>
      </c>
      <c r="O87" s="183">
        <f t="shared" si="17"/>
        <v>407478.8994064224</v>
      </c>
      <c r="P87" s="183">
        <f t="shared" si="17"/>
        <v>635319.42777732224</v>
      </c>
      <c r="Q87" s="183">
        <f t="shared" si="17"/>
        <v>635319.42777732224</v>
      </c>
      <c r="R87" s="183">
        <f t="shared" si="17"/>
        <v>635319.42777732224</v>
      </c>
      <c r="S87" s="183">
        <f t="shared" si="17"/>
        <v>635319.42777732224</v>
      </c>
      <c r="T87" s="183">
        <f t="shared" si="17"/>
        <v>635319.42777732224</v>
      </c>
      <c r="U87" s="183">
        <f t="shared" si="17"/>
        <v>635319.42777732224</v>
      </c>
      <c r="V87" s="183">
        <f t="shared" si="17"/>
        <v>635319.42777732224</v>
      </c>
      <c r="W87" s="183">
        <f t="shared" si="17"/>
        <v>635319.42777732224</v>
      </c>
      <c r="X87" s="183">
        <f t="shared" si="17"/>
        <v>635319.42777732224</v>
      </c>
      <c r="Y87" s="183">
        <f t="shared" si="17"/>
        <v>635319.42777732224</v>
      </c>
      <c r="Z87" s="183">
        <f t="shared" si="17"/>
        <v>635319.42777732224</v>
      </c>
      <c r="AA87" s="183">
        <f t="shared" si="17"/>
        <v>635319.42777732224</v>
      </c>
      <c r="AB87" s="183">
        <f t="shared" si="17"/>
        <v>635319.42777732224</v>
      </c>
      <c r="AC87" s="183">
        <f>SUM(AC82:AC86)</f>
        <v>635319.42777732224</v>
      </c>
      <c r="AD87" s="183">
        <f>SUM(AD82:AD86)</f>
        <v>635319.42777732224</v>
      </c>
      <c r="AE87" s="183">
        <f>SUM(AE82:AE86)</f>
        <v>635319.42777732224</v>
      </c>
      <c r="AF87" s="183">
        <f>SUM(AF82:AF86)</f>
        <v>635319.42777732224</v>
      </c>
      <c r="AG87" s="183">
        <f>SUM(AG82:AG86)</f>
        <v>635319.42777732224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-179648.61601089721</v>
      </c>
      <c r="K106" s="31">
        <f t="shared" si="18"/>
        <v>-65728.351825447171</v>
      </c>
      <c r="L106" s="31">
        <f t="shared" si="18"/>
        <v>48191.912360002985</v>
      </c>
      <c r="M106" s="31">
        <f t="shared" si="18"/>
        <v>148967.530677901</v>
      </c>
      <c r="N106" s="31">
        <f t="shared" si="18"/>
        <v>232216.95450572984</v>
      </c>
      <c r="O106" s="31">
        <f t="shared" si="18"/>
        <v>407478.8994064224</v>
      </c>
      <c r="P106" s="31">
        <f t="shared" si="18"/>
        <v>635319.42777732224</v>
      </c>
      <c r="Q106" s="31">
        <f t="shared" si="18"/>
        <v>635319.42777732224</v>
      </c>
      <c r="R106" s="31">
        <f t="shared" si="18"/>
        <v>635319.42777732224</v>
      </c>
      <c r="S106" s="31">
        <f t="shared" si="18"/>
        <v>635319.42777732224</v>
      </c>
      <c r="T106" s="31">
        <f t="shared" si="18"/>
        <v>635319.42777732224</v>
      </c>
      <c r="U106" s="31">
        <f t="shared" si="18"/>
        <v>635319.42777732224</v>
      </c>
      <c r="V106" s="31">
        <f t="shared" si="18"/>
        <v>635319.42777732224</v>
      </c>
      <c r="W106" s="31">
        <f t="shared" si="18"/>
        <v>635319.42777732224</v>
      </c>
      <c r="X106" s="31">
        <f t="shared" si="18"/>
        <v>635319.42777732224</v>
      </c>
      <c r="Y106" s="31">
        <f t="shared" si="18"/>
        <v>635319.42777732224</v>
      </c>
      <c r="Z106" s="31">
        <f t="shared" si="18"/>
        <v>635319.42777732224</v>
      </c>
      <c r="AA106" s="31">
        <f t="shared" si="18"/>
        <v>635319.42777732224</v>
      </c>
      <c r="AB106" s="31">
        <f t="shared" si="18"/>
        <v>635319.42777732224</v>
      </c>
      <c r="AC106" s="31">
        <f t="shared" si="18"/>
        <v>635319.42777732224</v>
      </c>
      <c r="AD106" s="31">
        <f t="shared" si="18"/>
        <v>635319.42777732224</v>
      </c>
      <c r="AE106" s="31">
        <f t="shared" si="18"/>
        <v>635319.42777732224</v>
      </c>
      <c r="AF106" s="31">
        <f t="shared" si="18"/>
        <v>635319.42777732224</v>
      </c>
      <c r="AG106" s="31">
        <f t="shared" si="18"/>
        <v>635319.42777732224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-521409.40856724745</v>
      </c>
      <c r="K107" s="31">
        <f t="shared" si="19"/>
        <v>-521409.40856724745</v>
      </c>
      <c r="L107" s="31">
        <f t="shared" si="19"/>
        <v>-521409.40856724745</v>
      </c>
      <c r="M107" s="31">
        <f t="shared" si="19"/>
        <v>-521409.40856724745</v>
      </c>
      <c r="N107" s="31">
        <f t="shared" si="19"/>
        <v>-521409.40856724745</v>
      </c>
      <c r="O107" s="31">
        <f t="shared" si="19"/>
        <v>-521409.40856724745</v>
      </c>
      <c r="P107" s="31">
        <f t="shared" si="19"/>
        <v>-521409.40856724745</v>
      </c>
      <c r="Q107" s="31">
        <f t="shared" si="19"/>
        <v>-521409.40856724745</v>
      </c>
      <c r="R107" s="31">
        <f t="shared" si="19"/>
        <v>-521409.40856724745</v>
      </c>
      <c r="S107" s="31">
        <f t="shared" si="19"/>
        <v>-521409.40856724745</v>
      </c>
      <c r="T107" s="31">
        <f t="shared" si="19"/>
        <v>-521409.40856724745</v>
      </c>
      <c r="U107" s="31">
        <f t="shared" si="19"/>
        <v>-521409.40856724745</v>
      </c>
      <c r="V107" s="31">
        <f t="shared" si="19"/>
        <v>-521409.40856724745</v>
      </c>
      <c r="W107" s="31">
        <f t="shared" si="19"/>
        <v>-521409.40856724745</v>
      </c>
      <c r="X107" s="31">
        <f t="shared" si="19"/>
        <v>-521409.40856724745</v>
      </c>
      <c r="Y107" s="31">
        <f t="shared" si="19"/>
        <v>-521409.40856724745</v>
      </c>
      <c r="Z107" s="31">
        <f t="shared" si="19"/>
        <v>-521409.40856724745</v>
      </c>
      <c r="AA107" s="31">
        <f t="shared" si="19"/>
        <v>-521409.40856724745</v>
      </c>
      <c r="AB107" s="31">
        <f t="shared" si="19"/>
        <v>-521409.40856724745</v>
      </c>
      <c r="AC107" s="31">
        <f t="shared" si="19"/>
        <v>-521409.40856724745</v>
      </c>
      <c r="AD107" s="31">
        <f t="shared" si="19"/>
        <v>-521409.40856724745</v>
      </c>
      <c r="AE107" s="31">
        <f t="shared" si="19"/>
        <v>-521409.40856724745</v>
      </c>
      <c r="AF107" s="31">
        <f t="shared" si="19"/>
        <v>-521409.40856724745</v>
      </c>
      <c r="AG107" s="31">
        <f t="shared" si="19"/>
        <v>-521409.40856724745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341760.79255635024</v>
      </c>
      <c r="K108" s="31">
        <f t="shared" si="20"/>
        <v>455681.05674180028</v>
      </c>
      <c r="L108" s="31">
        <f t="shared" si="20"/>
        <v>569601.32092725043</v>
      </c>
      <c r="M108" s="31">
        <f t="shared" si="20"/>
        <v>670376.93924514845</v>
      </c>
      <c r="N108" s="31">
        <f t="shared" si="20"/>
        <v>753626.36307297728</v>
      </c>
      <c r="O108" s="31">
        <f t="shared" si="20"/>
        <v>928888.30797366984</v>
      </c>
      <c r="P108" s="31">
        <f t="shared" si="20"/>
        <v>1156728.8363445697</v>
      </c>
      <c r="Q108" s="31">
        <f t="shared" si="20"/>
        <v>1156728.8363445697</v>
      </c>
      <c r="R108" s="31">
        <f t="shared" si="20"/>
        <v>1156728.8363445697</v>
      </c>
      <c r="S108" s="31">
        <f t="shared" si="20"/>
        <v>1156728.8363445697</v>
      </c>
      <c r="T108" s="31">
        <f t="shared" si="20"/>
        <v>1156728.8363445697</v>
      </c>
      <c r="U108" s="31">
        <f t="shared" si="20"/>
        <v>1156728.8363445697</v>
      </c>
      <c r="V108" s="31">
        <f t="shared" si="20"/>
        <v>1156728.8363445697</v>
      </c>
      <c r="W108" s="31">
        <f t="shared" si="20"/>
        <v>1156728.8363445697</v>
      </c>
      <c r="X108" s="31">
        <f t="shared" si="20"/>
        <v>1156728.8363445697</v>
      </c>
      <c r="Y108" s="31">
        <f t="shared" si="20"/>
        <v>1156728.8363445697</v>
      </c>
      <c r="Z108" s="31">
        <f t="shared" si="20"/>
        <v>1156728.8363445697</v>
      </c>
      <c r="AA108" s="31">
        <f t="shared" si="20"/>
        <v>1156728.8363445697</v>
      </c>
      <c r="AB108" s="31">
        <f t="shared" si="20"/>
        <v>1156728.8363445697</v>
      </c>
      <c r="AC108" s="31">
        <f t="shared" si="20"/>
        <v>1156728.8363445697</v>
      </c>
      <c r="AD108" s="31">
        <f t="shared" si="20"/>
        <v>1156728.8363445697</v>
      </c>
      <c r="AE108" s="31">
        <f t="shared" si="20"/>
        <v>1156728.8363445697</v>
      </c>
      <c r="AF108" s="31">
        <f t="shared" si="20"/>
        <v>1156728.8363445697</v>
      </c>
      <c r="AG108" s="31">
        <f t="shared" si="20"/>
        <v>1156728.8363445697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-231789.55686762196</v>
      </c>
      <c r="K110" s="31" cm="1">
        <f t="array" ref="K110">K$106+IF($C110&lt;&gt;0,SUMPRODUCT((K$107:K$108)*TRANSPOSE(($D110:$E110))),0)</f>
        <v>-117869.29268217192</v>
      </c>
      <c r="L110" s="31" cm="1">
        <f t="array" ref="L110">L$106+IF($C110&lt;&gt;0,SUMPRODUCT((L$107:L$108)*TRANSPOSE(($D110:$E110))),0)</f>
        <v>-3949.0284967217594</v>
      </c>
      <c r="M110" s="31" cm="1">
        <f t="array" ref="M110">M$106+IF($C110&lt;&gt;0,SUMPRODUCT((M$107:M$108)*TRANSPOSE(($D110:$E110))),0)</f>
        <v>96826.589821176254</v>
      </c>
      <c r="N110" s="31" cm="1">
        <f t="array" ref="N110">N$106+IF($C110&lt;&gt;0,SUMPRODUCT((N$107:N$108)*TRANSPOSE(($D110:$E110))),0)</f>
        <v>180076.01364900509</v>
      </c>
      <c r="O110" s="31" cm="1">
        <f t="array" ref="O110">O$106+IF($C110&lt;&gt;0,SUMPRODUCT((O$107:O$108)*TRANSPOSE(($D110:$E110))),0)</f>
        <v>355337.95854969765</v>
      </c>
      <c r="P110" s="31" cm="1">
        <f t="array" ref="P110">P$106+IF($C110&lt;&gt;0,SUMPRODUCT((P$107:P$108)*TRANSPOSE(($D110:$E110))),0)</f>
        <v>583178.4869205975</v>
      </c>
      <c r="Q110" s="31" cm="1">
        <f t="array" ref="Q110">Q$106+IF($C110&lt;&gt;0,SUMPRODUCT((Q$107:Q$108)*TRANSPOSE(($D110:$E110))),0)</f>
        <v>583178.4869205975</v>
      </c>
      <c r="R110" s="31" cm="1">
        <f t="array" ref="R110">R$106+IF($C110&lt;&gt;0,SUMPRODUCT((R$107:R$108)*TRANSPOSE(($D110:$E110))),0)</f>
        <v>583178.4869205975</v>
      </c>
      <c r="S110" s="31" cm="1">
        <f t="array" ref="S110">S$106+IF($C110&lt;&gt;0,SUMPRODUCT((S$107:S$108)*TRANSPOSE(($D110:$E110))),0)</f>
        <v>583178.4869205975</v>
      </c>
      <c r="T110" s="31" cm="1">
        <f t="array" ref="T110">T$106+IF($C110&lt;&gt;0,SUMPRODUCT((T$107:T$108)*TRANSPOSE(($D110:$E110))),0)</f>
        <v>583178.4869205975</v>
      </c>
      <c r="U110" s="31" cm="1">
        <f t="array" ref="U110">U$106+IF($C110&lt;&gt;0,SUMPRODUCT((U$107:U$108)*TRANSPOSE(($D110:$E110))),0)</f>
        <v>583178.4869205975</v>
      </c>
      <c r="V110" s="31" cm="1">
        <f t="array" ref="V110">V$106+IF($C110&lt;&gt;0,SUMPRODUCT((V$107:V$108)*TRANSPOSE(($D110:$E110))),0)</f>
        <v>583178.4869205975</v>
      </c>
      <c r="W110" s="31" cm="1">
        <f t="array" ref="W110">W$106+IF($C110&lt;&gt;0,SUMPRODUCT((W$107:W$108)*TRANSPOSE(($D110:$E110))),0)</f>
        <v>583178.4869205975</v>
      </c>
      <c r="X110" s="31" cm="1">
        <f t="array" ref="X110">X$106+IF($C110&lt;&gt;0,SUMPRODUCT((X$107:X$108)*TRANSPOSE(($D110:$E110))),0)</f>
        <v>583178.4869205975</v>
      </c>
      <c r="Y110" s="31" cm="1">
        <f t="array" ref="Y110">Y$106+IF($C110&lt;&gt;0,SUMPRODUCT((Y$107:Y$108)*TRANSPOSE(($D110:$E110))),0)</f>
        <v>583178.4869205975</v>
      </c>
      <c r="Z110" s="31" cm="1">
        <f t="array" ref="Z110">Z$106+IF($C110&lt;&gt;0,SUMPRODUCT((Z$107:Z$108)*TRANSPOSE(($D110:$E110))),0)</f>
        <v>583178.4869205975</v>
      </c>
      <c r="AA110" s="31" cm="1">
        <f t="array" ref="AA110">AA$106+IF($C110&lt;&gt;0,SUMPRODUCT((AA$107:AA$108)*TRANSPOSE(($D110:$E110))),0)</f>
        <v>583178.4869205975</v>
      </c>
      <c r="AB110" s="31" cm="1">
        <f t="array" ref="AB110">AB$106+IF($C110&lt;&gt;0,SUMPRODUCT((AB$107:AB$108)*TRANSPOSE(($D110:$E110))),0)</f>
        <v>583178.4869205975</v>
      </c>
      <c r="AC110" s="31" cm="1">
        <f t="array" ref="AC110">AC$106+IF($C110&lt;&gt;0,SUMPRODUCT((AC$107:AC$108)*TRANSPOSE(($D110:$E110))),0)</f>
        <v>583178.4869205975</v>
      </c>
      <c r="AD110" s="31" cm="1">
        <f t="array" ref="AD110">AD$106+IF($C110&lt;&gt;0,SUMPRODUCT((AD$107:AD$108)*TRANSPOSE(($D110:$E110))),0)</f>
        <v>583178.4869205975</v>
      </c>
      <c r="AE110" s="31" cm="1">
        <f t="array" ref="AE110">AE$106+IF($C110&lt;&gt;0,SUMPRODUCT((AE$107:AE$108)*TRANSPOSE(($D110:$E110))),0)</f>
        <v>583178.4869205975</v>
      </c>
      <c r="AF110" s="31" cm="1">
        <f t="array" ref="AF110">AF$106+IF($C110&lt;&gt;0,SUMPRODUCT((AF$107:AF$108)*TRANSPOSE(($D110:$E110))),0)</f>
        <v>583178.4869205975</v>
      </c>
      <c r="AG110" s="31" cm="1">
        <f t="array" ref="AG110">AG$106+IF($C110&lt;&gt;0,SUMPRODUCT((AG$107:AG$108)*TRANSPOSE(($D110:$E110))),0)</f>
        <v>583178.4869205975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-127507.67515417247</v>
      </c>
      <c r="K111" s="31" cm="1">
        <f t="array" ref="K111">K$106+IF($C111&lt;&gt;0,SUMPRODUCT((K$107:K$108)*TRANSPOSE(($D111:$E111))),0)</f>
        <v>-13587.410968722426</v>
      </c>
      <c r="L111" s="31" cm="1">
        <f t="array" ref="L111">L$106+IF($C111&lt;&gt;0,SUMPRODUCT((L$107:L$108)*TRANSPOSE(($D111:$E111))),0)</f>
        <v>100332.85321672773</v>
      </c>
      <c r="M111" s="31" cm="1">
        <f t="array" ref="M111">M$106+IF($C111&lt;&gt;0,SUMPRODUCT((M$107:M$108)*TRANSPOSE(($D111:$E111))),0)</f>
        <v>201108.47153462574</v>
      </c>
      <c r="N111" s="31" cm="1">
        <f t="array" ref="N111">N$106+IF($C111&lt;&gt;0,SUMPRODUCT((N$107:N$108)*TRANSPOSE(($D111:$E111))),0)</f>
        <v>284357.89536245458</v>
      </c>
      <c r="O111" s="31" cm="1">
        <f t="array" ref="O111">O$106+IF($C111&lt;&gt;0,SUMPRODUCT((O$107:O$108)*TRANSPOSE(($D111:$E111))),0)</f>
        <v>459619.84026314714</v>
      </c>
      <c r="P111" s="31" cm="1">
        <f t="array" ref="P111">P$106+IF($C111&lt;&gt;0,SUMPRODUCT((P$107:P$108)*TRANSPOSE(($D111:$E111))),0)</f>
        <v>687460.36863404699</v>
      </c>
      <c r="Q111" s="31" cm="1">
        <f t="array" ref="Q111">Q$106+IF($C111&lt;&gt;0,SUMPRODUCT((Q$107:Q$108)*TRANSPOSE(($D111:$E111))),0)</f>
        <v>687460.36863404699</v>
      </c>
      <c r="R111" s="31" cm="1">
        <f t="array" ref="R111">R$106+IF($C111&lt;&gt;0,SUMPRODUCT((R$107:R$108)*TRANSPOSE(($D111:$E111))),0)</f>
        <v>687460.36863404699</v>
      </c>
      <c r="S111" s="31" cm="1">
        <f t="array" ref="S111">S$106+IF($C111&lt;&gt;0,SUMPRODUCT((S$107:S$108)*TRANSPOSE(($D111:$E111))),0)</f>
        <v>687460.36863404699</v>
      </c>
      <c r="T111" s="31" cm="1">
        <f t="array" ref="T111">T$106+IF($C111&lt;&gt;0,SUMPRODUCT((T$107:T$108)*TRANSPOSE(($D111:$E111))),0)</f>
        <v>687460.36863404699</v>
      </c>
      <c r="U111" s="31" cm="1">
        <f t="array" ref="U111">U$106+IF($C111&lt;&gt;0,SUMPRODUCT((U$107:U$108)*TRANSPOSE(($D111:$E111))),0)</f>
        <v>687460.36863404699</v>
      </c>
      <c r="V111" s="31" cm="1">
        <f t="array" ref="V111">V$106+IF($C111&lt;&gt;0,SUMPRODUCT((V$107:V$108)*TRANSPOSE(($D111:$E111))),0)</f>
        <v>687460.36863404699</v>
      </c>
      <c r="W111" s="31" cm="1">
        <f t="array" ref="W111">W$106+IF($C111&lt;&gt;0,SUMPRODUCT((W$107:W$108)*TRANSPOSE(($D111:$E111))),0)</f>
        <v>687460.36863404699</v>
      </c>
      <c r="X111" s="31" cm="1">
        <f t="array" ref="X111">X$106+IF($C111&lt;&gt;0,SUMPRODUCT((X$107:X$108)*TRANSPOSE(($D111:$E111))),0)</f>
        <v>687460.36863404699</v>
      </c>
      <c r="Y111" s="31" cm="1">
        <f t="array" ref="Y111">Y$106+IF($C111&lt;&gt;0,SUMPRODUCT((Y$107:Y$108)*TRANSPOSE(($D111:$E111))),0)</f>
        <v>687460.36863404699</v>
      </c>
      <c r="Z111" s="31" cm="1">
        <f t="array" ref="Z111">Z$106+IF($C111&lt;&gt;0,SUMPRODUCT((Z$107:Z$108)*TRANSPOSE(($D111:$E111))),0)</f>
        <v>687460.36863404699</v>
      </c>
      <c r="AA111" s="31" cm="1">
        <f t="array" ref="AA111">AA$106+IF($C111&lt;&gt;0,SUMPRODUCT((AA$107:AA$108)*TRANSPOSE(($D111:$E111))),0)</f>
        <v>687460.36863404699</v>
      </c>
      <c r="AB111" s="31" cm="1">
        <f t="array" ref="AB111">AB$106+IF($C111&lt;&gt;0,SUMPRODUCT((AB$107:AB$108)*TRANSPOSE(($D111:$E111))),0)</f>
        <v>687460.36863404699</v>
      </c>
      <c r="AC111" s="31" cm="1">
        <f t="array" ref="AC111">AC$106+IF($C111&lt;&gt;0,SUMPRODUCT((AC$107:AC$108)*TRANSPOSE(($D111:$E111))),0)</f>
        <v>687460.36863404699</v>
      </c>
      <c r="AD111" s="31" cm="1">
        <f t="array" ref="AD111">AD$106+IF($C111&lt;&gt;0,SUMPRODUCT((AD$107:AD$108)*TRANSPOSE(($D111:$E111))),0)</f>
        <v>687460.36863404699</v>
      </c>
      <c r="AE111" s="31" cm="1">
        <f t="array" ref="AE111">AE$106+IF($C111&lt;&gt;0,SUMPRODUCT((AE$107:AE$108)*TRANSPOSE(($D111:$E111))),0)</f>
        <v>687460.36863404699</v>
      </c>
      <c r="AF111" s="31" cm="1">
        <f t="array" ref="AF111">AF$106+IF($C111&lt;&gt;0,SUMPRODUCT((AF$107:AF$108)*TRANSPOSE(($D111:$E111))),0)</f>
        <v>687460.36863404699</v>
      </c>
      <c r="AG111" s="31" cm="1">
        <f t="array" ref="AG111">AG$106+IF($C111&lt;&gt;0,SUMPRODUCT((AG$107:AG$108)*TRANSPOSE(($D111:$E111))),0)</f>
        <v>687460.36863404699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-145472.53675526218</v>
      </c>
      <c r="K112" s="31" cm="1">
        <f t="array" ref="K112">K$106+IF($C112&lt;&gt;0,SUMPRODUCT((K$107:K$108)*TRANSPOSE(($D112:$E112))),0)</f>
        <v>-20160.246151267143</v>
      </c>
      <c r="L112" s="31" cm="1">
        <f t="array" ref="L112">L$106+IF($C112&lt;&gt;0,SUMPRODUCT((L$107:L$108)*TRANSPOSE(($D112:$E112))),0)</f>
        <v>105152.04445272803</v>
      </c>
      <c r="M112" s="31" cm="1">
        <f t="array" ref="M112">M$106+IF($C112&lt;&gt;0,SUMPRODUCT((M$107:M$108)*TRANSPOSE(($D112:$E112))),0)</f>
        <v>216005.22460241587</v>
      </c>
      <c r="N112" s="31" cm="1">
        <f t="array" ref="N112">N$106+IF($C112&lt;&gt;0,SUMPRODUCT((N$107:N$108)*TRANSPOSE(($D112:$E112))),0)</f>
        <v>307579.59081302758</v>
      </c>
      <c r="O112" s="31" cm="1">
        <f t="array" ref="O112">O$106+IF($C112&lt;&gt;0,SUMPRODUCT((O$107:O$108)*TRANSPOSE(($D112:$E112))),0)</f>
        <v>500367.73020378937</v>
      </c>
      <c r="P112" s="31" cm="1">
        <f t="array" ref="P112">P$106+IF($C112&lt;&gt;0,SUMPRODUCT((P$107:P$108)*TRANSPOSE(($D112:$E112))),0)</f>
        <v>750992.31141177926</v>
      </c>
      <c r="Q112" s="31" cm="1">
        <f t="array" ref="Q112">Q$106+IF($C112&lt;&gt;0,SUMPRODUCT((Q$107:Q$108)*TRANSPOSE(($D112:$E112))),0)</f>
        <v>750992.31141177926</v>
      </c>
      <c r="R112" s="31" cm="1">
        <f t="array" ref="R112">R$106+IF($C112&lt;&gt;0,SUMPRODUCT((R$107:R$108)*TRANSPOSE(($D112:$E112))),0)</f>
        <v>750992.31141177926</v>
      </c>
      <c r="S112" s="31" cm="1">
        <f t="array" ref="S112">S$106+IF($C112&lt;&gt;0,SUMPRODUCT((S$107:S$108)*TRANSPOSE(($D112:$E112))),0)</f>
        <v>750992.31141177926</v>
      </c>
      <c r="T112" s="31" cm="1">
        <f t="array" ref="T112">T$106+IF($C112&lt;&gt;0,SUMPRODUCT((T$107:T$108)*TRANSPOSE(($D112:$E112))),0)</f>
        <v>750992.31141177926</v>
      </c>
      <c r="U112" s="31" cm="1">
        <f t="array" ref="U112">U$106+IF($C112&lt;&gt;0,SUMPRODUCT((U$107:U$108)*TRANSPOSE(($D112:$E112))),0)</f>
        <v>750992.31141177926</v>
      </c>
      <c r="V112" s="31" cm="1">
        <f t="array" ref="V112">V$106+IF($C112&lt;&gt;0,SUMPRODUCT((V$107:V$108)*TRANSPOSE(($D112:$E112))),0)</f>
        <v>750992.31141177926</v>
      </c>
      <c r="W112" s="31" cm="1">
        <f t="array" ref="W112">W$106+IF($C112&lt;&gt;0,SUMPRODUCT((W$107:W$108)*TRANSPOSE(($D112:$E112))),0)</f>
        <v>750992.31141177926</v>
      </c>
      <c r="X112" s="31" cm="1">
        <f t="array" ref="X112">X$106+IF($C112&lt;&gt;0,SUMPRODUCT((X$107:X$108)*TRANSPOSE(($D112:$E112))),0)</f>
        <v>750992.31141177926</v>
      </c>
      <c r="Y112" s="31" cm="1">
        <f t="array" ref="Y112">Y$106+IF($C112&lt;&gt;0,SUMPRODUCT((Y$107:Y$108)*TRANSPOSE(($D112:$E112))),0)</f>
        <v>750992.31141177926</v>
      </c>
      <c r="Z112" s="31" cm="1">
        <f t="array" ref="Z112">Z$106+IF($C112&lt;&gt;0,SUMPRODUCT((Z$107:Z$108)*TRANSPOSE(($D112:$E112))),0)</f>
        <v>750992.31141177926</v>
      </c>
      <c r="AA112" s="31" cm="1">
        <f t="array" ref="AA112">AA$106+IF($C112&lt;&gt;0,SUMPRODUCT((AA$107:AA$108)*TRANSPOSE(($D112:$E112))),0)</f>
        <v>750992.31141177926</v>
      </c>
      <c r="AB112" s="31" cm="1">
        <f t="array" ref="AB112">AB$106+IF($C112&lt;&gt;0,SUMPRODUCT((AB$107:AB$108)*TRANSPOSE(($D112:$E112))),0)</f>
        <v>750992.31141177926</v>
      </c>
      <c r="AC112" s="31" cm="1">
        <f t="array" ref="AC112">AC$106+IF($C112&lt;&gt;0,SUMPRODUCT((AC$107:AC$108)*TRANSPOSE(($D112:$E112))),0)</f>
        <v>750992.31141177926</v>
      </c>
      <c r="AD112" s="31" cm="1">
        <f t="array" ref="AD112">AD$106+IF($C112&lt;&gt;0,SUMPRODUCT((AD$107:AD$108)*TRANSPOSE(($D112:$E112))),0)</f>
        <v>750992.31141177926</v>
      </c>
      <c r="AE112" s="31" cm="1">
        <f t="array" ref="AE112">AE$106+IF($C112&lt;&gt;0,SUMPRODUCT((AE$107:AE$108)*TRANSPOSE(($D112:$E112))),0)</f>
        <v>750992.31141177926</v>
      </c>
      <c r="AF112" s="31" cm="1">
        <f t="array" ref="AF112">AF$106+IF($C112&lt;&gt;0,SUMPRODUCT((AF$107:AF$108)*TRANSPOSE(($D112:$E112))),0)</f>
        <v>750992.31141177926</v>
      </c>
      <c r="AG112" s="31" cm="1">
        <f t="array" ref="AG112">AG$106+IF($C112&lt;&gt;0,SUMPRODUCT((AG$107:AG$108)*TRANSPOSE(($D112:$E112))),0)</f>
        <v>750992.31141177926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-213824.69526653225</v>
      </c>
      <c r="K113" s="31" cm="1">
        <f t="array" ref="K113">K$106+IF($C113&lt;&gt;0,SUMPRODUCT((K$107:K$108)*TRANSPOSE(($D113:$E113))),0)</f>
        <v>-111296.4574996272</v>
      </c>
      <c r="L113" s="31" cm="1">
        <f t="array" ref="L113">L$106+IF($C113&lt;&gt;0,SUMPRODUCT((L$107:L$108)*TRANSPOSE(($D113:$E113))),0)</f>
        <v>-8768.2197327220638</v>
      </c>
      <c r="M113" s="31" cm="1">
        <f t="array" ref="M113">M$106+IF($C113&lt;&gt;0,SUMPRODUCT((M$107:M$108)*TRANSPOSE(($D113:$E113))),0)</f>
        <v>81929.836753386146</v>
      </c>
      <c r="N113" s="31" cm="1">
        <f t="array" ref="N113">N$106+IF($C113&lt;&gt;0,SUMPRODUCT((N$107:N$108)*TRANSPOSE(($D113:$E113))),0)</f>
        <v>156854.3181984321</v>
      </c>
      <c r="O113" s="31" cm="1">
        <f t="array" ref="O113">O$106+IF($C113&lt;&gt;0,SUMPRODUCT((O$107:O$108)*TRANSPOSE(($D113:$E113))),0)</f>
        <v>314590.06860905542</v>
      </c>
      <c r="P113" s="31" cm="1">
        <f t="array" ref="P113">P$106+IF($C113&lt;&gt;0,SUMPRODUCT((P$107:P$108)*TRANSPOSE(($D113:$E113))),0)</f>
        <v>519646.54414286528</v>
      </c>
      <c r="Q113" s="31" cm="1">
        <f t="array" ref="Q113">Q$106+IF($C113&lt;&gt;0,SUMPRODUCT((Q$107:Q$108)*TRANSPOSE(($D113:$E113))),0)</f>
        <v>519646.54414286528</v>
      </c>
      <c r="R113" s="31" cm="1">
        <f t="array" ref="R113">R$106+IF($C113&lt;&gt;0,SUMPRODUCT((R$107:R$108)*TRANSPOSE(($D113:$E113))),0)</f>
        <v>519646.54414286528</v>
      </c>
      <c r="S113" s="31" cm="1">
        <f t="array" ref="S113">S$106+IF($C113&lt;&gt;0,SUMPRODUCT((S$107:S$108)*TRANSPOSE(($D113:$E113))),0)</f>
        <v>519646.54414286528</v>
      </c>
      <c r="T113" s="31" cm="1">
        <f t="array" ref="T113">T$106+IF($C113&lt;&gt;0,SUMPRODUCT((T$107:T$108)*TRANSPOSE(($D113:$E113))),0)</f>
        <v>519646.54414286528</v>
      </c>
      <c r="U113" s="31" cm="1">
        <f t="array" ref="U113">U$106+IF($C113&lt;&gt;0,SUMPRODUCT((U$107:U$108)*TRANSPOSE(($D113:$E113))),0)</f>
        <v>519646.54414286528</v>
      </c>
      <c r="V113" s="31" cm="1">
        <f t="array" ref="V113">V$106+IF($C113&lt;&gt;0,SUMPRODUCT((V$107:V$108)*TRANSPOSE(($D113:$E113))),0)</f>
        <v>519646.54414286528</v>
      </c>
      <c r="W113" s="31" cm="1">
        <f t="array" ref="W113">W$106+IF($C113&lt;&gt;0,SUMPRODUCT((W$107:W$108)*TRANSPOSE(($D113:$E113))),0)</f>
        <v>519646.54414286528</v>
      </c>
      <c r="X113" s="31" cm="1">
        <f t="array" ref="X113">X$106+IF($C113&lt;&gt;0,SUMPRODUCT((X$107:X$108)*TRANSPOSE(($D113:$E113))),0)</f>
        <v>519646.54414286528</v>
      </c>
      <c r="Y113" s="31" cm="1">
        <f t="array" ref="Y113">Y$106+IF($C113&lt;&gt;0,SUMPRODUCT((Y$107:Y$108)*TRANSPOSE(($D113:$E113))),0)</f>
        <v>519646.54414286528</v>
      </c>
      <c r="Z113" s="31" cm="1">
        <f t="array" ref="Z113">Z$106+IF($C113&lt;&gt;0,SUMPRODUCT((Z$107:Z$108)*TRANSPOSE(($D113:$E113))),0)</f>
        <v>519646.54414286528</v>
      </c>
      <c r="AA113" s="31" cm="1">
        <f t="array" ref="AA113">AA$106+IF($C113&lt;&gt;0,SUMPRODUCT((AA$107:AA$108)*TRANSPOSE(($D113:$E113))),0)</f>
        <v>519646.54414286528</v>
      </c>
      <c r="AB113" s="31" cm="1">
        <f t="array" ref="AB113">AB$106+IF($C113&lt;&gt;0,SUMPRODUCT((AB$107:AB$108)*TRANSPOSE(($D113:$E113))),0)</f>
        <v>519646.54414286528</v>
      </c>
      <c r="AC113" s="31" cm="1">
        <f t="array" ref="AC113">AC$106+IF($C113&lt;&gt;0,SUMPRODUCT((AC$107:AC$108)*TRANSPOSE(($D113:$E113))),0)</f>
        <v>519646.54414286528</v>
      </c>
      <c r="AD113" s="31" cm="1">
        <f t="array" ref="AD113">AD$106+IF($C113&lt;&gt;0,SUMPRODUCT((AD$107:AD$108)*TRANSPOSE(($D113:$E113))),0)</f>
        <v>519646.54414286528</v>
      </c>
      <c r="AE113" s="31" cm="1">
        <f t="array" ref="AE113">AE$106+IF($C113&lt;&gt;0,SUMPRODUCT((AE$107:AE$108)*TRANSPOSE(($D113:$E113))),0)</f>
        <v>519646.54414286528</v>
      </c>
      <c r="AF113" s="31" cm="1">
        <f t="array" ref="AF113">AF$106+IF($C113&lt;&gt;0,SUMPRODUCT((AF$107:AF$108)*TRANSPOSE(($D113:$E113))),0)</f>
        <v>519646.54414286528</v>
      </c>
      <c r="AG113" s="31" cm="1">
        <f t="array" ref="AG113">AG$106+IF($C113&lt;&gt;0,SUMPRODUCT((AG$107:AG$108)*TRANSPOSE(($D113:$E113))),0)</f>
        <v>519646.54414286528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-265965.63612325699</v>
      </c>
      <c r="K114" s="31" cm="1">
        <f t="array" ref="K114">K$106+IF($C114&lt;&gt;0,SUMPRODUCT((K$107:K$108)*TRANSPOSE(($D114:$E114))),0)</f>
        <v>-163437.39835635194</v>
      </c>
      <c r="L114" s="31" cm="1">
        <f t="array" ref="L114">L$106+IF($C114&lt;&gt;0,SUMPRODUCT((L$107:L$108)*TRANSPOSE(($D114:$E114))),0)</f>
        <v>-60909.160589446808</v>
      </c>
      <c r="M114" s="31" cm="1">
        <f t="array" ref="M114">M$106+IF($C114&lt;&gt;0,SUMPRODUCT((M$107:M$108)*TRANSPOSE(($D114:$E114))),0)</f>
        <v>29788.895896661401</v>
      </c>
      <c r="N114" s="31" cm="1">
        <f t="array" ref="N114">N$106+IF($C114&lt;&gt;0,SUMPRODUCT((N$107:N$108)*TRANSPOSE(($D114:$E114))),0)</f>
        <v>104713.37734170737</v>
      </c>
      <c r="O114" s="31" cm="1">
        <f t="array" ref="O114">O$106+IF($C114&lt;&gt;0,SUMPRODUCT((O$107:O$108)*TRANSPOSE(($D114:$E114))),0)</f>
        <v>262449.12775233068</v>
      </c>
      <c r="P114" s="31" cm="1">
        <f t="array" ref="P114">P$106+IF($C114&lt;&gt;0,SUMPRODUCT((P$107:P$108)*TRANSPOSE(($D114:$E114))),0)</f>
        <v>467505.60328614054</v>
      </c>
      <c r="Q114" s="31" cm="1">
        <f t="array" ref="Q114">Q$106+IF($C114&lt;&gt;0,SUMPRODUCT((Q$107:Q$108)*TRANSPOSE(($D114:$E114))),0)</f>
        <v>467505.60328614054</v>
      </c>
      <c r="R114" s="31" cm="1">
        <f t="array" ref="R114">R$106+IF($C114&lt;&gt;0,SUMPRODUCT((R$107:R$108)*TRANSPOSE(($D114:$E114))),0)</f>
        <v>467505.60328614054</v>
      </c>
      <c r="S114" s="31" cm="1">
        <f t="array" ref="S114">S$106+IF($C114&lt;&gt;0,SUMPRODUCT((S$107:S$108)*TRANSPOSE(($D114:$E114))),0)</f>
        <v>467505.60328614054</v>
      </c>
      <c r="T114" s="31" cm="1">
        <f t="array" ref="T114">T$106+IF($C114&lt;&gt;0,SUMPRODUCT((T$107:T$108)*TRANSPOSE(($D114:$E114))),0)</f>
        <v>467505.60328614054</v>
      </c>
      <c r="U114" s="31" cm="1">
        <f t="array" ref="U114">U$106+IF($C114&lt;&gt;0,SUMPRODUCT((U$107:U$108)*TRANSPOSE(($D114:$E114))),0)</f>
        <v>467505.60328614054</v>
      </c>
      <c r="V114" s="31" cm="1">
        <f t="array" ref="V114">V$106+IF($C114&lt;&gt;0,SUMPRODUCT((V$107:V$108)*TRANSPOSE(($D114:$E114))),0)</f>
        <v>467505.60328614054</v>
      </c>
      <c r="W114" s="31" cm="1">
        <f t="array" ref="W114">W$106+IF($C114&lt;&gt;0,SUMPRODUCT((W$107:W$108)*TRANSPOSE(($D114:$E114))),0)</f>
        <v>467505.60328614054</v>
      </c>
      <c r="X114" s="31" cm="1">
        <f t="array" ref="X114">X$106+IF($C114&lt;&gt;0,SUMPRODUCT((X$107:X$108)*TRANSPOSE(($D114:$E114))),0)</f>
        <v>467505.60328614054</v>
      </c>
      <c r="Y114" s="31" cm="1">
        <f t="array" ref="Y114">Y$106+IF($C114&lt;&gt;0,SUMPRODUCT((Y$107:Y$108)*TRANSPOSE(($D114:$E114))),0)</f>
        <v>467505.60328614054</v>
      </c>
      <c r="Z114" s="31" cm="1">
        <f t="array" ref="Z114">Z$106+IF($C114&lt;&gt;0,SUMPRODUCT((Z$107:Z$108)*TRANSPOSE(($D114:$E114))),0)</f>
        <v>467505.60328614054</v>
      </c>
      <c r="AA114" s="31" cm="1">
        <f t="array" ref="AA114">AA$106+IF($C114&lt;&gt;0,SUMPRODUCT((AA$107:AA$108)*TRANSPOSE(($D114:$E114))),0)</f>
        <v>467505.60328614054</v>
      </c>
      <c r="AB114" s="31" cm="1">
        <f t="array" ref="AB114">AB$106+IF($C114&lt;&gt;0,SUMPRODUCT((AB$107:AB$108)*TRANSPOSE(($D114:$E114))),0)</f>
        <v>467505.60328614054</v>
      </c>
      <c r="AC114" s="31" cm="1">
        <f t="array" ref="AC114">AC$106+IF($C114&lt;&gt;0,SUMPRODUCT((AC$107:AC$108)*TRANSPOSE(($D114:$E114))),0)</f>
        <v>467505.60328614054</v>
      </c>
      <c r="AD114" s="31" cm="1">
        <f t="array" ref="AD114">AD$106+IF($C114&lt;&gt;0,SUMPRODUCT((AD$107:AD$108)*TRANSPOSE(($D114:$E114))),0)</f>
        <v>467505.60328614054</v>
      </c>
      <c r="AE114" s="31" cm="1">
        <f t="array" ref="AE114">AE$106+IF($C114&lt;&gt;0,SUMPRODUCT((AE$107:AE$108)*TRANSPOSE(($D114:$E114))),0)</f>
        <v>467505.60328614054</v>
      </c>
      <c r="AF114" s="31" cm="1">
        <f t="array" ref="AF114">AF$106+IF($C114&lt;&gt;0,SUMPRODUCT((AF$107:AF$108)*TRANSPOSE(($D114:$E114))),0)</f>
        <v>467505.60328614054</v>
      </c>
      <c r="AG114" s="31" cm="1">
        <f t="array" ref="AG114">AG$106+IF($C114&lt;&gt;0,SUMPRODUCT((AG$107:AG$108)*TRANSPOSE(($D114:$E114))),0)</f>
        <v>467505.60328614054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-179648.61601089721</v>
      </c>
      <c r="K115" s="31" cm="1">
        <f t="array" ref="K115">K$106+IF($C115&lt;&gt;0,SUMPRODUCT((K$107:K$108)*TRANSPOSE(($D115:$E115))),0)</f>
        <v>-65728.351825447171</v>
      </c>
      <c r="L115" s="31" cm="1">
        <f t="array" ref="L115">L$106+IF($C115&lt;&gt;0,SUMPRODUCT((L$107:L$108)*TRANSPOSE(($D115:$E115))),0)</f>
        <v>48191.912360002985</v>
      </c>
      <c r="M115" s="31" cm="1">
        <f t="array" ref="M115">M$106+IF($C115&lt;&gt;0,SUMPRODUCT((M$107:M$108)*TRANSPOSE(($D115:$E115))),0)</f>
        <v>148967.530677901</v>
      </c>
      <c r="N115" s="31" cm="1">
        <f t="array" ref="N115">N$106+IF($C115&lt;&gt;0,SUMPRODUCT((N$107:N$108)*TRANSPOSE(($D115:$E115))),0)</f>
        <v>232216.95450572984</v>
      </c>
      <c r="O115" s="31" cm="1">
        <f t="array" ref="O115">O$106+IF($C115&lt;&gt;0,SUMPRODUCT((O$107:O$108)*TRANSPOSE(($D115:$E115))),0)</f>
        <v>407478.8994064224</v>
      </c>
      <c r="P115" s="31" cm="1">
        <f t="array" ref="P115">P$106+IF($C115&lt;&gt;0,SUMPRODUCT((P$107:P$108)*TRANSPOSE(($D115:$E115))),0)</f>
        <v>635319.42777732224</v>
      </c>
      <c r="Q115" s="31" cm="1">
        <f t="array" ref="Q115">Q$106+IF($C115&lt;&gt;0,SUMPRODUCT((Q$107:Q$108)*TRANSPOSE(($D115:$E115))),0)</f>
        <v>635319.42777732224</v>
      </c>
      <c r="R115" s="31" cm="1">
        <f t="array" ref="R115">R$106+IF($C115&lt;&gt;0,SUMPRODUCT((R$107:R$108)*TRANSPOSE(($D115:$E115))),0)</f>
        <v>635319.42777732224</v>
      </c>
      <c r="S115" s="31" cm="1">
        <f t="array" ref="S115">S$106+IF($C115&lt;&gt;0,SUMPRODUCT((S$107:S$108)*TRANSPOSE(($D115:$E115))),0)</f>
        <v>635319.42777732224</v>
      </c>
      <c r="T115" s="31" cm="1">
        <f t="array" ref="T115">T$106+IF($C115&lt;&gt;0,SUMPRODUCT((T$107:T$108)*TRANSPOSE(($D115:$E115))),0)</f>
        <v>635319.42777732224</v>
      </c>
      <c r="U115" s="31" cm="1">
        <f t="array" ref="U115">U$106+IF($C115&lt;&gt;0,SUMPRODUCT((U$107:U$108)*TRANSPOSE(($D115:$E115))),0)</f>
        <v>635319.42777732224</v>
      </c>
      <c r="V115" s="31" cm="1">
        <f t="array" ref="V115">V$106+IF($C115&lt;&gt;0,SUMPRODUCT((V$107:V$108)*TRANSPOSE(($D115:$E115))),0)</f>
        <v>635319.42777732224</v>
      </c>
      <c r="W115" s="31" cm="1">
        <f t="array" ref="W115">W$106+IF($C115&lt;&gt;0,SUMPRODUCT((W$107:W$108)*TRANSPOSE(($D115:$E115))),0)</f>
        <v>635319.42777732224</v>
      </c>
      <c r="X115" s="31" cm="1">
        <f t="array" ref="X115">X$106+IF($C115&lt;&gt;0,SUMPRODUCT((X$107:X$108)*TRANSPOSE(($D115:$E115))),0)</f>
        <v>635319.42777732224</v>
      </c>
      <c r="Y115" s="31" cm="1">
        <f t="array" ref="Y115">Y$106+IF($C115&lt;&gt;0,SUMPRODUCT((Y$107:Y$108)*TRANSPOSE(($D115:$E115))),0)</f>
        <v>635319.42777732224</v>
      </c>
      <c r="Z115" s="31" cm="1">
        <f t="array" ref="Z115">Z$106+IF($C115&lt;&gt;0,SUMPRODUCT((Z$107:Z$108)*TRANSPOSE(($D115:$E115))),0)</f>
        <v>635319.42777732224</v>
      </c>
      <c r="AA115" s="31" cm="1">
        <f t="array" ref="AA115">AA$106+IF($C115&lt;&gt;0,SUMPRODUCT((AA$107:AA$108)*TRANSPOSE(($D115:$E115))),0)</f>
        <v>635319.42777732224</v>
      </c>
      <c r="AB115" s="31" cm="1">
        <f t="array" ref="AB115">AB$106+IF($C115&lt;&gt;0,SUMPRODUCT((AB$107:AB$108)*TRANSPOSE(($D115:$E115))),0)</f>
        <v>635319.42777732224</v>
      </c>
      <c r="AC115" s="31" cm="1">
        <f t="array" ref="AC115">AC$106+IF($C115&lt;&gt;0,SUMPRODUCT((AC$107:AC$108)*TRANSPOSE(($D115:$E115))),0)</f>
        <v>635319.42777732224</v>
      </c>
      <c r="AD115" s="31" cm="1">
        <f t="array" ref="AD115">AD$106+IF($C115&lt;&gt;0,SUMPRODUCT((AD$107:AD$108)*TRANSPOSE(($D115:$E115))),0)</f>
        <v>635319.42777732224</v>
      </c>
      <c r="AE115" s="31" cm="1">
        <f t="array" ref="AE115">AE$106+IF($C115&lt;&gt;0,SUMPRODUCT((AE$107:AE$108)*TRANSPOSE(($D115:$E115))),0)</f>
        <v>635319.42777732224</v>
      </c>
      <c r="AF115" s="31" cm="1">
        <f t="array" ref="AF115">AF$106+IF($C115&lt;&gt;0,SUMPRODUCT((AF$107:AF$108)*TRANSPOSE(($D115:$E115))),0)</f>
        <v>635319.42777732224</v>
      </c>
      <c r="AG115" s="31" cm="1">
        <f t="array" ref="AG115">AG$106+IF($C115&lt;&gt;0,SUMPRODUCT((AG$107:AG$108)*TRANSPOSE(($D115:$E115))),0)</f>
        <v>635319.42777732224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-179648.61601089721</v>
      </c>
      <c r="K116" s="31" cm="1">
        <f t="array" ref="K116">K$106+IF($C116&lt;&gt;0,SUMPRODUCT((K$107:K$108)*TRANSPOSE(($D116:$E116))),0)</f>
        <v>-65728.351825447171</v>
      </c>
      <c r="L116" s="31" cm="1">
        <f t="array" ref="L116">L$106+IF($C116&lt;&gt;0,SUMPRODUCT((L$107:L$108)*TRANSPOSE(($D116:$E116))),0)</f>
        <v>48191.912360002985</v>
      </c>
      <c r="M116" s="31" cm="1">
        <f t="array" ref="M116">M$106+IF($C116&lt;&gt;0,SUMPRODUCT((M$107:M$108)*TRANSPOSE(($D116:$E116))),0)</f>
        <v>148967.530677901</v>
      </c>
      <c r="N116" s="31" cm="1">
        <f t="array" ref="N116">N$106+IF($C116&lt;&gt;0,SUMPRODUCT((N$107:N$108)*TRANSPOSE(($D116:$E116))),0)</f>
        <v>232216.95450572984</v>
      </c>
      <c r="O116" s="31" cm="1">
        <f t="array" ref="O116">O$106+IF($C116&lt;&gt;0,SUMPRODUCT((O$107:O$108)*TRANSPOSE(($D116:$E116))),0)</f>
        <v>407478.8994064224</v>
      </c>
      <c r="P116" s="31" cm="1">
        <f t="array" ref="P116">P$106+IF($C116&lt;&gt;0,SUMPRODUCT((P$107:P$108)*TRANSPOSE(($D116:$E116))),0)</f>
        <v>635319.42777732224</v>
      </c>
      <c r="Q116" s="31" cm="1">
        <f t="array" ref="Q116">Q$106+IF($C116&lt;&gt;0,SUMPRODUCT((Q$107:Q$108)*TRANSPOSE(($D116:$E116))),0)</f>
        <v>635319.42777732224</v>
      </c>
      <c r="R116" s="31" cm="1">
        <f t="array" ref="R116">R$106+IF($C116&lt;&gt;0,SUMPRODUCT((R$107:R$108)*TRANSPOSE(($D116:$E116))),0)</f>
        <v>635319.42777732224</v>
      </c>
      <c r="S116" s="31" cm="1">
        <f t="array" ref="S116">S$106+IF($C116&lt;&gt;0,SUMPRODUCT((S$107:S$108)*TRANSPOSE(($D116:$E116))),0)</f>
        <v>635319.42777732224</v>
      </c>
      <c r="T116" s="31" cm="1">
        <f t="array" ref="T116">T$106+IF($C116&lt;&gt;0,SUMPRODUCT((T$107:T$108)*TRANSPOSE(($D116:$E116))),0)</f>
        <v>635319.42777732224</v>
      </c>
      <c r="U116" s="31" cm="1">
        <f t="array" ref="U116">U$106+IF($C116&lt;&gt;0,SUMPRODUCT((U$107:U$108)*TRANSPOSE(($D116:$E116))),0)</f>
        <v>635319.42777732224</v>
      </c>
      <c r="V116" s="31" cm="1">
        <f t="array" ref="V116">V$106+IF($C116&lt;&gt;0,SUMPRODUCT((V$107:V$108)*TRANSPOSE(($D116:$E116))),0)</f>
        <v>635319.42777732224</v>
      </c>
      <c r="W116" s="31" cm="1">
        <f t="array" ref="W116">W$106+IF($C116&lt;&gt;0,SUMPRODUCT((W$107:W$108)*TRANSPOSE(($D116:$E116))),0)</f>
        <v>635319.42777732224</v>
      </c>
      <c r="X116" s="31" cm="1">
        <f t="array" ref="X116">X$106+IF($C116&lt;&gt;0,SUMPRODUCT((X$107:X$108)*TRANSPOSE(($D116:$E116))),0)</f>
        <v>635319.42777732224</v>
      </c>
      <c r="Y116" s="31" cm="1">
        <f t="array" ref="Y116">Y$106+IF($C116&lt;&gt;0,SUMPRODUCT((Y$107:Y$108)*TRANSPOSE(($D116:$E116))),0)</f>
        <v>635319.42777732224</v>
      </c>
      <c r="Z116" s="31" cm="1">
        <f t="array" ref="Z116">Z$106+IF($C116&lt;&gt;0,SUMPRODUCT((Z$107:Z$108)*TRANSPOSE(($D116:$E116))),0)</f>
        <v>635319.42777732224</v>
      </c>
      <c r="AA116" s="31" cm="1">
        <f t="array" ref="AA116">AA$106+IF($C116&lt;&gt;0,SUMPRODUCT((AA$107:AA$108)*TRANSPOSE(($D116:$E116))),0)</f>
        <v>635319.42777732224</v>
      </c>
      <c r="AB116" s="31" cm="1">
        <f t="array" ref="AB116">AB$106+IF($C116&lt;&gt;0,SUMPRODUCT((AB$107:AB$108)*TRANSPOSE(($D116:$E116))),0)</f>
        <v>635319.42777732224</v>
      </c>
      <c r="AC116" s="31" cm="1">
        <f t="array" ref="AC116">AC$106+IF($C116&lt;&gt;0,SUMPRODUCT((AC$107:AC$108)*TRANSPOSE(($D116:$E116))),0)</f>
        <v>635319.42777732224</v>
      </c>
      <c r="AD116" s="31" cm="1">
        <f t="array" ref="AD116">AD$106+IF($C116&lt;&gt;0,SUMPRODUCT((AD$107:AD$108)*TRANSPOSE(($D116:$E116))),0)</f>
        <v>635319.42777732224</v>
      </c>
      <c r="AE116" s="31" cm="1">
        <f t="array" ref="AE116">AE$106+IF($C116&lt;&gt;0,SUMPRODUCT((AE$107:AE$108)*TRANSPOSE(($D116:$E116))),0)</f>
        <v>635319.42777732224</v>
      </c>
      <c r="AF116" s="31" cm="1">
        <f t="array" ref="AF116">AF$106+IF($C116&lt;&gt;0,SUMPRODUCT((AF$107:AF$108)*TRANSPOSE(($D116:$E116))),0)</f>
        <v>635319.42777732224</v>
      </c>
      <c r="AG116" s="31" cm="1">
        <f t="array" ref="AG116">AG$106+IF($C116&lt;&gt;0,SUMPRODUCT((AG$107:AG$108)*TRANSPOSE(($D116:$E116))),0)</f>
        <v>635319.42777732224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-179648.61601089721</v>
      </c>
      <c r="K117" s="31" cm="1">
        <f t="array" ref="K117">K$106+IF($C117&lt;&gt;0,SUMPRODUCT((K$107:K$108)*TRANSPOSE(($D117:$E117))),0)</f>
        <v>-65728.351825447171</v>
      </c>
      <c r="L117" s="31" cm="1">
        <f t="array" ref="L117">L$106+IF($C117&lt;&gt;0,SUMPRODUCT((L$107:L$108)*TRANSPOSE(($D117:$E117))),0)</f>
        <v>48191.912360002985</v>
      </c>
      <c r="M117" s="31" cm="1">
        <f t="array" ref="M117">M$106+IF($C117&lt;&gt;0,SUMPRODUCT((M$107:M$108)*TRANSPOSE(($D117:$E117))),0)</f>
        <v>148967.530677901</v>
      </c>
      <c r="N117" s="31" cm="1">
        <f t="array" ref="N117">N$106+IF($C117&lt;&gt;0,SUMPRODUCT((N$107:N$108)*TRANSPOSE(($D117:$E117))),0)</f>
        <v>232216.95450572984</v>
      </c>
      <c r="O117" s="31" cm="1">
        <f t="array" ref="O117">O$106+IF($C117&lt;&gt;0,SUMPRODUCT((O$107:O$108)*TRANSPOSE(($D117:$E117))),0)</f>
        <v>407478.8994064224</v>
      </c>
      <c r="P117" s="31" cm="1">
        <f t="array" ref="P117">P$106+IF($C117&lt;&gt;0,SUMPRODUCT((P$107:P$108)*TRANSPOSE(($D117:$E117))),0)</f>
        <v>635319.42777732224</v>
      </c>
      <c r="Q117" s="31" cm="1">
        <f t="array" ref="Q117">Q$106+IF($C117&lt;&gt;0,SUMPRODUCT((Q$107:Q$108)*TRANSPOSE(($D117:$E117))),0)</f>
        <v>635319.42777732224</v>
      </c>
      <c r="R117" s="31" cm="1">
        <f t="array" ref="R117">R$106+IF($C117&lt;&gt;0,SUMPRODUCT((R$107:R$108)*TRANSPOSE(($D117:$E117))),0)</f>
        <v>635319.42777732224</v>
      </c>
      <c r="S117" s="31" cm="1">
        <f t="array" ref="S117">S$106+IF($C117&lt;&gt;0,SUMPRODUCT((S$107:S$108)*TRANSPOSE(($D117:$E117))),0)</f>
        <v>635319.42777732224</v>
      </c>
      <c r="T117" s="31" cm="1">
        <f t="array" ref="T117">T$106+IF($C117&lt;&gt;0,SUMPRODUCT((T$107:T$108)*TRANSPOSE(($D117:$E117))),0)</f>
        <v>635319.42777732224</v>
      </c>
      <c r="U117" s="31" cm="1">
        <f t="array" ref="U117">U$106+IF($C117&lt;&gt;0,SUMPRODUCT((U$107:U$108)*TRANSPOSE(($D117:$E117))),0)</f>
        <v>635319.42777732224</v>
      </c>
      <c r="V117" s="31" cm="1">
        <f t="array" ref="V117">V$106+IF($C117&lt;&gt;0,SUMPRODUCT((V$107:V$108)*TRANSPOSE(($D117:$E117))),0)</f>
        <v>635319.42777732224</v>
      </c>
      <c r="W117" s="31" cm="1">
        <f t="array" ref="W117">W$106+IF($C117&lt;&gt;0,SUMPRODUCT((W$107:W$108)*TRANSPOSE(($D117:$E117))),0)</f>
        <v>635319.42777732224</v>
      </c>
      <c r="X117" s="31" cm="1">
        <f t="array" ref="X117">X$106+IF($C117&lt;&gt;0,SUMPRODUCT((X$107:X$108)*TRANSPOSE(($D117:$E117))),0)</f>
        <v>635319.42777732224</v>
      </c>
      <c r="Y117" s="31" cm="1">
        <f t="array" ref="Y117">Y$106+IF($C117&lt;&gt;0,SUMPRODUCT((Y$107:Y$108)*TRANSPOSE(($D117:$E117))),0)</f>
        <v>635319.42777732224</v>
      </c>
      <c r="Z117" s="31" cm="1">
        <f t="array" ref="Z117">Z$106+IF($C117&lt;&gt;0,SUMPRODUCT((Z$107:Z$108)*TRANSPOSE(($D117:$E117))),0)</f>
        <v>635319.42777732224</v>
      </c>
      <c r="AA117" s="31" cm="1">
        <f t="array" ref="AA117">AA$106+IF($C117&lt;&gt;0,SUMPRODUCT((AA$107:AA$108)*TRANSPOSE(($D117:$E117))),0)</f>
        <v>635319.42777732224</v>
      </c>
      <c r="AB117" s="31" cm="1">
        <f t="array" ref="AB117">AB$106+IF($C117&lt;&gt;0,SUMPRODUCT((AB$107:AB$108)*TRANSPOSE(($D117:$E117))),0)</f>
        <v>635319.42777732224</v>
      </c>
      <c r="AC117" s="31" cm="1">
        <f t="array" ref="AC117">AC$106+IF($C117&lt;&gt;0,SUMPRODUCT((AC$107:AC$108)*TRANSPOSE(($D117:$E117))),0)</f>
        <v>635319.42777732224</v>
      </c>
      <c r="AD117" s="31" cm="1">
        <f t="array" ref="AD117">AD$106+IF($C117&lt;&gt;0,SUMPRODUCT((AD$107:AD$108)*TRANSPOSE(($D117:$E117))),0)</f>
        <v>635319.42777732224</v>
      </c>
      <c r="AE117" s="31" cm="1">
        <f t="array" ref="AE117">AE$106+IF($C117&lt;&gt;0,SUMPRODUCT((AE$107:AE$108)*TRANSPOSE(($D117:$E117))),0)</f>
        <v>635319.42777732224</v>
      </c>
      <c r="AF117" s="31" cm="1">
        <f t="array" ref="AF117">AF$106+IF($C117&lt;&gt;0,SUMPRODUCT((AF$107:AF$108)*TRANSPOSE(($D117:$E117))),0)</f>
        <v>635319.42777732224</v>
      </c>
      <c r="AG117" s="31" cm="1">
        <f t="array" ref="AG117">AG$106+IF($C117&lt;&gt;0,SUMPRODUCT((AG$107:AG$108)*TRANSPOSE(($D117:$E117))),0)</f>
        <v>635319.42777732224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E15" sqref="E15:K15"/>
      <selection pane="topRight" activeCell="E15" sqref="E15:K15"/>
      <selection pane="bottomLeft" activeCell="E15" sqref="E15:K15"/>
      <selection pane="bottomRight" activeCell="H29" sqref="H29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Collingwood supply area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185</v>
      </c>
      <c r="B3" s="5"/>
      <c r="C3" s="204">
        <f>INDEX(Assumptions!$E$14:$E$18, MATCH(A3,_xlfn.ANCHORARRAY( Assumptions!$C$14),0))</f>
        <v>0</v>
      </c>
    </row>
    <row r="4" spans="1:43" x14ac:dyDescent="0.2">
      <c r="A4" s="205" t="str">
        <f>(INDEX(Data!$D$9:$D$13, MATCH(A3, options,0)))</f>
        <v>Not used</v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15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</row>
    <row r="20" spans="1:43" x14ac:dyDescent="0.2">
      <c r="G20" s="209"/>
      <c r="AH20"/>
      <c r="AI20"/>
      <c r="AJ20"/>
      <c r="AK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43815.486225173103</v>
      </c>
      <c r="F28" s="242" t="str">
        <f>IF(AND(SUM(I27:AG27)&lt;&gt;0, E28=0), "!", "")</f>
        <v/>
      </c>
      <c r="G28" s="211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9" t="s">
        <v>208</v>
      </c>
      <c r="G30" s="211">
        <f>input_dollars</f>
        <v>45291</v>
      </c>
      <c r="H30" s="152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10"/>
      <c r="E31"/>
      <c r="G31" s="211">
        <f>input_dollars</f>
        <v>45291</v>
      </c>
      <c r="H31" s="152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9" t="s">
        <v>208</v>
      </c>
      <c r="E32"/>
      <c r="G32" s="211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v>0</v>
      </c>
      <c r="AF32" s="139">
        <v>0</v>
      </c>
      <c r="AG32" s="13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173</v>
      </c>
      <c r="D33" s="223"/>
      <c r="E33"/>
      <c r="G33" s="211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 t="s">
        <v>173</v>
      </c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2"/>
      <c r="E36" s="107"/>
      <c r="F36" s="3"/>
      <c r="G36" s="213"/>
      <c r="H36" s="107"/>
      <c r="I36" s="174">
        <f>SUM(I28:I34)</f>
        <v>0</v>
      </c>
      <c r="J36" s="174">
        <f t="shared" ref="J36:AG36" si="3">SUM(J28:J34)</f>
        <v>0</v>
      </c>
      <c r="K36" s="174">
        <f t="shared" si="3"/>
        <v>0</v>
      </c>
      <c r="L36" s="174">
        <f t="shared" si="3"/>
        <v>0</v>
      </c>
      <c r="M36" s="174">
        <f t="shared" si="3"/>
        <v>0</v>
      </c>
      <c r="N36" s="174">
        <f t="shared" si="3"/>
        <v>0</v>
      </c>
      <c r="O36" s="174">
        <f t="shared" si="3"/>
        <v>0</v>
      </c>
      <c r="P36" s="174">
        <f t="shared" si="3"/>
        <v>0</v>
      </c>
      <c r="Q36" s="174">
        <f t="shared" si="3"/>
        <v>0</v>
      </c>
      <c r="R36" s="174">
        <f t="shared" si="3"/>
        <v>0</v>
      </c>
      <c r="S36" s="174">
        <f t="shared" si="3"/>
        <v>0</v>
      </c>
      <c r="T36" s="174">
        <f t="shared" si="3"/>
        <v>0</v>
      </c>
      <c r="U36" s="174">
        <f t="shared" si="3"/>
        <v>0</v>
      </c>
      <c r="V36" s="174">
        <f t="shared" si="3"/>
        <v>0</v>
      </c>
      <c r="W36" s="174">
        <f t="shared" si="3"/>
        <v>0</v>
      </c>
      <c r="X36" s="174">
        <f t="shared" si="3"/>
        <v>0</v>
      </c>
      <c r="Y36" s="174">
        <f t="shared" si="3"/>
        <v>0</v>
      </c>
      <c r="Z36" s="174">
        <f t="shared" si="3"/>
        <v>0</v>
      </c>
      <c r="AA36" s="174">
        <f t="shared" si="3"/>
        <v>0</v>
      </c>
      <c r="AB36" s="174">
        <f t="shared" si="3"/>
        <v>0</v>
      </c>
      <c r="AC36" s="174">
        <f t="shared" si="3"/>
        <v>0</v>
      </c>
      <c r="AD36" s="174">
        <f t="shared" si="3"/>
        <v>0</v>
      </c>
      <c r="AE36" s="174">
        <f t="shared" si="3"/>
        <v>0</v>
      </c>
      <c r="AF36" s="174">
        <f t="shared" si="3"/>
        <v>0</v>
      </c>
      <c r="AG36" s="174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0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4220.9953699573898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0.54769380678923496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0.54769380678923496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0</v>
      </c>
      <c r="K64" s="135">
        <f>(1-INDEX(Data!$C$9:$C$13, MATCH($A$3, options,0)))*('Option1 (base case)'!K36-K36)</f>
        <v>0</v>
      </c>
      <c r="L64" s="135">
        <f>(1-INDEX(Data!$C$9:$C$13, MATCH($A$3, options,0)))*('Option1 (base case)'!L36-L36)</f>
        <v>0</v>
      </c>
      <c r="M64" s="135">
        <f>(1-INDEX(Data!$C$9:$C$13, MATCH($A$3, options,0)))*('Option1 (base case)'!M36-M36)</f>
        <v>0</v>
      </c>
      <c r="N64" s="135">
        <f>(1-INDEX(Data!$C$9:$C$13, MATCH($A$3, options,0)))*('Option1 (base case)'!N36-N36)</f>
        <v>0</v>
      </c>
      <c r="O64" s="135">
        <f>(1-INDEX(Data!$C$9:$C$13, MATCH($A$3, options,0)))*('Option1 (base case)'!O36-O36)</f>
        <v>0</v>
      </c>
      <c r="P64" s="135">
        <f>(1-INDEX(Data!$C$9:$C$13, MATCH($A$3, options,0)))*('Option1 (base case)'!P36-P36)</f>
        <v>0</v>
      </c>
      <c r="Q64" s="135">
        <f>(1-INDEX(Data!$C$9:$C$13, MATCH($A$3, options,0)))*('Option1 (base case)'!Q36-Q36)</f>
        <v>0</v>
      </c>
      <c r="R64" s="135">
        <f>(1-INDEX(Data!$C$9:$C$13, MATCH($A$3, options,0)))*('Option1 (base case)'!R36-R36)</f>
        <v>0</v>
      </c>
      <c r="S64" s="135">
        <f>(1-INDEX(Data!$C$9:$C$13, MATCH($A$3, options,0)))*('Option1 (base case)'!S36-S36)</f>
        <v>0</v>
      </c>
      <c r="T64" s="135">
        <f>(1-INDEX(Data!$C$9:$C$13, MATCH($A$3, options,0)))*('Option1 (base case)'!T36-T36)</f>
        <v>0</v>
      </c>
      <c r="U64" s="135">
        <f>(1-INDEX(Data!$C$9:$C$13, MATCH($A$3, options,0)))*('Option1 (base case)'!U36-U36)</f>
        <v>0</v>
      </c>
      <c r="V64" s="135">
        <f>(1-INDEX(Data!$C$9:$C$13, MATCH($A$3, options,0)))*('Option1 (base case)'!V36-V36)</f>
        <v>0</v>
      </c>
      <c r="W64" s="135">
        <f>(1-INDEX(Data!$C$9:$C$13, MATCH($A$3, options,0)))*('Option1 (base case)'!W36-W36)</f>
        <v>0</v>
      </c>
      <c r="X64" s="135">
        <f>(1-INDEX(Data!$C$9:$C$13, MATCH($A$3, options,0)))*('Option1 (base case)'!X36-X36)</f>
        <v>0</v>
      </c>
      <c r="Y64" s="135">
        <f>(1-INDEX(Data!$C$9:$C$13, MATCH($A$3, options,0)))*('Option1 (base case)'!Y36-Y36)</f>
        <v>0</v>
      </c>
      <c r="Z64" s="135">
        <f>(1-INDEX(Data!$C$9:$C$13, MATCH($A$3, options,0)))*('Option1 (base case)'!Z36-Z36)</f>
        <v>0</v>
      </c>
      <c r="AA64" s="135">
        <f>(1-INDEX(Data!$C$9:$C$13, MATCH($A$3, options,0)))*('Option1 (base case)'!AA36-AA36)</f>
        <v>0</v>
      </c>
      <c r="AB64" s="135">
        <f>(1-INDEX(Data!$C$9:$C$13, MATCH($A$3, options,0)))*('Option1 (base case)'!AB36-AB36)</f>
        <v>0</v>
      </c>
      <c r="AC64" s="135">
        <f>(1-INDEX(Data!$C$9:$C$13, MATCH($A$3, options,0)))*('Option1 (base case)'!AC36-AC36)</f>
        <v>0</v>
      </c>
      <c r="AD64" s="135">
        <f>(1-INDEX(Data!$C$9:$C$13, MATCH($A$3, options,0)))*('Option1 (base case)'!AD36-AD36)</f>
        <v>0</v>
      </c>
      <c r="AE64" s="135">
        <f>(1-INDEX(Data!$C$9:$C$13, MATCH($A$3, options,0)))*('Option1 (base case)'!AE36-AE36)</f>
        <v>0</v>
      </c>
      <c r="AF64" s="135">
        <f>(1-INDEX(Data!$C$9:$C$13, MATCH($A$3, options,0)))*('Option1 (base case)'!AF36-AF36)</f>
        <v>0</v>
      </c>
      <c r="AG64" s="135">
        <f>(1-INDEX(Data!$C$9:$C$13, MATCH($A$3, options,0)))*('Option1 (base case)'!AG36-AG36)</f>
        <v>0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156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157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0</v>
      </c>
      <c r="K80" s="180">
        <f t="shared" si="11"/>
        <v>0</v>
      </c>
      <c r="L80" s="180">
        <f t="shared" si="11"/>
        <v>0</v>
      </c>
      <c r="M80" s="180">
        <f t="shared" si="11"/>
        <v>0</v>
      </c>
      <c r="N80" s="180">
        <f t="shared" si="11"/>
        <v>0</v>
      </c>
      <c r="O80" s="180">
        <f t="shared" si="11"/>
        <v>0</v>
      </c>
      <c r="P80" s="180">
        <f t="shared" si="11"/>
        <v>0</v>
      </c>
      <c r="Q80" s="180">
        <f t="shared" si="11"/>
        <v>0</v>
      </c>
      <c r="R80" s="180">
        <f t="shared" si="11"/>
        <v>0</v>
      </c>
      <c r="S80" s="180">
        <f t="shared" si="11"/>
        <v>0</v>
      </c>
      <c r="T80" s="180">
        <f t="shared" si="11"/>
        <v>0</v>
      </c>
      <c r="U80" s="180">
        <f t="shared" si="11"/>
        <v>0</v>
      </c>
      <c r="V80" s="180">
        <f t="shared" si="11"/>
        <v>0</v>
      </c>
      <c r="W80" s="180">
        <f t="shared" si="11"/>
        <v>0</v>
      </c>
      <c r="X80" s="180">
        <f t="shared" si="11"/>
        <v>0</v>
      </c>
      <c r="Y80" s="180">
        <f t="shared" si="11"/>
        <v>0</v>
      </c>
      <c r="Z80" s="180">
        <f t="shared" si="11"/>
        <v>0</v>
      </c>
      <c r="AA80" s="180">
        <f t="shared" si="11"/>
        <v>0</v>
      </c>
      <c r="AB80" s="180">
        <f t="shared" si="11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0</v>
      </c>
      <c r="K87" s="183">
        <f t="shared" si="17"/>
        <v>0</v>
      </c>
      <c r="L87" s="183">
        <f t="shared" si="17"/>
        <v>0</v>
      </c>
      <c r="M87" s="183">
        <f t="shared" si="17"/>
        <v>0</v>
      </c>
      <c r="N87" s="183">
        <f t="shared" si="17"/>
        <v>0</v>
      </c>
      <c r="O87" s="183">
        <f t="shared" si="17"/>
        <v>0</v>
      </c>
      <c r="P87" s="183">
        <f t="shared" si="17"/>
        <v>0</v>
      </c>
      <c r="Q87" s="183">
        <f t="shared" si="17"/>
        <v>0</v>
      </c>
      <c r="R87" s="183">
        <f t="shared" si="17"/>
        <v>0</v>
      </c>
      <c r="S87" s="183">
        <f t="shared" si="17"/>
        <v>0</v>
      </c>
      <c r="T87" s="183">
        <f t="shared" si="17"/>
        <v>0</v>
      </c>
      <c r="U87" s="183">
        <f t="shared" si="17"/>
        <v>0</v>
      </c>
      <c r="V87" s="183">
        <f t="shared" si="17"/>
        <v>0</v>
      </c>
      <c r="W87" s="183">
        <f t="shared" si="17"/>
        <v>0</v>
      </c>
      <c r="X87" s="183">
        <f t="shared" si="17"/>
        <v>0</v>
      </c>
      <c r="Y87" s="183">
        <f t="shared" si="17"/>
        <v>0</v>
      </c>
      <c r="Z87" s="183">
        <f t="shared" si="17"/>
        <v>0</v>
      </c>
      <c r="AA87" s="183">
        <f t="shared" si="17"/>
        <v>0</v>
      </c>
      <c r="AB87" s="183">
        <f t="shared" si="17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193</v>
      </c>
      <c r="D92" s="240"/>
      <c r="E92" s="240"/>
      <c r="F92" s="240"/>
      <c r="G92" s="241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6" t="str">
        <f>Assumptions!G110</f>
        <v>Capex</v>
      </c>
      <c r="E109" s="306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5" t="str">
        <f>Assumptions!C111</f>
        <v>Capex 10% higher</v>
      </c>
      <c r="D110" s="306">
        <f>Assumptions!G111</f>
        <v>0.1</v>
      </c>
      <c r="E110" s="306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5" t="str">
        <f>Assumptions!C112</f>
        <v>Capex 10% lower</v>
      </c>
      <c r="D111" s="306">
        <f>Assumptions!G112</f>
        <v>-0.1</v>
      </c>
      <c r="E111" s="306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5" t="str">
        <f>Assumptions!C113</f>
        <v>Total benefits 10% higher</v>
      </c>
      <c r="D112" s="306">
        <f>Assumptions!G113</f>
        <v>0</v>
      </c>
      <c r="E112" s="306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5" t="str">
        <f>Assumptions!C114</f>
        <v>Total benefits 10% lower</v>
      </c>
      <c r="D113" s="306">
        <f>Assumptions!G114</f>
        <v>0</v>
      </c>
      <c r="E113" s="306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5" t="str">
        <f>Assumptions!C115</f>
        <v>Capex 10% higher &amp; Total benefits 10% lower</v>
      </c>
      <c r="D114" s="306">
        <f>Assumptions!G115</f>
        <v>0.1</v>
      </c>
      <c r="E114" s="306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5">
        <f>Assumptions!C116</f>
        <v>0</v>
      </c>
      <c r="D115" s="306">
        <f>Assumptions!G116</f>
        <v>0</v>
      </c>
      <c r="E115" s="306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5">
        <f>Assumptions!C117</f>
        <v>0</v>
      </c>
      <c r="D116" s="306">
        <f>Assumptions!G117</f>
        <v>0</v>
      </c>
      <c r="E116" s="306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5">
        <f>Assumptions!C118</f>
        <v>0</v>
      </c>
      <c r="D117" s="306">
        <f>Assumptions!G118</f>
        <v>0</v>
      </c>
      <c r="E117" s="306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Collingwood supply area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7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92">
        <f t="shared" ref="H5:AG5" si="0">IF(H9=start,1/((1+real_disc)^(1/2)),G5/(1+real_disc))</f>
        <v>0</v>
      </c>
      <c r="I5" s="192">
        <f t="shared" si="0"/>
        <v>0.98294637436598087</v>
      </c>
      <c r="J5" s="192">
        <f t="shared" si="0"/>
        <v>0.94970664189949849</v>
      </c>
      <c r="K5" s="192">
        <f t="shared" si="0"/>
        <v>0.91759095835700344</v>
      </c>
      <c r="L5" s="192">
        <f t="shared" si="0"/>
        <v>0.88656131242222558</v>
      </c>
      <c r="M5" s="192">
        <f t="shared" si="0"/>
        <v>0.85658097818572532</v>
      </c>
      <c r="N5" s="192">
        <f t="shared" si="0"/>
        <v>0.8276144716770294</v>
      </c>
      <c r="O5" s="192">
        <f t="shared" si="0"/>
        <v>0.79962750886669509</v>
      </c>
      <c r="P5" s="192">
        <f t="shared" si="0"/>
        <v>0.77258696508859437</v>
      </c>
      <c r="Q5" s="192">
        <f t="shared" si="0"/>
        <v>0.74646083583439071</v>
      </c>
      <c r="R5" s="192">
        <f t="shared" si="0"/>
        <v>0.72121819887380756</v>
      </c>
      <c r="S5" s="192">
        <f t="shared" si="0"/>
        <v>0.69682917765585273</v>
      </c>
      <c r="T5" s="192">
        <f t="shared" si="0"/>
        <v>0.67326490594768384</v>
      </c>
      <c r="U5" s="192">
        <f t="shared" si="0"/>
        <v>0.6504974936692598</v>
      </c>
      <c r="V5" s="192">
        <f t="shared" si="0"/>
        <v>0.62849999388334288</v>
      </c>
      <c r="W5" s="192">
        <f t="shared" si="0"/>
        <v>0.60724637090178057</v>
      </c>
      <c r="X5" s="192">
        <f t="shared" si="0"/>
        <v>0.58671146947031949</v>
      </c>
      <c r="Y5" s="192">
        <f t="shared" si="0"/>
        <v>0.56687098499547783</v>
      </c>
      <c r="Z5" s="192">
        <f t="shared" si="0"/>
        <v>0.54770143477823952</v>
      </c>
      <c r="AA5" s="192">
        <f t="shared" si="0"/>
        <v>0.52918013022052135</v>
      </c>
      <c r="AB5" s="192">
        <f t="shared" si="0"/>
        <v>0.5112851499715183</v>
      </c>
      <c r="AC5" s="192">
        <f t="shared" si="0"/>
        <v>0.4939953139821433</v>
      </c>
      <c r="AD5" s="192">
        <f t="shared" si="0"/>
        <v>0.47729015843685346</v>
      </c>
      <c r="AE5" s="192">
        <f t="shared" si="0"/>
        <v>0.46114991153319179</v>
      </c>
      <c r="AF5" s="192">
        <f t="shared" si="0"/>
        <v>0.4455554700803786</v>
      </c>
      <c r="AG5" s="192">
        <f t="shared" si="0"/>
        <v>0.43048837688925473</v>
      </c>
    </row>
    <row r="6" spans="1:34" s="2" customFormat="1" outlineLevel="1" x14ac:dyDescent="0.2">
      <c r="A6" s="193" t="str">
        <f>'Option1 (base case)'!A6</f>
        <v>Count</v>
      </c>
      <c r="B6" s="116"/>
      <c r="C6" s="117"/>
      <c r="D6" s="116"/>
      <c r="E6" s="116"/>
      <c r="F6" s="116"/>
      <c r="G6" s="101"/>
      <c r="H6" s="193">
        <f>'Option1 (base case)'!H6</f>
        <v>0</v>
      </c>
      <c r="I6" s="193">
        <f>'Option1 (base case)'!I6</f>
        <v>1</v>
      </c>
      <c r="J6" s="193">
        <f>'Option1 (base case)'!J6</f>
        <v>2</v>
      </c>
      <c r="K6" s="193">
        <f>'Option1 (base case)'!K6</f>
        <v>3</v>
      </c>
      <c r="L6" s="193">
        <f>'Option1 (base case)'!L6</f>
        <v>4</v>
      </c>
      <c r="M6" s="193">
        <f>'Option1 (base case)'!M6</f>
        <v>5</v>
      </c>
      <c r="N6" s="193">
        <f>'Option1 (base case)'!N6</f>
        <v>6</v>
      </c>
      <c r="O6" s="193">
        <f>'Option1 (base case)'!O6</f>
        <v>7</v>
      </c>
      <c r="P6" s="193">
        <f>'Option1 (base case)'!P6</f>
        <v>8</v>
      </c>
      <c r="Q6" s="193">
        <f>'Option1 (base case)'!Q6</f>
        <v>9</v>
      </c>
      <c r="R6" s="193">
        <f>'Option1 (base case)'!R6</f>
        <v>10</v>
      </c>
      <c r="S6" s="193">
        <f>'Option1 (base case)'!S6</f>
        <v>11</v>
      </c>
      <c r="T6" s="193">
        <f>'Option1 (base case)'!T6</f>
        <v>12</v>
      </c>
      <c r="U6" s="193">
        <f>'Option1 (base case)'!U6</f>
        <v>13</v>
      </c>
      <c r="V6" s="193">
        <f>'Option1 (base case)'!V6</f>
        <v>14</v>
      </c>
      <c r="W6" s="193">
        <f>'Option1 (base case)'!W6</f>
        <v>15</v>
      </c>
      <c r="X6" s="193">
        <f>'Option1 (base case)'!X6</f>
        <v>16</v>
      </c>
      <c r="Y6" s="193">
        <f>'Option1 (base case)'!Y6</f>
        <v>17</v>
      </c>
      <c r="Z6" s="193">
        <f>'Option1 (base case)'!Z6</f>
        <v>18</v>
      </c>
      <c r="AA6" s="193">
        <f>'Option1 (base case)'!AA6</f>
        <v>19</v>
      </c>
      <c r="AB6" s="193">
        <f>'Option1 (base case)'!AB6</f>
        <v>20</v>
      </c>
      <c r="AC6" s="193">
        <f>'Option1 (base case)'!AC6</f>
        <v>21</v>
      </c>
      <c r="AD6" s="193">
        <f>'Option1 (base case)'!AD6</f>
        <v>22</v>
      </c>
      <c r="AE6" s="193">
        <f>'Option1 (base case)'!AE6</f>
        <v>23</v>
      </c>
      <c r="AF6" s="193">
        <f>'Option1 (base case)'!AF6</f>
        <v>24</v>
      </c>
      <c r="AG6" s="193">
        <f>'Option1 (base case)'!AG6</f>
        <v>25</v>
      </c>
    </row>
    <row r="7" spans="1:34" s="2" customFormat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5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6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8"/>
      <c r="H12" s="118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spans="1:34" s="2" customFormat="1" x14ac:dyDescent="0.2">
      <c r="A13" s="123"/>
      <c r="B13" s="123"/>
      <c r="C13" s="123"/>
      <c r="D13" s="118"/>
      <c r="F13" s="118"/>
      <c r="G13" s="225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5" customFormat="1" x14ac:dyDescent="0.2">
      <c r="A14" s="273" t="str">
        <f>A15</f>
        <v>Option 1 (base case)</v>
      </c>
      <c r="B14" s="273"/>
      <c r="C14" s="273" t="s">
        <v>124</v>
      </c>
      <c r="D14" s="274" t="str">
        <f t="shared" ref="D14:D25" si="2">A14&amp;C14</f>
        <v>Option 1 (base case)Energy at risk value</v>
      </c>
      <c r="F14" s="97">
        <f>SUMPRODUCT($H14:$AG14, $H$5:$AG$5)</f>
        <v>18264123.142580815</v>
      </c>
      <c r="G14" s="276">
        <f>output_dollars</f>
        <v>46203</v>
      </c>
      <c r="H14" s="277"/>
      <c r="I14" s="31">
        <f>'Option1 (base case)'!I$28*conv_2026</f>
        <v>331587.0993564339</v>
      </c>
      <c r="J14" s="31">
        <f>'Option1 (base case)'!J$28*conv_2026</f>
        <v>394978.75070398749</v>
      </c>
      <c r="K14" s="31">
        <f>'Option1 (base case)'!K$28*conv_2026</f>
        <v>521762.05339909456</v>
      </c>
      <c r="L14" s="31">
        <f>'Option1 (base case)'!L$28*conv_2026</f>
        <v>648545.35609420168</v>
      </c>
      <c r="M14" s="31">
        <f>'Option1 (base case)'!M$28*conv_2026</f>
        <v>760699.8161706425</v>
      </c>
      <c r="N14" s="31">
        <f>'Option1 (base case)'!N$28*conv_2026</f>
        <v>887483.11886574957</v>
      </c>
      <c r="O14" s="31">
        <f>'Option1 (base case)'!O$28*conv_2026</f>
        <v>1097163.1963999653</v>
      </c>
      <c r="P14" s="31">
        <f>'Option1 (base case)'!P$28*conv_2026</f>
        <v>1350729.801790179</v>
      </c>
      <c r="Q14" s="31">
        <f>'Option1 (base case)'!Q$28*conv_2026</f>
        <v>1350729.801790179</v>
      </c>
      <c r="R14" s="31">
        <f>'Option1 (base case)'!R$28*conv_2026</f>
        <v>1350729.801790179</v>
      </c>
      <c r="S14" s="31">
        <f>'Option1 (base case)'!S$28*conv_2026</f>
        <v>1350729.801790179</v>
      </c>
      <c r="T14" s="31">
        <f>'Option1 (base case)'!T$28*conv_2026</f>
        <v>1350729.801790179</v>
      </c>
      <c r="U14" s="31">
        <f>'Option1 (base case)'!U$28*conv_2026</f>
        <v>1350729.801790179</v>
      </c>
      <c r="V14" s="31">
        <f>'Option1 (base case)'!V$28*conv_2026</f>
        <v>1350729.801790179</v>
      </c>
      <c r="W14" s="31">
        <f>'Option1 (base case)'!W$28*conv_2026</f>
        <v>1350729.801790179</v>
      </c>
      <c r="X14" s="31">
        <f>'Option1 (base case)'!X$28*conv_2026</f>
        <v>1350729.801790179</v>
      </c>
      <c r="Y14" s="31">
        <f>'Option1 (base case)'!Y$28*conv_2026</f>
        <v>1350729.801790179</v>
      </c>
      <c r="Z14" s="31">
        <f>'Option1 (base case)'!Z$28*conv_2026</f>
        <v>1350729.801790179</v>
      </c>
      <c r="AA14" s="31">
        <f>'Option1 (base case)'!AA$28*conv_2026</f>
        <v>1350729.801790179</v>
      </c>
      <c r="AB14" s="31">
        <f>'Option1 (base case)'!AB$28*conv_2026</f>
        <v>1350729.801790179</v>
      </c>
      <c r="AC14" s="31">
        <f>'Option1 (base case)'!AC$28*conv_2026</f>
        <v>1350729.801790179</v>
      </c>
      <c r="AD14" s="31">
        <f>'Option1 (base case)'!AD$28*conv_2026</f>
        <v>1350729.801790179</v>
      </c>
      <c r="AE14" s="31">
        <f>'Option1 (base case)'!AE$28*conv_2026</f>
        <v>1350729.801790179</v>
      </c>
      <c r="AF14" s="31">
        <f>'Option1 (base case)'!AF$28*conv_2026</f>
        <v>1350729.801790179</v>
      </c>
      <c r="AG14" s="31">
        <f>'Option1 (base case)'!AG$28*conv_2026</f>
        <v>1350729.801790179</v>
      </c>
    </row>
    <row r="15" spans="1:34" s="1" customFormat="1" x14ac:dyDescent="0.2">
      <c r="A15" s="138" t="str">
        <f>Data!B9</f>
        <v>Option 1 (base case)</v>
      </c>
      <c r="B15" s="138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9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8" t="str">
        <f t="shared" ref="A16:A25" si="3">A15</f>
        <v>Option 1 (base case)</v>
      </c>
      <c r="B16" s="138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15145991.448561039</v>
      </c>
      <c r="G16" s="229">
        <f>output_dollars</f>
        <v>46203</v>
      </c>
      <c r="H16" s="31"/>
      <c r="I16" s="31">
        <f>'Option1 (base case)'!I$36*conv_2026</f>
        <v>331587.0993564339</v>
      </c>
      <c r="J16" s="31">
        <f>'Option1 (base case)'!J$36*conv_2026</f>
        <v>394978.75070398749</v>
      </c>
      <c r="K16" s="31">
        <f>'Option1 (base case)'!K$36*conv_2026</f>
        <v>521762.05339909456</v>
      </c>
      <c r="L16" s="31">
        <f>'Option1 (base case)'!L$36*conv_2026</f>
        <v>648545.35609420168</v>
      </c>
      <c r="M16" s="31">
        <f>'Option1 (base case)'!M$36*conv_2026</f>
        <v>760699.8161706425</v>
      </c>
      <c r="N16" s="31">
        <f>'Option1 (base case)'!N$36*conv_2026</f>
        <v>887483.11886574957</v>
      </c>
      <c r="O16" s="31">
        <f>'Option1 (base case)'!O$36*conv_2026</f>
        <v>1097163.1963999653</v>
      </c>
      <c r="P16" s="31">
        <f>'Option1 (base case)'!P$36*conv_2026</f>
        <v>1350729.801790179</v>
      </c>
      <c r="Q16" s="31">
        <f>'Option1 (base case)'!Q$36*conv_2026</f>
        <v>1350729.801790179</v>
      </c>
      <c r="R16" s="31">
        <f>'Option1 (base case)'!R$36*conv_2026</f>
        <v>1350729.801790179</v>
      </c>
      <c r="S16" s="31">
        <f>'Option1 (base case)'!S$36*conv_2026</f>
        <v>1350729.801790179</v>
      </c>
      <c r="T16" s="31">
        <f>'Option1 (base case)'!T$36*conv_2026</f>
        <v>1350729.801790179</v>
      </c>
      <c r="U16" s="31">
        <f>'Option1 (base case)'!U$36*conv_2026</f>
        <v>1350729.801790179</v>
      </c>
      <c r="V16" s="31">
        <f>'Option1 (base case)'!V$36*conv_2026</f>
        <v>1350729.801790179</v>
      </c>
      <c r="W16" s="31">
        <f>'Option1 (base case)'!W$36*conv_2026</f>
        <v>1350729.801790179</v>
      </c>
      <c r="X16" s="31">
        <f>'Option1 (base case)'!X$36*conv_2026</f>
        <v>1350729.801790179</v>
      </c>
      <c r="Y16" s="31">
        <f>'Option1 (base case)'!Y$36*conv_2026</f>
        <v>1350729.801790179</v>
      </c>
      <c r="Z16" s="31">
        <f>'Option1 (base case)'!Z$36*conv_2026</f>
        <v>1350729.801790179</v>
      </c>
      <c r="AA16" s="31">
        <f>'Option1 (base case)'!AA$36*conv_2026</f>
        <v>1350729.801790179</v>
      </c>
      <c r="AB16" s="31">
        <f>'Option1 (base case)'!AB$36*conv_2026</f>
        <v>1350729.801790179</v>
      </c>
      <c r="AC16" s="31">
        <f>'Option1 (base case)'!AC$36*conv_2026</f>
        <v>1350729.801790179</v>
      </c>
      <c r="AD16" s="31">
        <f>'Option1 (base case)'!AD$36*conv_2026</f>
        <v>1350729.801790179</v>
      </c>
      <c r="AE16" s="31">
        <f>'Option1 (base case)'!AE$36*conv_2026</f>
        <v>1350729.801790179</v>
      </c>
      <c r="AF16" s="31">
        <f>'Option1 (base case)'!AF$36*conv_2026</f>
        <v>1350729.801790179</v>
      </c>
      <c r="AG16" s="31">
        <f>'Option1 (base case)'!AG$36*conv_2026</f>
        <v>1350729.801790179</v>
      </c>
    </row>
    <row r="17" spans="1:33" s="1" customFormat="1" x14ac:dyDescent="0.2">
      <c r="A17" s="138" t="str">
        <f t="shared" si="3"/>
        <v>Option 1 (base case)</v>
      </c>
      <c r="B17" s="138"/>
      <c r="C17" s="75"/>
      <c r="D17" s="38" t="str">
        <f t="shared" si="2"/>
        <v>Option 1 (base case)</v>
      </c>
      <c r="F17"/>
      <c r="G17" s="23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8" t="str">
        <f t="shared" si="3"/>
        <v>Option 1 (base case)</v>
      </c>
      <c r="B18" s="138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9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8" t="str">
        <f t="shared" si="3"/>
        <v>Option 1 (base case)</v>
      </c>
      <c r="B19" s="138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9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8" t="str">
        <f t="shared" si="3"/>
        <v>Option 1 (base case)</v>
      </c>
      <c r="B20" s="138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9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8" t="str">
        <f t="shared" si="3"/>
        <v>Option 1 (base case)</v>
      </c>
      <c r="B21" s="138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9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8" t="str">
        <f t="shared" si="3"/>
        <v>Option 1 (base case)</v>
      </c>
      <c r="B22" s="138"/>
      <c r="C22" s="147" t="str">
        <f>'Option1 (base case)'!C$87</f>
        <v>Net benefits</v>
      </c>
      <c r="D22" s="109" t="str">
        <f t="shared" si="2"/>
        <v>Option 1 (base case)Net benefits</v>
      </c>
      <c r="E22" s="110"/>
      <c r="F22" s="146"/>
      <c r="G22" s="231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8" t="str">
        <f t="shared" si="3"/>
        <v>Option 1 (base case)</v>
      </c>
      <c r="B23" s="138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9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8" t="str">
        <f t="shared" si="3"/>
        <v>Option 1 (base case)</v>
      </c>
      <c r="B24" s="138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9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8" t="str">
        <f t="shared" si="3"/>
        <v>Option 1 (base case)</v>
      </c>
      <c r="B25" s="138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9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2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5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5" customFormat="1" x14ac:dyDescent="0.2">
      <c r="A28" s="273" t="str">
        <f>A29</f>
        <v>Option 2</v>
      </c>
      <c r="B28" s="273"/>
      <c r="C28" s="273" t="s">
        <v>124</v>
      </c>
      <c r="D28" s="274" t="str">
        <f t="shared" si="6"/>
        <v>Option 2Energy at risk value</v>
      </c>
      <c r="F28" s="97">
        <f>SUMPRODUCT($H28:$AG28, $H$5:$AG$5)</f>
        <v>325932.337098939</v>
      </c>
      <c r="G28" s="276">
        <f>output_dollars</f>
        <v>46203</v>
      </c>
      <c r="H28" s="277"/>
      <c r="I28" s="31">
        <f>Option2!I$28*conv_2026</f>
        <v>331587.0993564339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8" t="str">
        <f>Data!B10</f>
        <v>Option 2</v>
      </c>
      <c r="B29" s="138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-7911813.1443924773</v>
      </c>
      <c r="G29" s="229">
        <f>output_dollars</f>
        <v>46203</v>
      </c>
      <c r="H29" s="31"/>
      <c r="I29" s="31">
        <f>SUM(Option2!I$67:I$69)*conv_2026*I$7</f>
        <v>-4093757.6884239158</v>
      </c>
      <c r="J29" s="31">
        <f>SUM(Option2!J$67:J$69)*conv_2026*J$7</f>
        <v>-4093757.6884239158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8" t="str">
        <f t="shared" ref="A30:A39" si="7">A29</f>
        <v>Option 2</v>
      </c>
      <c r="B30" s="138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325932.337098939</v>
      </c>
      <c r="G30" s="229">
        <f>output_dollars</f>
        <v>46203</v>
      </c>
      <c r="H30" s="31"/>
      <c r="I30" s="31">
        <f>Option2!I$36*conv_2026*I$7</f>
        <v>331587.0993564339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8" t="str">
        <f t="shared" si="7"/>
        <v>Option 2</v>
      </c>
      <c r="B31" s="138"/>
      <c r="C31" s="75"/>
      <c r="D31" s="38" t="str">
        <f t="shared" si="6"/>
        <v>Option 2</v>
      </c>
      <c r="E31" s="1"/>
      <c r="F31" s="97"/>
      <c r="G31" s="23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8" t="str">
        <f t="shared" si="7"/>
        <v>Option 2</v>
      </c>
      <c r="B32" s="138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-4538246.4601834947</v>
      </c>
      <c r="G32" s="229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-174532.07632408803</v>
      </c>
      <c r="K32" s="31">
        <f>Option2!K$82*conv_2026*K$7</f>
        <v>-349064.15264817607</v>
      </c>
      <c r="L32" s="31">
        <f>Option2!L$82*conv_2026*L$7</f>
        <v>-349064.15264817607</v>
      </c>
      <c r="M32" s="31">
        <f>Option2!M$82*conv_2026*M$7</f>
        <v>-349064.15264817607</v>
      </c>
      <c r="N32" s="31">
        <f>Option2!N$82*conv_2026*N$7</f>
        <v>-349064.15264817607</v>
      </c>
      <c r="O32" s="31">
        <f>Option2!O$82*conv_2026*O$7</f>
        <v>-349064.15264817607</v>
      </c>
      <c r="P32" s="31">
        <f>Option2!P$82*conv_2026*P$7</f>
        <v>-349064.15264817607</v>
      </c>
      <c r="Q32" s="31">
        <f>Option2!Q$82*conv_2026*Q$7</f>
        <v>-349064.15264817607</v>
      </c>
      <c r="R32" s="31">
        <f>Option2!R$82*conv_2026*R$7</f>
        <v>-349064.15264817607</v>
      </c>
      <c r="S32" s="31">
        <f>Option2!S$82*conv_2026*S$7</f>
        <v>-349064.15264817607</v>
      </c>
      <c r="T32" s="31">
        <f>Option2!T$82*conv_2026*T$7</f>
        <v>-349064.15264817607</v>
      </c>
      <c r="U32" s="31">
        <f>Option2!U$82*conv_2026*U$7</f>
        <v>-349064.15264817607</v>
      </c>
      <c r="V32" s="31">
        <f>Option2!V$82*conv_2026*V$7</f>
        <v>-349064.15264817607</v>
      </c>
      <c r="W32" s="31">
        <f>Option2!W$82*conv_2026*W$7</f>
        <v>-349064.15264817607</v>
      </c>
      <c r="X32" s="31">
        <f>Option2!X$82*conv_2026*X$7</f>
        <v>-349064.15264817607</v>
      </c>
      <c r="Y32" s="31">
        <f>Option2!Y$82*conv_2026*Y$7</f>
        <v>-349064.15264817607</v>
      </c>
      <c r="Z32" s="31">
        <f>Option2!Z$82*conv_2026*Z$7</f>
        <v>-349064.15264817607</v>
      </c>
      <c r="AA32" s="31">
        <f>Option2!AA$82*conv_2026*AA$7</f>
        <v>-349064.15264817607</v>
      </c>
      <c r="AB32" s="31">
        <f>Option2!AB$82*conv_2026*AB$7</f>
        <v>-349064.15264817607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8" t="str">
        <f t="shared" si="7"/>
        <v>Option 2</v>
      </c>
      <c r="B33" s="138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9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8" t="str">
        <f t="shared" si="7"/>
        <v>Option 2</v>
      </c>
      <c r="B34" s="138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14820059.111462098</v>
      </c>
      <c r="G34" s="229">
        <f t="shared" si="8"/>
        <v>46203</v>
      </c>
      <c r="H34" s="31"/>
      <c r="I34" s="31">
        <f>Option2!I$84*conv_2026*I$7</f>
        <v>0</v>
      </c>
      <c r="J34" s="31">
        <f>Option2!J$84*conv_2026*J$7</f>
        <v>394978.75070398749</v>
      </c>
      <c r="K34" s="31">
        <f>Option2!K$84*conv_2026*K$7</f>
        <v>521762.05339909456</v>
      </c>
      <c r="L34" s="31">
        <f>Option2!L$84*conv_2026*L$7</f>
        <v>648545.35609420168</v>
      </c>
      <c r="M34" s="31">
        <f>Option2!M$84*conv_2026*M$7</f>
        <v>760699.8161706425</v>
      </c>
      <c r="N34" s="31">
        <f>Option2!N$84*conv_2026*N$7</f>
        <v>887483.11886574957</v>
      </c>
      <c r="O34" s="31">
        <f>Option2!O$84*conv_2026*O$7</f>
        <v>1097163.1963999653</v>
      </c>
      <c r="P34" s="31">
        <f>Option2!P$84*conv_2026*P$7</f>
        <v>1350729.801790179</v>
      </c>
      <c r="Q34" s="31">
        <f>Option2!Q$84*conv_2026*Q$7</f>
        <v>1350729.801790179</v>
      </c>
      <c r="R34" s="31">
        <f>Option2!R$84*conv_2026*R$7</f>
        <v>1350729.801790179</v>
      </c>
      <c r="S34" s="31">
        <f>Option2!S$84*conv_2026*S$7</f>
        <v>1350729.801790179</v>
      </c>
      <c r="T34" s="31">
        <f>Option2!T$84*conv_2026*T$7</f>
        <v>1350729.801790179</v>
      </c>
      <c r="U34" s="31">
        <f>Option2!U$84*conv_2026*U$7</f>
        <v>1350729.801790179</v>
      </c>
      <c r="V34" s="31">
        <f>Option2!V$84*conv_2026*V$7</f>
        <v>1350729.801790179</v>
      </c>
      <c r="W34" s="31">
        <f>Option2!W$84*conv_2026*W$7</f>
        <v>1350729.801790179</v>
      </c>
      <c r="X34" s="31">
        <f>Option2!X$84*conv_2026*X$7</f>
        <v>1350729.801790179</v>
      </c>
      <c r="Y34" s="31">
        <f>Option2!Y$84*conv_2026*Y$7</f>
        <v>1350729.801790179</v>
      </c>
      <c r="Z34" s="31">
        <f>Option2!Z$84*conv_2026*Z$7</f>
        <v>1350729.801790179</v>
      </c>
      <c r="AA34" s="31">
        <f>Option2!AA$84*conv_2026*AA$7</f>
        <v>1350729.801790179</v>
      </c>
      <c r="AB34" s="31">
        <f>Option2!AB$84*conv_2026*AB$7</f>
        <v>1350729.801790179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8" t="str">
        <f t="shared" si="7"/>
        <v>Option 2</v>
      </c>
      <c r="B35" s="138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9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8" t="str">
        <f t="shared" si="7"/>
        <v>Option 2</v>
      </c>
      <c r="B36" s="138"/>
      <c r="C36" s="125" t="str">
        <f>Option2!C87</f>
        <v>Net benefits</v>
      </c>
      <c r="D36" s="109" t="str">
        <f t="shared" si="6"/>
        <v>Option 2Net benefits</v>
      </c>
      <c r="E36" s="110"/>
      <c r="F36" s="146"/>
      <c r="G36" s="231">
        <f t="shared" si="8"/>
        <v>46203</v>
      </c>
      <c r="H36" s="52"/>
      <c r="I36" s="52">
        <f>SUM(I32:I35)</f>
        <v>0</v>
      </c>
      <c r="J36" s="52">
        <f t="shared" ref="J36:AG36" si="9">SUM(J32:J35)</f>
        <v>220446.67437989946</v>
      </c>
      <c r="K36" s="52">
        <f t="shared" si="9"/>
        <v>172697.90075091849</v>
      </c>
      <c r="L36" s="52">
        <f t="shared" si="9"/>
        <v>299481.20344602561</v>
      </c>
      <c r="M36" s="52">
        <f t="shared" si="9"/>
        <v>411635.66352246644</v>
      </c>
      <c r="N36" s="52">
        <f t="shared" si="9"/>
        <v>538418.9662175735</v>
      </c>
      <c r="O36" s="52">
        <f t="shared" si="9"/>
        <v>748099.04375178926</v>
      </c>
      <c r="P36" s="52">
        <f t="shared" si="9"/>
        <v>1001665.6491420029</v>
      </c>
      <c r="Q36" s="52">
        <f t="shared" si="9"/>
        <v>1001665.6491420029</v>
      </c>
      <c r="R36" s="52">
        <f t="shared" si="9"/>
        <v>1001665.6491420029</v>
      </c>
      <c r="S36" s="52">
        <f t="shared" si="9"/>
        <v>1001665.6491420029</v>
      </c>
      <c r="T36" s="52">
        <f t="shared" si="9"/>
        <v>1001665.6491420029</v>
      </c>
      <c r="U36" s="52">
        <f t="shared" si="9"/>
        <v>1001665.6491420029</v>
      </c>
      <c r="V36" s="52">
        <f t="shared" si="9"/>
        <v>1001665.6491420029</v>
      </c>
      <c r="W36" s="52">
        <f t="shared" si="9"/>
        <v>1001665.6491420029</v>
      </c>
      <c r="X36" s="52">
        <f t="shared" si="9"/>
        <v>1001665.6491420029</v>
      </c>
      <c r="Y36" s="52">
        <f t="shared" si="9"/>
        <v>1001665.6491420029</v>
      </c>
      <c r="Z36" s="52">
        <f t="shared" si="9"/>
        <v>1001665.6491420029</v>
      </c>
      <c r="AA36" s="52">
        <f t="shared" si="9"/>
        <v>1001665.6491420029</v>
      </c>
      <c r="AB36" s="52">
        <f t="shared" si="9"/>
        <v>1001665.6491420029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8" t="str">
        <f t="shared" si="7"/>
        <v>Option 2</v>
      </c>
      <c r="B37" s="138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10281812.6512786</v>
      </c>
      <c r="G37" s="229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8" t="str">
        <f t="shared" si="7"/>
        <v>Option 2</v>
      </c>
      <c r="B38" s="138"/>
      <c r="C38" s="8" t="s">
        <v>189</v>
      </c>
      <c r="D38" s="38" t="str">
        <f t="shared" si="6"/>
        <v>Option 2PV of costs</v>
      </c>
      <c r="E38" s="1"/>
      <c r="F38" s="108">
        <f>SUM(F32:F33)</f>
        <v>-4538246.4601834947</v>
      </c>
      <c r="G38" s="229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8" t="str">
        <f t="shared" si="7"/>
        <v>Option 2</v>
      </c>
      <c r="B39" s="138"/>
      <c r="C39" s="8" t="s">
        <v>190</v>
      </c>
      <c r="D39" s="38" t="str">
        <f t="shared" si="6"/>
        <v>Option 2PV of benefits</v>
      </c>
      <c r="E39" s="1"/>
      <c r="F39" s="108">
        <f>SUM(F34:F35)</f>
        <v>14820059.111462098</v>
      </c>
      <c r="G39" s="229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8"/>
      <c r="B40" s="138"/>
      <c r="C40" s="1"/>
      <c r="D40" s="38"/>
      <c r="E40" s="1"/>
      <c r="F40" s="108"/>
      <c r="G40" s="232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5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5" customFormat="1" x14ac:dyDescent="0.2">
      <c r="A42" s="273" t="str">
        <f>A43</f>
        <v>Option 3</v>
      </c>
      <c r="B42" s="273"/>
      <c r="C42" s="273" t="s">
        <v>124</v>
      </c>
      <c r="D42" s="274" t="str">
        <f>A42&amp;C42</f>
        <v>Option 3Energy at risk value</v>
      </c>
      <c r="F42" s="97">
        <f>SUMPRODUCT($H42:$AG42, $H$5:$AG$5)</f>
        <v>1138376.527138829</v>
      </c>
      <c r="G42" s="276">
        <f>output_dollars</f>
        <v>46203</v>
      </c>
      <c r="H42" s="277"/>
      <c r="I42" s="31">
        <f>Option3!I$28*conv_2026</f>
        <v>331587.0993564339</v>
      </c>
      <c r="J42" s="31">
        <f>Option3!J$28*conv_2026</f>
        <v>14628.842618666202</v>
      </c>
      <c r="K42" s="31">
        <f>Option3!K$28*conv_2026</f>
        <v>14628.842618666202</v>
      </c>
      <c r="L42" s="31">
        <f>Option3!L$28*conv_2026</f>
        <v>14628.842618666202</v>
      </c>
      <c r="M42" s="31">
        <f>Option3!M$28*conv_2026</f>
        <v>14628.842618666202</v>
      </c>
      <c r="N42" s="31">
        <f>Option3!N$28*conv_2026</f>
        <v>48762.808728887343</v>
      </c>
      <c r="O42" s="31">
        <f>Option3!O$28*conv_2026</f>
        <v>63391.651347553539</v>
      </c>
      <c r="P42" s="31">
        <f>Option3!P$28*conv_2026</f>
        <v>63391.651347553539</v>
      </c>
      <c r="Q42" s="31">
        <f>Option3!Q$28*conv_2026</f>
        <v>63391.651347553539</v>
      </c>
      <c r="R42" s="31">
        <f>Option3!R$28*conv_2026</f>
        <v>63391.651347553539</v>
      </c>
      <c r="S42" s="31">
        <f>Option3!S$28*conv_2026</f>
        <v>63391.651347553539</v>
      </c>
      <c r="T42" s="31">
        <f>Option3!T$28*conv_2026</f>
        <v>63391.651347553539</v>
      </c>
      <c r="U42" s="31">
        <f>Option3!U$28*conv_2026</f>
        <v>63391.651347553539</v>
      </c>
      <c r="V42" s="31">
        <f>Option3!V$28*conv_2026</f>
        <v>63391.651347553539</v>
      </c>
      <c r="W42" s="31">
        <f>Option3!W$28*conv_2026</f>
        <v>63391.651347553539</v>
      </c>
      <c r="X42" s="31">
        <f>Option3!X$28*conv_2026</f>
        <v>63391.651347553539</v>
      </c>
      <c r="Y42" s="31">
        <f>Option3!Y$28*conv_2026</f>
        <v>63391.651347553539</v>
      </c>
      <c r="Z42" s="31">
        <f>Option3!Z$28*conv_2026</f>
        <v>63391.651347553539</v>
      </c>
      <c r="AA42" s="31">
        <f>Option3!AA$28*conv_2026</f>
        <v>63391.651347553539</v>
      </c>
      <c r="AB42" s="31">
        <f>Option3!AB$28*conv_2026</f>
        <v>63391.651347553539</v>
      </c>
      <c r="AC42" s="31">
        <f>Option3!AC$28*conv_2026</f>
        <v>63391.651347553539</v>
      </c>
      <c r="AD42" s="31">
        <f>Option3!AD$28*conv_2026</f>
        <v>63391.651347553539</v>
      </c>
      <c r="AE42" s="31">
        <f>Option3!AE$28*conv_2026</f>
        <v>63391.651347553539</v>
      </c>
      <c r="AF42" s="31">
        <f>Option3!AF$28*conv_2026</f>
        <v>63391.651347553539</v>
      </c>
      <c r="AG42" s="31">
        <f>Option3!AG$28*conv_2026</f>
        <v>63391.651347553539</v>
      </c>
    </row>
    <row r="43" spans="1:33" s="2" customFormat="1" x14ac:dyDescent="0.2">
      <c r="A43" s="138" t="str">
        <f>Data!B11</f>
        <v>Option 3</v>
      </c>
      <c r="B43" s="138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-9834282.6910157166</v>
      </c>
      <c r="G43" s="229">
        <f>output_dollars</f>
        <v>46203</v>
      </c>
      <c r="H43" s="31"/>
      <c r="I43" s="31">
        <f>SUM(Option3!I$67:I$69)*conv_2026*I$7</f>
        <v>-10004902.553670861</v>
      </c>
      <c r="J43" s="31">
        <f>SUM(Option3!J$67:J$69)*conv_2026*J$7</f>
        <v>0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8" t="str">
        <f t="shared" ref="A44:A53" si="10">A43</f>
        <v>Option 3</v>
      </c>
      <c r="B44" s="138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992038.21658916445</v>
      </c>
      <c r="G44" s="229">
        <f>output_dollars</f>
        <v>46203</v>
      </c>
      <c r="H44" s="31"/>
      <c r="I44" s="31">
        <f>Option3!I$36*conv_2026*I$7</f>
        <v>331587.0993564339</v>
      </c>
      <c r="J44" s="31">
        <f>Option3!J$36*conv_2026*J$7</f>
        <v>14628.842618666202</v>
      </c>
      <c r="K44" s="31">
        <f>Option3!K$36*conv_2026*K$7</f>
        <v>14628.842618666202</v>
      </c>
      <c r="L44" s="31">
        <f>Option3!L$36*conv_2026*L$7</f>
        <v>14628.842618666202</v>
      </c>
      <c r="M44" s="31">
        <f>Option3!M$36*conv_2026*M$7</f>
        <v>14628.842618666202</v>
      </c>
      <c r="N44" s="31">
        <f>Option3!N$36*conv_2026*N$7</f>
        <v>48762.808728887343</v>
      </c>
      <c r="O44" s="31">
        <f>Option3!O$36*conv_2026*O$7</f>
        <v>63391.651347553539</v>
      </c>
      <c r="P44" s="31">
        <f>Option3!P$36*conv_2026*P$7</f>
        <v>63391.651347553539</v>
      </c>
      <c r="Q44" s="31">
        <f>Option3!Q$36*conv_2026*Q$7</f>
        <v>63391.651347553539</v>
      </c>
      <c r="R44" s="31">
        <f>Option3!R$36*conv_2026*R$7</f>
        <v>63391.651347553539</v>
      </c>
      <c r="S44" s="31">
        <f>Option3!S$36*conv_2026*S$7</f>
        <v>63391.651347553539</v>
      </c>
      <c r="T44" s="31">
        <f>Option3!T$36*conv_2026*T$7</f>
        <v>63391.651347553539</v>
      </c>
      <c r="U44" s="31">
        <f>Option3!U$36*conv_2026*U$7</f>
        <v>63391.651347553539</v>
      </c>
      <c r="V44" s="31">
        <f>Option3!V$36*conv_2026*V$7</f>
        <v>63391.651347553539</v>
      </c>
      <c r="W44" s="31">
        <f>Option3!W$36*conv_2026*W$7</f>
        <v>63391.651347553539</v>
      </c>
      <c r="X44" s="31">
        <f>Option3!X$36*conv_2026*X$7</f>
        <v>63391.651347553539</v>
      </c>
      <c r="Y44" s="31">
        <f>Option3!Y$36*conv_2026*Y$7</f>
        <v>63391.651347553539</v>
      </c>
      <c r="Z44" s="31">
        <f>Option3!Z$36*conv_2026*Z$7</f>
        <v>63391.651347553539</v>
      </c>
      <c r="AA44" s="31">
        <f>Option3!AA$36*conv_2026*AA$7</f>
        <v>63391.651347553539</v>
      </c>
      <c r="AB44" s="31">
        <f>Option3!AB$36*conv_2026*AB$7</f>
        <v>63391.651347553539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8" t="str">
        <f t="shared" si="10"/>
        <v>Option 3</v>
      </c>
      <c r="B45" s="138"/>
      <c r="C45" s="58"/>
      <c r="D45" s="38"/>
      <c r="E45" s="1"/>
      <c r="F45" s="97"/>
      <c r="G45" s="229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8" t="str">
        <f t="shared" si="10"/>
        <v>Option 3</v>
      </c>
      <c r="B46" s="138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-5748150.2962510334</v>
      </c>
      <c r="G46" s="229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-426546.10971481766</v>
      </c>
      <c r="K46" s="31">
        <f>Option3!K$82*conv_2026*K$7</f>
        <v>-426546.10971481766</v>
      </c>
      <c r="L46" s="31">
        <f>Option3!L$82*conv_2026*L$7</f>
        <v>-426546.10971481766</v>
      </c>
      <c r="M46" s="31">
        <f>Option3!M$82*conv_2026*M$7</f>
        <v>-426546.10971481766</v>
      </c>
      <c r="N46" s="31">
        <f>Option3!N$82*conv_2026*N$7</f>
        <v>-426546.10971481766</v>
      </c>
      <c r="O46" s="31">
        <f>Option3!O$82*conv_2026*O$7</f>
        <v>-426546.10971481766</v>
      </c>
      <c r="P46" s="31">
        <f>Option3!P$82*conv_2026*P$7</f>
        <v>-426546.10971481766</v>
      </c>
      <c r="Q46" s="31">
        <f>Option3!Q$82*conv_2026*Q$7</f>
        <v>-426546.10971481766</v>
      </c>
      <c r="R46" s="31">
        <f>Option3!R$82*conv_2026*R$7</f>
        <v>-426546.10971481766</v>
      </c>
      <c r="S46" s="31">
        <f>Option3!S$82*conv_2026*S$7</f>
        <v>-426546.10971481766</v>
      </c>
      <c r="T46" s="31">
        <f>Option3!T$82*conv_2026*T$7</f>
        <v>-426546.10971481766</v>
      </c>
      <c r="U46" s="31">
        <f>Option3!U$82*conv_2026*U$7</f>
        <v>-426546.10971481766</v>
      </c>
      <c r="V46" s="31">
        <f>Option3!V$82*conv_2026*V$7</f>
        <v>-426546.10971481766</v>
      </c>
      <c r="W46" s="31">
        <f>Option3!W$82*conv_2026*W$7</f>
        <v>-426546.10971481766</v>
      </c>
      <c r="X46" s="31">
        <f>Option3!X$82*conv_2026*X$7</f>
        <v>-426546.10971481766</v>
      </c>
      <c r="Y46" s="31">
        <f>Option3!Y$82*conv_2026*Y$7</f>
        <v>-426546.10971481766</v>
      </c>
      <c r="Z46" s="31">
        <f>Option3!Z$82*conv_2026*Z$7</f>
        <v>-426546.10971481766</v>
      </c>
      <c r="AA46" s="31">
        <f>Option3!AA$82*conv_2026*AA$7</f>
        <v>-426546.10971481766</v>
      </c>
      <c r="AB46" s="31">
        <f>Option3!AB$82*conv_2026*AB$7</f>
        <v>-426546.10971481766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8" t="str">
        <f t="shared" si="10"/>
        <v>Option 3</v>
      </c>
      <c r="B47" s="138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9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8" t="str">
        <f t="shared" si="10"/>
        <v>Option 3</v>
      </c>
      <c r="B48" s="138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14153953.231971873</v>
      </c>
      <c r="G48" s="229">
        <f t="shared" si="12"/>
        <v>46203</v>
      </c>
      <c r="H48" s="31"/>
      <c r="I48" s="31">
        <f>Option3!I$84*conv_2026*I$7</f>
        <v>0</v>
      </c>
      <c r="J48" s="31">
        <f>Option3!J$84*conv_2026*J$7</f>
        <v>380349.90808532131</v>
      </c>
      <c r="K48" s="31">
        <f>Option3!K$84*conv_2026*K$7</f>
        <v>507133.21078042837</v>
      </c>
      <c r="L48" s="31">
        <f>Option3!L$84*conv_2026*L$7</f>
        <v>633916.51347553555</v>
      </c>
      <c r="M48" s="31">
        <f>Option3!M$84*conv_2026*M$7</f>
        <v>746070.97355197626</v>
      </c>
      <c r="N48" s="31">
        <f>Option3!N$84*conv_2026*N$7</f>
        <v>838720.31013686222</v>
      </c>
      <c r="O48" s="31">
        <f>Option3!O$84*conv_2026*O$7</f>
        <v>1033771.5450524117</v>
      </c>
      <c r="P48" s="31">
        <f>Option3!P$84*conv_2026*P$7</f>
        <v>1287338.1504426256</v>
      </c>
      <c r="Q48" s="31">
        <f>Option3!Q$84*conv_2026*Q$7</f>
        <v>1287338.1504426256</v>
      </c>
      <c r="R48" s="31">
        <f>Option3!R$84*conv_2026*R$7</f>
        <v>1287338.1504426256</v>
      </c>
      <c r="S48" s="31">
        <f>Option3!S$84*conv_2026*S$7</f>
        <v>1287338.1504426256</v>
      </c>
      <c r="T48" s="31">
        <f>Option3!T$84*conv_2026*T$7</f>
        <v>1287338.1504426256</v>
      </c>
      <c r="U48" s="31">
        <f>Option3!U$84*conv_2026*U$7</f>
        <v>1287338.1504426256</v>
      </c>
      <c r="V48" s="31">
        <f>Option3!V$84*conv_2026*V$7</f>
        <v>1287338.1504426256</v>
      </c>
      <c r="W48" s="31">
        <f>Option3!W$84*conv_2026*W$7</f>
        <v>1287338.1504426256</v>
      </c>
      <c r="X48" s="31">
        <f>Option3!X$84*conv_2026*X$7</f>
        <v>1287338.1504426256</v>
      </c>
      <c r="Y48" s="31">
        <f>Option3!Y$84*conv_2026*Y$7</f>
        <v>1287338.1504426256</v>
      </c>
      <c r="Z48" s="31">
        <f>Option3!Z$84*conv_2026*Z$7</f>
        <v>1287338.1504426256</v>
      </c>
      <c r="AA48" s="31">
        <f>Option3!AA$84*conv_2026*AA$7</f>
        <v>1287338.1504426256</v>
      </c>
      <c r="AB48" s="31">
        <f>Option3!AB$84*conv_2026*AB$7</f>
        <v>1287338.1504426256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8" t="str">
        <f t="shared" si="10"/>
        <v>Option 3</v>
      </c>
      <c r="B49" s="138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9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8" t="str">
        <f t="shared" si="10"/>
        <v>Option 3</v>
      </c>
      <c r="B50" s="138"/>
      <c r="C50" s="125" t="str">
        <f>Option3!C87</f>
        <v>Net benefits</v>
      </c>
      <c r="D50" s="109" t="str">
        <f t="shared" si="11"/>
        <v>Option 3Net benefits</v>
      </c>
      <c r="E50" s="110"/>
      <c r="F50" s="146"/>
      <c r="G50" s="231">
        <f t="shared" si="12"/>
        <v>46203</v>
      </c>
      <c r="H50" s="52"/>
      <c r="I50" s="52">
        <f t="shared" ref="I50:AB50" si="13">SUM(I46:I49)</f>
        <v>0</v>
      </c>
      <c r="J50" s="52">
        <f t="shared" si="13"/>
        <v>-46196.201629496354</v>
      </c>
      <c r="K50" s="52">
        <f t="shared" si="13"/>
        <v>80587.10106561071</v>
      </c>
      <c r="L50" s="52">
        <f t="shared" si="13"/>
        <v>207370.40376071789</v>
      </c>
      <c r="M50" s="52">
        <f t="shared" si="13"/>
        <v>319524.8638371586</v>
      </c>
      <c r="N50" s="52">
        <f t="shared" si="13"/>
        <v>412174.20042204455</v>
      </c>
      <c r="O50" s="52">
        <f t="shared" si="13"/>
        <v>607225.43533759401</v>
      </c>
      <c r="P50" s="52">
        <f t="shared" si="13"/>
        <v>860792.04072780791</v>
      </c>
      <c r="Q50" s="52">
        <f t="shared" si="13"/>
        <v>860792.04072780791</v>
      </c>
      <c r="R50" s="52">
        <f t="shared" si="13"/>
        <v>860792.04072780791</v>
      </c>
      <c r="S50" s="52">
        <f t="shared" si="13"/>
        <v>860792.04072780791</v>
      </c>
      <c r="T50" s="52">
        <f t="shared" si="13"/>
        <v>860792.04072780791</v>
      </c>
      <c r="U50" s="52">
        <f t="shared" si="13"/>
        <v>860792.04072780791</v>
      </c>
      <c r="V50" s="52">
        <f t="shared" si="13"/>
        <v>860792.04072780791</v>
      </c>
      <c r="W50" s="52">
        <f t="shared" si="13"/>
        <v>860792.04072780791</v>
      </c>
      <c r="X50" s="52">
        <f t="shared" si="13"/>
        <v>860792.04072780791</v>
      </c>
      <c r="Y50" s="52">
        <f t="shared" si="13"/>
        <v>860792.04072780791</v>
      </c>
      <c r="Z50" s="52">
        <f t="shared" si="13"/>
        <v>860792.04072780791</v>
      </c>
      <c r="AA50" s="52">
        <f t="shared" si="13"/>
        <v>860792.04072780791</v>
      </c>
      <c r="AB50" s="52">
        <f t="shared" si="13"/>
        <v>860792.04072780791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8" t="str">
        <f t="shared" si="10"/>
        <v>Option 3</v>
      </c>
      <c r="B51" s="138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8405802.9357208405</v>
      </c>
      <c r="G51" s="229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8" t="str">
        <f t="shared" si="10"/>
        <v>Option 3</v>
      </c>
      <c r="B52" s="138"/>
      <c r="C52" s="8" t="s">
        <v>189</v>
      </c>
      <c r="D52" s="38" t="str">
        <f t="shared" si="11"/>
        <v>Option 3PV of costs</v>
      </c>
      <c r="E52" s="1"/>
      <c r="F52" s="108">
        <f>SUM(F46:F47)</f>
        <v>-5748150.2962510334</v>
      </c>
      <c r="G52" s="229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8" t="str">
        <f t="shared" si="10"/>
        <v>Option 3</v>
      </c>
      <c r="B53" s="138"/>
      <c r="C53" s="8" t="s">
        <v>190</v>
      </c>
      <c r="D53" s="38" t="str">
        <f t="shared" si="11"/>
        <v>Option 3PV of benefits</v>
      </c>
      <c r="E53" s="1"/>
      <c r="F53" s="108">
        <f>SUM(F48:F49)</f>
        <v>14153953.231971873</v>
      </c>
      <c r="G53" s="229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8"/>
      <c r="B54" s="138"/>
      <c r="C54" s="1"/>
      <c r="D54" s="38"/>
      <c r="E54" s="1"/>
      <c r="F54" s="108"/>
      <c r="G54" s="232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5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5" customFormat="1" x14ac:dyDescent="0.2">
      <c r="A56" s="273" t="str">
        <f>A57</f>
        <v>Option 4</v>
      </c>
      <c r="B56" s="273"/>
      <c r="C56" s="273" t="s">
        <v>124</v>
      </c>
      <c r="D56" s="274" t="str">
        <f>A56&amp;C56</f>
        <v>Option 4Energy at risk value</v>
      </c>
      <c r="F56" s="97">
        <f>SUMPRODUCT($H56:$AG56, $H$5:$AG$5)</f>
        <v>1138376.527138829</v>
      </c>
      <c r="G56" s="276">
        <f>output_dollars</f>
        <v>46203</v>
      </c>
      <c r="H56" s="277"/>
      <c r="I56" s="31">
        <f>Option4!I$28*conv_2026</f>
        <v>331587.0993564339</v>
      </c>
      <c r="J56" s="31">
        <f>Option4!J$28*conv_2026</f>
        <v>14628.842618666202</v>
      </c>
      <c r="K56" s="31">
        <f>Option4!K$28*conv_2026</f>
        <v>14628.842618666202</v>
      </c>
      <c r="L56" s="31">
        <f>Option4!L$28*conv_2026</f>
        <v>14628.842618666202</v>
      </c>
      <c r="M56" s="31">
        <f>Option4!M$28*conv_2026</f>
        <v>14628.842618666202</v>
      </c>
      <c r="N56" s="31">
        <f>Option4!N$28*conv_2026</f>
        <v>48762.808728887343</v>
      </c>
      <c r="O56" s="31">
        <f>Option4!O$28*conv_2026</f>
        <v>63391.651347553539</v>
      </c>
      <c r="P56" s="31">
        <f>Option4!P$28*conv_2026</f>
        <v>63391.651347553539</v>
      </c>
      <c r="Q56" s="31">
        <f>Option4!Q$28*conv_2026</f>
        <v>63391.651347553539</v>
      </c>
      <c r="R56" s="31">
        <f>Option4!R$28*conv_2026</f>
        <v>63391.651347553539</v>
      </c>
      <c r="S56" s="31">
        <f>Option4!S$28*conv_2026</f>
        <v>63391.651347553539</v>
      </c>
      <c r="T56" s="31">
        <f>Option4!T$28*conv_2026</f>
        <v>63391.651347553539</v>
      </c>
      <c r="U56" s="31">
        <f>Option4!U$28*conv_2026</f>
        <v>63391.651347553539</v>
      </c>
      <c r="V56" s="31">
        <f>Option4!V$28*conv_2026</f>
        <v>63391.651347553539</v>
      </c>
      <c r="W56" s="31">
        <f>Option4!W$28*conv_2026</f>
        <v>63391.651347553539</v>
      </c>
      <c r="X56" s="31">
        <f>Option4!X$28*conv_2026</f>
        <v>63391.651347553539</v>
      </c>
      <c r="Y56" s="31">
        <f>Option4!Y$28*conv_2026</f>
        <v>63391.651347553539</v>
      </c>
      <c r="Z56" s="31">
        <f>Option4!Z$28*conv_2026</f>
        <v>63391.651347553539</v>
      </c>
      <c r="AA56" s="31">
        <f>Option4!AA$28*conv_2026</f>
        <v>63391.651347553539</v>
      </c>
      <c r="AB56" s="31">
        <f>Option4!AB$28*conv_2026</f>
        <v>63391.651347553539</v>
      </c>
      <c r="AC56" s="31">
        <f>Option4!AC$28*conv_2026</f>
        <v>63391.651347553539</v>
      </c>
      <c r="AD56" s="31">
        <f>Option4!AD$28*conv_2026</f>
        <v>63391.651347553539</v>
      </c>
      <c r="AE56" s="31">
        <f>Option4!AE$28*conv_2026</f>
        <v>63391.651347553539</v>
      </c>
      <c r="AF56" s="31">
        <f>Option4!AF$28*conv_2026</f>
        <v>63391.651347553539</v>
      </c>
      <c r="AG56" s="31">
        <f>Option4!AG$28*conv_2026</f>
        <v>63391.651347553539</v>
      </c>
    </row>
    <row r="57" spans="1:33" s="2" customFormat="1" x14ac:dyDescent="0.2">
      <c r="A57" s="138" t="str">
        <f>Data!B12</f>
        <v>Option 4</v>
      </c>
      <c r="B57" s="138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-13378784.050997131</v>
      </c>
      <c r="G57" s="229">
        <f>output_dollars</f>
        <v>46203</v>
      </c>
      <c r="H57" s="31"/>
      <c r="I57" s="31">
        <f>SUM(Option4!I$67:I$69)*conv_2026*I$7</f>
        <v>-13610899.231025396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8" t="str">
        <f t="shared" ref="A58:A67" si="15">A57</f>
        <v>Option 4</v>
      </c>
      <c r="B58" s="138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992038.21658916445</v>
      </c>
      <c r="G58" s="229">
        <f>output_dollars</f>
        <v>46203</v>
      </c>
      <c r="H58" s="31"/>
      <c r="I58" s="31">
        <f>Option4!I$36*conv_2026*I$7</f>
        <v>331587.0993564339</v>
      </c>
      <c r="J58" s="31">
        <f>Option4!J$36*conv_2026*J$7</f>
        <v>14628.842618666202</v>
      </c>
      <c r="K58" s="31">
        <f>Option4!K$36*conv_2026*K$7</f>
        <v>14628.842618666202</v>
      </c>
      <c r="L58" s="31">
        <f>Option4!L$36*conv_2026*L$7</f>
        <v>14628.842618666202</v>
      </c>
      <c r="M58" s="31">
        <f>Option4!M$36*conv_2026*M$7</f>
        <v>14628.842618666202</v>
      </c>
      <c r="N58" s="31">
        <f>Option4!N$36*conv_2026*N$7</f>
        <v>48762.808728887343</v>
      </c>
      <c r="O58" s="31">
        <f>Option4!O$36*conv_2026*O$7</f>
        <v>63391.651347553539</v>
      </c>
      <c r="P58" s="31">
        <f>Option4!P$36*conv_2026*P$7</f>
        <v>63391.651347553539</v>
      </c>
      <c r="Q58" s="31">
        <f>Option4!Q$36*conv_2026*Q$7</f>
        <v>63391.651347553539</v>
      </c>
      <c r="R58" s="31">
        <f>Option4!R$36*conv_2026*R$7</f>
        <v>63391.651347553539</v>
      </c>
      <c r="S58" s="31">
        <f>Option4!S$36*conv_2026*S$7</f>
        <v>63391.651347553539</v>
      </c>
      <c r="T58" s="31">
        <f>Option4!T$36*conv_2026*T$7</f>
        <v>63391.651347553539</v>
      </c>
      <c r="U58" s="31">
        <f>Option4!U$36*conv_2026*U$7</f>
        <v>63391.651347553539</v>
      </c>
      <c r="V58" s="31">
        <f>Option4!V$36*conv_2026*V$7</f>
        <v>63391.651347553539</v>
      </c>
      <c r="W58" s="31">
        <f>Option4!W$36*conv_2026*W$7</f>
        <v>63391.651347553539</v>
      </c>
      <c r="X58" s="31">
        <f>Option4!X$36*conv_2026*X$7</f>
        <v>63391.651347553539</v>
      </c>
      <c r="Y58" s="31">
        <f>Option4!Y$36*conv_2026*Y$7</f>
        <v>63391.651347553539</v>
      </c>
      <c r="Z58" s="31">
        <f>Option4!Z$36*conv_2026*Z$7</f>
        <v>63391.651347553539</v>
      </c>
      <c r="AA58" s="31">
        <f>Option4!AA$36*conv_2026*AA$7</f>
        <v>63391.651347553539</v>
      </c>
      <c r="AB58" s="31">
        <f>Option4!AB$36*conv_2026*AB$7</f>
        <v>63391.651347553539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8" t="str">
        <f t="shared" si="15"/>
        <v>Option 4</v>
      </c>
      <c r="B59" s="138"/>
      <c r="C59" s="75"/>
      <c r="D59" s="38" t="str">
        <f t="shared" si="14"/>
        <v>Option 4</v>
      </c>
      <c r="E59" s="1"/>
      <c r="F59"/>
      <c r="G59" s="23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8" t="str">
        <f t="shared" si="15"/>
        <v>Option 4</v>
      </c>
      <c r="B60" s="138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-7819915.6890694313</v>
      </c>
      <c r="G60" s="229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-580283.12475508789</v>
      </c>
      <c r="K60" s="31">
        <f>Option4!K$82*conv_2026*K$7</f>
        <v>-580283.12475508789</v>
      </c>
      <c r="L60" s="31">
        <f>Option4!L$82*conv_2026*L$7</f>
        <v>-580283.12475508789</v>
      </c>
      <c r="M60" s="31">
        <f>Option4!M$82*conv_2026*M$7</f>
        <v>-580283.12475508789</v>
      </c>
      <c r="N60" s="31">
        <f>Option4!N$82*conv_2026*N$7</f>
        <v>-580283.12475508789</v>
      </c>
      <c r="O60" s="31">
        <f>Option4!O$82*conv_2026*O$7</f>
        <v>-580283.12475508789</v>
      </c>
      <c r="P60" s="31">
        <f>Option4!P$82*conv_2026*P$7</f>
        <v>-580283.12475508789</v>
      </c>
      <c r="Q60" s="31">
        <f>Option4!Q$82*conv_2026*Q$7</f>
        <v>-580283.12475508789</v>
      </c>
      <c r="R60" s="31">
        <f>Option4!R$82*conv_2026*R$7</f>
        <v>-580283.12475508789</v>
      </c>
      <c r="S60" s="31">
        <f>Option4!S$82*conv_2026*S$7</f>
        <v>-580283.12475508789</v>
      </c>
      <c r="T60" s="31">
        <f>Option4!T$82*conv_2026*T$7</f>
        <v>-580283.12475508789</v>
      </c>
      <c r="U60" s="31">
        <f>Option4!U$82*conv_2026*U$7</f>
        <v>-580283.12475508789</v>
      </c>
      <c r="V60" s="31">
        <f>Option4!V$82*conv_2026*V$7</f>
        <v>-580283.12475508789</v>
      </c>
      <c r="W60" s="31">
        <f>Option4!W$82*conv_2026*W$7</f>
        <v>-580283.12475508789</v>
      </c>
      <c r="X60" s="31">
        <f>Option4!X$82*conv_2026*X$7</f>
        <v>-580283.12475508789</v>
      </c>
      <c r="Y60" s="31">
        <f>Option4!Y$82*conv_2026*Y$7</f>
        <v>-580283.12475508789</v>
      </c>
      <c r="Z60" s="31">
        <f>Option4!Z$82*conv_2026*Z$7</f>
        <v>-580283.12475508789</v>
      </c>
      <c r="AA60" s="31">
        <f>Option4!AA$82*conv_2026*AA$7</f>
        <v>-580283.12475508789</v>
      </c>
      <c r="AB60" s="31">
        <f>Option4!AB$82*conv_2026*AB$7</f>
        <v>-580283.12475508789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8" t="str">
        <f t="shared" si="15"/>
        <v>Option 4</v>
      </c>
      <c r="B61" s="138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9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8" t="str">
        <f t="shared" si="15"/>
        <v>Option 4</v>
      </c>
      <c r="B62" s="138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14153953.231971873</v>
      </c>
      <c r="G62" s="229">
        <f t="shared" si="16"/>
        <v>46203</v>
      </c>
      <c r="H62" s="31"/>
      <c r="I62" s="31">
        <f>Option4!I$84*conv_2026*I$7</f>
        <v>0</v>
      </c>
      <c r="J62" s="31">
        <f>Option4!J$84*conv_2026*J$7</f>
        <v>380349.90808532131</v>
      </c>
      <c r="K62" s="31">
        <f>Option4!K$84*conv_2026*K$7</f>
        <v>507133.21078042837</v>
      </c>
      <c r="L62" s="31">
        <f>Option4!L$84*conv_2026*L$7</f>
        <v>633916.51347553555</v>
      </c>
      <c r="M62" s="31">
        <f>Option4!M$84*conv_2026*M$7</f>
        <v>746070.97355197626</v>
      </c>
      <c r="N62" s="31">
        <f>Option4!N$84*conv_2026*N$7</f>
        <v>838720.31013686222</v>
      </c>
      <c r="O62" s="31">
        <f>Option4!O$84*conv_2026*O$7</f>
        <v>1033771.5450524117</v>
      </c>
      <c r="P62" s="31">
        <f>Option4!P$84*conv_2026*P$7</f>
        <v>1287338.1504426256</v>
      </c>
      <c r="Q62" s="31">
        <f>Option4!Q$84*conv_2026*Q$7</f>
        <v>1287338.1504426256</v>
      </c>
      <c r="R62" s="31">
        <f>Option4!R$84*conv_2026*R$7</f>
        <v>1287338.1504426256</v>
      </c>
      <c r="S62" s="31">
        <f>Option4!S$84*conv_2026*S$7</f>
        <v>1287338.1504426256</v>
      </c>
      <c r="T62" s="31">
        <f>Option4!T$84*conv_2026*T$7</f>
        <v>1287338.1504426256</v>
      </c>
      <c r="U62" s="31">
        <f>Option4!U$84*conv_2026*U$7</f>
        <v>1287338.1504426256</v>
      </c>
      <c r="V62" s="31">
        <f>Option4!V$84*conv_2026*V$7</f>
        <v>1287338.1504426256</v>
      </c>
      <c r="W62" s="31">
        <f>Option4!W$84*conv_2026*W$7</f>
        <v>1287338.1504426256</v>
      </c>
      <c r="X62" s="31">
        <f>Option4!X$84*conv_2026*X$7</f>
        <v>1287338.1504426256</v>
      </c>
      <c r="Y62" s="31">
        <f>Option4!Y$84*conv_2026*Y$7</f>
        <v>1287338.1504426256</v>
      </c>
      <c r="Z62" s="31">
        <f>Option4!Z$84*conv_2026*Z$7</f>
        <v>1287338.1504426256</v>
      </c>
      <c r="AA62" s="31">
        <f>Option4!AA$84*conv_2026*AA$7</f>
        <v>1287338.1504426256</v>
      </c>
      <c r="AB62" s="31">
        <f>Option4!AB$84*conv_2026*AB$7</f>
        <v>1287338.1504426256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8" t="str">
        <f t="shared" si="15"/>
        <v>Option 4</v>
      </c>
      <c r="B63" s="138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9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8" t="str">
        <f t="shared" si="15"/>
        <v>Option 4</v>
      </c>
      <c r="B64" s="138"/>
      <c r="C64" s="125" t="str">
        <f>Option4!C87</f>
        <v>Net benefits</v>
      </c>
      <c r="D64" s="109" t="str">
        <f t="shared" si="14"/>
        <v>Option 4Net benefits</v>
      </c>
      <c r="E64" s="110"/>
      <c r="F64" s="146"/>
      <c r="G64" s="231">
        <f t="shared" si="16"/>
        <v>46203</v>
      </c>
      <c r="H64" s="52"/>
      <c r="I64" s="52">
        <f t="shared" ref="I64:AB64" si="17">SUM(I60:I63)</f>
        <v>0</v>
      </c>
      <c r="J64" s="52">
        <f t="shared" si="17"/>
        <v>-199933.21666976658</v>
      </c>
      <c r="K64" s="52">
        <f t="shared" si="17"/>
        <v>-73149.913974659517</v>
      </c>
      <c r="L64" s="52">
        <f t="shared" si="17"/>
        <v>53633.388720447663</v>
      </c>
      <c r="M64" s="52">
        <f t="shared" si="17"/>
        <v>165787.84879688837</v>
      </c>
      <c r="N64" s="52">
        <f t="shared" si="17"/>
        <v>258437.18538177432</v>
      </c>
      <c r="O64" s="52">
        <f t="shared" si="17"/>
        <v>453488.42029732384</v>
      </c>
      <c r="P64" s="52">
        <f t="shared" si="17"/>
        <v>707055.02568753774</v>
      </c>
      <c r="Q64" s="52">
        <f t="shared" si="17"/>
        <v>707055.02568753774</v>
      </c>
      <c r="R64" s="52">
        <f t="shared" si="17"/>
        <v>707055.02568753774</v>
      </c>
      <c r="S64" s="52">
        <f t="shared" si="17"/>
        <v>707055.02568753774</v>
      </c>
      <c r="T64" s="52">
        <f t="shared" si="17"/>
        <v>707055.02568753774</v>
      </c>
      <c r="U64" s="52">
        <f t="shared" si="17"/>
        <v>707055.02568753774</v>
      </c>
      <c r="V64" s="52">
        <f t="shared" si="17"/>
        <v>707055.02568753774</v>
      </c>
      <c r="W64" s="52">
        <f t="shared" si="17"/>
        <v>707055.02568753774</v>
      </c>
      <c r="X64" s="52">
        <f t="shared" si="17"/>
        <v>707055.02568753774</v>
      </c>
      <c r="Y64" s="52">
        <f t="shared" si="17"/>
        <v>707055.02568753774</v>
      </c>
      <c r="Z64" s="52">
        <f t="shared" si="17"/>
        <v>707055.02568753774</v>
      </c>
      <c r="AA64" s="52">
        <f t="shared" si="17"/>
        <v>707055.02568753774</v>
      </c>
      <c r="AB64" s="52">
        <f t="shared" si="17"/>
        <v>707055.02568753774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8" t="str">
        <f t="shared" si="15"/>
        <v>Option 4</v>
      </c>
      <c r="B65" s="138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6334037.5429024417</v>
      </c>
      <c r="G65" s="229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8" t="str">
        <f t="shared" si="15"/>
        <v>Option 4</v>
      </c>
      <c r="B66" s="138"/>
      <c r="C66" s="8" t="s">
        <v>189</v>
      </c>
      <c r="D66" s="38" t="str">
        <f t="shared" si="14"/>
        <v>Option 4PV of costs</v>
      </c>
      <c r="E66" s="1"/>
      <c r="F66" s="108">
        <f>SUM(F60:F61)</f>
        <v>-7819915.6890694313</v>
      </c>
      <c r="G66" s="229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8" t="str">
        <f t="shared" si="15"/>
        <v>Option 4</v>
      </c>
      <c r="B67" s="138"/>
      <c r="C67" s="8" t="s">
        <v>190</v>
      </c>
      <c r="D67" s="38" t="str">
        <f t="shared" si="14"/>
        <v>Option 4PV of benefits</v>
      </c>
      <c r="E67" s="1"/>
      <c r="F67" s="108">
        <f>SUM(F62:F63)</f>
        <v>14153953.231971873</v>
      </c>
      <c r="G67" s="229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8"/>
      <c r="B68" s="138"/>
      <c r="C68" s="1"/>
      <c r="D68" s="38"/>
      <c r="E68" s="1"/>
      <c r="F68" s="108"/>
      <c r="G68" s="232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5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5" customFormat="1" x14ac:dyDescent="0.2">
      <c r="A70" s="273" t="str">
        <f>A71</f>
        <v>Option 5</v>
      </c>
      <c r="B70" s="273"/>
      <c r="C70" s="273" t="s">
        <v>124</v>
      </c>
      <c r="D70" s="274" t="str">
        <f t="shared" si="18"/>
        <v>Option 5Energy at risk value</v>
      </c>
      <c r="F70" s="97">
        <f>SUMPRODUCT($H70:$AG70, $H$5:$AG$5)</f>
        <v>0</v>
      </c>
      <c r="G70" s="276">
        <f>output_dollars</f>
        <v>46203</v>
      </c>
      <c r="H70" s="277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8" t="str">
        <f>Data!B13</f>
        <v>Option 5</v>
      </c>
      <c r="B71" s="138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9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8" t="str">
        <f t="shared" ref="A72:A81" si="19">A71</f>
        <v>Option 5</v>
      </c>
      <c r="B72" s="138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9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8" t="str">
        <f t="shared" si="19"/>
        <v>Option 5</v>
      </c>
      <c r="B73" s="138"/>
      <c r="C73" s="75"/>
      <c r="D73" s="38" t="str">
        <f t="shared" si="18"/>
        <v>Option 5</v>
      </c>
      <c r="E73" s="1"/>
      <c r="F73"/>
      <c r="G73" s="23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8" t="str">
        <f t="shared" si="19"/>
        <v>Option 5</v>
      </c>
      <c r="B74" s="138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9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8" t="str">
        <f t="shared" si="19"/>
        <v>Option 5</v>
      </c>
      <c r="B75" s="138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9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8" t="str">
        <f t="shared" si="19"/>
        <v>Option 5</v>
      </c>
      <c r="B76" s="138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9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8" t="str">
        <f t="shared" si="19"/>
        <v>Option 5</v>
      </c>
      <c r="B77" s="138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9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8" t="str">
        <f t="shared" si="19"/>
        <v>Option 5</v>
      </c>
      <c r="B78" s="138"/>
      <c r="C78" s="125" t="str">
        <f>Option5!C87</f>
        <v>Net benefits</v>
      </c>
      <c r="D78" s="109" t="str">
        <f t="shared" si="18"/>
        <v>Option 5Net benefits</v>
      </c>
      <c r="E78" s="110"/>
      <c r="F78" s="146"/>
      <c r="G78" s="231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8" t="str">
        <f t="shared" si="19"/>
        <v>Option 5</v>
      </c>
      <c r="B79" s="138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9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8" t="str">
        <f t="shared" si="19"/>
        <v>Option 5</v>
      </c>
      <c r="B80" s="138"/>
      <c r="C80" s="8" t="s">
        <v>189</v>
      </c>
      <c r="D80" s="38" t="str">
        <f t="shared" si="18"/>
        <v>Option 5PV of costs</v>
      </c>
      <c r="E80" s="1"/>
      <c r="F80" s="108">
        <f>SUM(F74:F75)</f>
        <v>0</v>
      </c>
      <c r="G80" s="229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8" t="str">
        <f t="shared" si="19"/>
        <v>Option 5</v>
      </c>
      <c r="B81" s="138"/>
      <c r="C81" s="8" t="s">
        <v>190</v>
      </c>
      <c r="D81" s="38" t="str">
        <f t="shared" si="18"/>
        <v>Option 5PV of benefits</v>
      </c>
      <c r="E81" s="1"/>
      <c r="F81" s="108">
        <f>SUM(F76:F77)</f>
        <v>0</v>
      </c>
      <c r="G81" s="229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5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3"/>
    </row>
    <row r="84" spans="1:33" ht="12" x14ac:dyDescent="0.2">
      <c r="E84" s="84"/>
      <c r="G84" s="233"/>
    </row>
    <row r="85" spans="1:33" ht="12" x14ac:dyDescent="0.2">
      <c r="E85" s="84"/>
      <c r="G85" s="233"/>
    </row>
    <row r="86" spans="1:33" ht="12" x14ac:dyDescent="0.2">
      <c r="E86" s="84"/>
      <c r="G86" s="233"/>
    </row>
    <row r="87" spans="1:33" ht="12" x14ac:dyDescent="0.2">
      <c r="E87" s="10"/>
      <c r="G87" s="233"/>
    </row>
    <row r="88" spans="1:33" ht="15" x14ac:dyDescent="0.25">
      <c r="A88" s="206" t="s">
        <v>202</v>
      </c>
      <c r="B88" s="54"/>
      <c r="C88" s="19"/>
      <c r="D88" s="19"/>
      <c r="E88" s="83"/>
      <c r="F88" s="19"/>
      <c r="G88" s="227"/>
      <c r="H88" s="227"/>
      <c r="I88" s="203" t="str">
        <f>"FY"&amp;RIGHT(I$9,2)</f>
        <v>FY27</v>
      </c>
      <c r="J88" s="203" t="str">
        <f t="shared" ref="J88:AG88" si="22">"FY"&amp;RIGHT(J$9,2)</f>
        <v>FY28</v>
      </c>
      <c r="K88" s="203" t="str">
        <f t="shared" si="22"/>
        <v>FY29</v>
      </c>
      <c r="L88" s="203" t="str">
        <f t="shared" si="22"/>
        <v>FY30</v>
      </c>
      <c r="M88" s="203" t="str">
        <f t="shared" si="22"/>
        <v>FY31</v>
      </c>
      <c r="N88" s="203" t="str">
        <f t="shared" si="22"/>
        <v>FY32</v>
      </c>
      <c r="O88" s="203" t="str">
        <f t="shared" si="22"/>
        <v>FY33</v>
      </c>
      <c r="P88" s="203" t="str">
        <f t="shared" si="22"/>
        <v>FY34</v>
      </c>
      <c r="Q88" s="203" t="str">
        <f t="shared" si="22"/>
        <v>FY35</v>
      </c>
      <c r="R88" s="203" t="str">
        <f t="shared" si="22"/>
        <v>FY36</v>
      </c>
      <c r="S88" s="203" t="str">
        <f t="shared" si="22"/>
        <v>FY37</v>
      </c>
      <c r="T88" s="203" t="str">
        <f t="shared" si="22"/>
        <v>FY38</v>
      </c>
      <c r="U88" s="203" t="str">
        <f t="shared" si="22"/>
        <v>FY39</v>
      </c>
      <c r="V88" s="203" t="str">
        <f t="shared" si="22"/>
        <v>FY40</v>
      </c>
      <c r="W88" s="203" t="str">
        <f t="shared" si="22"/>
        <v>FY41</v>
      </c>
      <c r="X88" s="203" t="str">
        <f t="shared" si="22"/>
        <v>FY42</v>
      </c>
      <c r="Y88" s="203" t="str">
        <f t="shared" si="22"/>
        <v>FY43</v>
      </c>
      <c r="Z88" s="203" t="str">
        <f t="shared" si="22"/>
        <v>FY44</v>
      </c>
      <c r="AA88" s="203" t="str">
        <f t="shared" si="22"/>
        <v>FY45</v>
      </c>
      <c r="AB88" s="203" t="str">
        <f t="shared" si="22"/>
        <v>FY46</v>
      </c>
      <c r="AC88" s="203" t="str">
        <f t="shared" si="22"/>
        <v>FY47</v>
      </c>
      <c r="AD88" s="203" t="str">
        <f t="shared" si="22"/>
        <v>FY48</v>
      </c>
      <c r="AE88" s="203" t="str">
        <f t="shared" si="22"/>
        <v>FY49</v>
      </c>
      <c r="AF88" s="203" t="str">
        <f t="shared" si="22"/>
        <v>FY50</v>
      </c>
      <c r="AG88" s="203" t="str">
        <f t="shared" si="22"/>
        <v>FY51</v>
      </c>
    </row>
    <row r="89" spans="1:33" ht="12" x14ac:dyDescent="0.2">
      <c r="E89" s="84"/>
      <c r="G89" s="233"/>
    </row>
    <row r="90" spans="1:33" ht="12" x14ac:dyDescent="0.2">
      <c r="E90" s="84"/>
    </row>
    <row r="91" spans="1:33" x14ac:dyDescent="0.2">
      <c r="A91" s="202" t="str">
        <f>Summary!$C$26</f>
        <v>Option 2</v>
      </c>
      <c r="B91" s="142"/>
      <c r="C91" s="200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302" cm="1">
        <f t="array" ref="I91">MAX($D91*INDEX(I$15:W$81, MATCH($A91&amp;$C91, $D$15:$D$81,0),))/mill_conv</f>
        <v>0.34906415264817608</v>
      </c>
      <c r="J91" s="302" cm="1">
        <f t="array" ref="J91">MAX($D91*INDEX(J$15:X$81, MATCH($A91&amp;$C91, $D$15:$D$81,0),))/mill_conv</f>
        <v>0.34906415264817608</v>
      </c>
      <c r="K91" s="302" cm="1">
        <f t="array" ref="K91">MAX($D91*INDEX(K$15:Y$81, MATCH($A91&amp;$C91, $D$15:$D$81,0),))/mill_conv</f>
        <v>0.34906415264817608</v>
      </c>
      <c r="L91" s="302" cm="1">
        <f t="array" ref="L91">MAX($D91*INDEX(L$15:Z$81, MATCH($A91&amp;$C91, $D$15:$D$81,0),))/mill_conv</f>
        <v>0.34906415264817608</v>
      </c>
      <c r="M91" s="302" cm="1">
        <f t="array" ref="M91">MAX($D91*INDEX(M$15:AA$81, MATCH($A91&amp;$C91, $D$15:$D$81,0),))/mill_conv</f>
        <v>0.34906415264817608</v>
      </c>
      <c r="N91" s="302" cm="1">
        <f t="array" ref="N91">MAX($D91*INDEX(N$15:AB$81, MATCH($A91&amp;$C91, $D$15:$D$81,0),))/mill_conv</f>
        <v>0.34906415264817608</v>
      </c>
      <c r="O91" s="302" cm="1">
        <f t="array" ref="O91">MAX($D91*INDEX(O$15:AC$81, MATCH($A91&amp;$C91, $D$15:$D$81,0),))/mill_conv</f>
        <v>0.34906415264817608</v>
      </c>
      <c r="P91" s="302" cm="1">
        <f t="array" ref="P91">MAX($D91*INDEX(P$15:AD$81, MATCH($A91&amp;$C91, $D$15:$D$81,0),))/mill_conv</f>
        <v>0.34906415264817608</v>
      </c>
      <c r="Q91" s="302" cm="1">
        <f t="array" ref="Q91">MAX($D91*INDEX(Q$15:AE$81, MATCH($A91&amp;$C91, $D$15:$D$81,0),))/mill_conv</f>
        <v>0.34906415264817608</v>
      </c>
      <c r="R91" s="302" cm="1">
        <f t="array" ref="R91">MAX($D91*INDEX(R$15:AF$81, MATCH($A91&amp;$C91, $D$15:$D$81,0),))/mill_conv</f>
        <v>0.34906415264817608</v>
      </c>
      <c r="S91" s="302" cm="1">
        <f t="array" ref="S91">MAX($D91*INDEX(S$15:AG$81, MATCH($A91&amp;$C91, $D$15:$D$81,0),))/mill_conv</f>
        <v>0.34906415264817608</v>
      </c>
      <c r="T91" s="302" cm="1">
        <f t="array" ref="T91">MAX($D91*INDEX(T$15:AH$81, MATCH($A91&amp;$C91, $D$15:$D$81,0),))/mill_conv</f>
        <v>0.34906415264817608</v>
      </c>
      <c r="U91" s="302" cm="1">
        <f t="array" ref="U91">MAX($D91*INDEX(U$15:AI$81, MATCH($A91&amp;$C91, $D$15:$D$81,0),))/mill_conv</f>
        <v>0.34906415264817608</v>
      </c>
      <c r="V91" s="302" cm="1">
        <f t="array" ref="V91">MAX($D91*INDEX(V$15:AJ$81, MATCH($A91&amp;$C91, $D$15:$D$81,0),))/mill_conv</f>
        <v>0.34906415264817608</v>
      </c>
      <c r="W91" s="302" cm="1">
        <f t="array" ref="W91">MAX($D91*INDEX(W$15:AK$81, MATCH($A91&amp;$C91, $D$15:$D$81,0),))/mill_conv</f>
        <v>0.34906415264817608</v>
      </c>
      <c r="X91" s="302" cm="1">
        <f t="array" ref="X91">MAX($D91*INDEX(X$15:AL$81, MATCH($A91&amp;$C91, $D$15:$D$81,0),))/mill_conv</f>
        <v>0.34906415264817608</v>
      </c>
      <c r="Y91" s="302" cm="1">
        <f t="array" ref="Y91">MAX($D91*INDEX(Y$15:AM$81, MATCH($A91&amp;$C91, $D$15:$D$81,0),))/mill_conv</f>
        <v>0.34906415264817608</v>
      </c>
      <c r="Z91" s="302" cm="1">
        <f t="array" ref="Z91">MAX($D91*INDEX(Z$15:AN$81, MATCH($A91&amp;$C91, $D$15:$D$81,0),))/mill_conv</f>
        <v>0.34906415264817608</v>
      </c>
      <c r="AA91" s="302" cm="1">
        <f t="array" ref="AA91">MAX($D91*INDEX(AA$15:AO$81, MATCH($A91&amp;$C91, $D$15:$D$81,0),))/mill_conv</f>
        <v>0.34906415264817608</v>
      </c>
      <c r="AB91" s="302" cm="1">
        <f t="array" ref="AB91">MAX($D91*INDEX(AB$15:AP$81, MATCH($A91&amp;$C91, $D$15:$D$81,0),))/mill_conv</f>
        <v>0.34906415264817608</v>
      </c>
      <c r="AC91" s="302" cm="1">
        <f t="array" ref="AC91">MAX($D91*INDEX(AC$15:AQ$81, MATCH($A91&amp;$C91, $D$15:$D$81,0),))/mill_conv</f>
        <v>0</v>
      </c>
      <c r="AD91" s="302" cm="1">
        <f t="array" ref="AD91">MAX($D91*INDEX(AD$15:AR$81, MATCH($A91&amp;$C91, $D$15:$D$81,0),))/mill_conv</f>
        <v>0</v>
      </c>
      <c r="AE91" s="302" cm="1">
        <f t="array" ref="AE91">MAX($D91*INDEX(AE$15:AS$81, MATCH($A91&amp;$C91, $D$15:$D$81,0),))/mill_conv</f>
        <v>0</v>
      </c>
      <c r="AF91" s="302" cm="1">
        <f t="array" ref="AF91">MAX($D91*INDEX(AF$15:AT$81, MATCH($A91&amp;$C91, $D$15:$D$81,0),))/mill_conv</f>
        <v>0</v>
      </c>
      <c r="AG91" s="302" cm="1">
        <f t="array" ref="AG91">MAX($D91*INDEX(AG$15:AU$81, MATCH($A91&amp;$C91, $D$15:$D$81,0),))/mill_conv</f>
        <v>0</v>
      </c>
    </row>
    <row r="92" spans="1:33" x14ac:dyDescent="0.2">
      <c r="A92" s="201" t="str">
        <f>A16</f>
        <v>Option 1 (base case)</v>
      </c>
      <c r="B92" s="142"/>
      <c r="C92" s="201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302">
        <f t="shared" ref="I92:R92" si="23">$D92*INDEX(I$15:I$81, MATCH($A92&amp;$C92, $D$15:$D$81,0))/mill_conv</f>
        <v>0.33158709935643388</v>
      </c>
      <c r="J92" s="302">
        <f t="shared" si="23"/>
        <v>0.39497875070398747</v>
      </c>
      <c r="K92" s="302">
        <f t="shared" si="23"/>
        <v>0.52176205339909454</v>
      </c>
      <c r="L92" s="302">
        <f t="shared" si="23"/>
        <v>0.64854535609420172</v>
      </c>
      <c r="M92" s="302">
        <f t="shared" si="23"/>
        <v>0.76069981617064253</v>
      </c>
      <c r="N92" s="302">
        <f t="shared" si="23"/>
        <v>0.8874831188657496</v>
      </c>
      <c r="O92" s="302">
        <f t="shared" si="23"/>
        <v>1.0971631963999653</v>
      </c>
      <c r="P92" s="302">
        <f t="shared" si="23"/>
        <v>1.350729801790179</v>
      </c>
      <c r="Q92" s="302">
        <f t="shared" si="23"/>
        <v>1.350729801790179</v>
      </c>
      <c r="R92" s="302">
        <f t="shared" si="23"/>
        <v>1.350729801790179</v>
      </c>
      <c r="S92" s="302">
        <f t="shared" ref="S92:AG92" si="24">$D92*INDEX(S$15:S$81, MATCH($A92&amp;$C92, $D$15:$D$81,0))/mill_conv</f>
        <v>1.350729801790179</v>
      </c>
      <c r="T92" s="302">
        <f t="shared" si="24"/>
        <v>1.350729801790179</v>
      </c>
      <c r="U92" s="302">
        <f t="shared" si="24"/>
        <v>1.350729801790179</v>
      </c>
      <c r="V92" s="302">
        <f t="shared" si="24"/>
        <v>1.350729801790179</v>
      </c>
      <c r="W92" s="302">
        <f t="shared" si="24"/>
        <v>1.350729801790179</v>
      </c>
      <c r="X92" s="302">
        <f t="shared" si="24"/>
        <v>1.350729801790179</v>
      </c>
      <c r="Y92" s="302">
        <f t="shared" si="24"/>
        <v>1.350729801790179</v>
      </c>
      <c r="Z92" s="302">
        <f t="shared" si="24"/>
        <v>1.350729801790179</v>
      </c>
      <c r="AA92" s="302">
        <f t="shared" si="24"/>
        <v>1.350729801790179</v>
      </c>
      <c r="AB92" s="302">
        <f t="shared" si="24"/>
        <v>1.350729801790179</v>
      </c>
      <c r="AC92" s="302">
        <f t="shared" si="24"/>
        <v>1.350729801790179</v>
      </c>
      <c r="AD92" s="302">
        <f t="shared" si="24"/>
        <v>1.350729801790179</v>
      </c>
      <c r="AE92" s="302">
        <f t="shared" si="24"/>
        <v>1.350729801790179</v>
      </c>
      <c r="AF92" s="302">
        <f t="shared" si="24"/>
        <v>1.350729801790179</v>
      </c>
      <c r="AG92" s="302">
        <f t="shared" si="24"/>
        <v>1.350729801790179</v>
      </c>
    </row>
    <row r="93" spans="1:33" ht="12" x14ac:dyDescent="0.2">
      <c r="E93" s="84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9" t="str">
        <f>I88</f>
        <v>FY27</v>
      </c>
      <c r="J97" s="299" t="str">
        <f t="shared" ref="J97:AG97" si="25">J88</f>
        <v>FY28</v>
      </c>
      <c r="K97" s="299" t="str">
        <f t="shared" si="25"/>
        <v>FY29</v>
      </c>
      <c r="L97" s="299" t="str">
        <f t="shared" si="25"/>
        <v>FY30</v>
      </c>
      <c r="M97" s="299" t="str">
        <f t="shared" si="25"/>
        <v>FY31</v>
      </c>
      <c r="N97" s="299" t="str">
        <f t="shared" si="25"/>
        <v>FY32</v>
      </c>
      <c r="O97" s="299" t="str">
        <f t="shared" si="25"/>
        <v>FY33</v>
      </c>
      <c r="P97" s="299" t="str">
        <f t="shared" si="25"/>
        <v>FY34</v>
      </c>
      <c r="Q97" s="299" t="str">
        <f t="shared" si="25"/>
        <v>FY35</v>
      </c>
      <c r="R97" s="299" t="str">
        <f t="shared" si="25"/>
        <v>FY36</v>
      </c>
      <c r="S97" s="299" t="str">
        <f t="shared" si="25"/>
        <v>FY37</v>
      </c>
      <c r="T97" s="299" t="str">
        <f t="shared" si="25"/>
        <v>FY38</v>
      </c>
      <c r="U97" s="299" t="str">
        <f t="shared" si="25"/>
        <v>FY39</v>
      </c>
      <c r="V97" s="299" t="str">
        <f t="shared" si="25"/>
        <v>FY40</v>
      </c>
      <c r="W97" s="299" t="str">
        <f t="shared" si="25"/>
        <v>FY41</v>
      </c>
      <c r="X97" s="299" t="str">
        <f t="shared" si="25"/>
        <v>FY42</v>
      </c>
      <c r="Y97" s="299" t="str">
        <f t="shared" si="25"/>
        <v>FY43</v>
      </c>
      <c r="Z97" s="299" t="str">
        <f t="shared" si="25"/>
        <v>FY44</v>
      </c>
      <c r="AA97" s="299" t="str">
        <f t="shared" si="25"/>
        <v>FY45</v>
      </c>
      <c r="AB97" s="299" t="str">
        <f t="shared" si="25"/>
        <v>FY46</v>
      </c>
      <c r="AC97" s="299" t="str">
        <f t="shared" si="25"/>
        <v>FY47</v>
      </c>
      <c r="AD97" s="299" t="str">
        <f t="shared" si="25"/>
        <v>FY48</v>
      </c>
      <c r="AE97" s="299" t="str">
        <f t="shared" si="25"/>
        <v>FY49</v>
      </c>
      <c r="AF97" s="299" t="str">
        <f t="shared" si="25"/>
        <v>FY50</v>
      </c>
      <c r="AG97" s="299" t="str">
        <f t="shared" si="25"/>
        <v>FY51</v>
      </c>
    </row>
    <row r="98" spans="1:33" x14ac:dyDescent="0.2">
      <c r="A98" s="202" t="s">
        <v>234</v>
      </c>
      <c r="B98" s="142"/>
      <c r="C98" s="200" t="s">
        <v>123</v>
      </c>
      <c r="D98" s="194">
        <f>MAX(H98:AG98)</f>
        <v>27.699999999999996</v>
      </c>
      <c r="E98" s="298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6.8</v>
      </c>
      <c r="J98" s="119">
        <f>INDEX('Option1 (base case)'!J$14:J$87, MATCH($C98, 'Option1 (base case)'!$C$14:$C$87,0))</f>
        <v>8.1</v>
      </c>
      <c r="K98" s="119">
        <f>INDEX('Option1 (base case)'!K$14:K$87, MATCH($C98, 'Option1 (base case)'!$C$14:$C$87,0))</f>
        <v>10.7</v>
      </c>
      <c r="L98" s="119">
        <f>INDEX('Option1 (base case)'!L$14:L$87, MATCH($C98, 'Option1 (base case)'!$C$14:$C$87,0))</f>
        <v>13.3</v>
      </c>
      <c r="M98" s="119">
        <f>INDEX('Option1 (base case)'!M$14:M$87, MATCH($C98, 'Option1 (base case)'!$C$14:$C$87,0))</f>
        <v>15.599999999999998</v>
      </c>
      <c r="N98" s="119">
        <f>INDEX('Option1 (base case)'!N$14:N$87, MATCH($C98, 'Option1 (base case)'!$C$14:$C$87,0))</f>
        <v>18.2</v>
      </c>
      <c r="O98" s="119">
        <f>INDEX('Option1 (base case)'!O$14:O$87, MATCH($C98, 'Option1 (base case)'!$C$14:$C$87,0))</f>
        <v>22.5</v>
      </c>
      <c r="P98" s="119">
        <f>INDEX('Option1 (base case)'!P$14:P$87, MATCH($C98, 'Option1 (base case)'!$C$14:$C$87,0))</f>
        <v>27.699999999999996</v>
      </c>
      <c r="Q98" s="119">
        <f>INDEX('Option1 (base case)'!Q$14:Q$87, MATCH($C98, 'Option1 (base case)'!$C$14:$C$87,0))</f>
        <v>27.699999999999996</v>
      </c>
      <c r="R98" s="119">
        <f>INDEX('Option1 (base case)'!R$14:R$87, MATCH($C98, 'Option1 (base case)'!$C$14:$C$87,0))</f>
        <v>27.699999999999996</v>
      </c>
      <c r="S98" s="119">
        <f>INDEX('Option1 (base case)'!S$14:S$87, MATCH($C98, 'Option1 (base case)'!$C$14:$C$87,0))</f>
        <v>27.699999999999996</v>
      </c>
      <c r="T98" s="119">
        <f>INDEX('Option1 (base case)'!T$14:T$87, MATCH($C98, 'Option1 (base case)'!$C$14:$C$87,0))</f>
        <v>27.699999999999996</v>
      </c>
      <c r="U98" s="119">
        <f>INDEX('Option1 (base case)'!U$14:U$87, MATCH($C98, 'Option1 (base case)'!$C$14:$C$87,0))</f>
        <v>27.699999999999996</v>
      </c>
      <c r="V98" s="119">
        <f>INDEX('Option1 (base case)'!V$14:V$87, MATCH($C98, 'Option1 (base case)'!$C$14:$C$87,0))</f>
        <v>27.699999999999996</v>
      </c>
      <c r="W98" s="119">
        <f>INDEX('Option1 (base case)'!W$14:W$87, MATCH($C98, 'Option1 (base case)'!$C$14:$C$87,0))</f>
        <v>27.699999999999996</v>
      </c>
      <c r="X98" s="119">
        <f>INDEX('Option1 (base case)'!X$14:X$87, MATCH($C98, 'Option1 (base case)'!$C$14:$C$87,0))</f>
        <v>27.699999999999996</v>
      </c>
      <c r="Y98" s="119">
        <f>INDEX('Option1 (base case)'!Y$14:Y$87, MATCH($C98, 'Option1 (base case)'!$C$14:$C$87,0))</f>
        <v>27.699999999999996</v>
      </c>
      <c r="Z98" s="119">
        <f>INDEX('Option1 (base case)'!Z$14:Z$87, MATCH($C98, 'Option1 (base case)'!$C$14:$C$87,0))</f>
        <v>27.699999999999996</v>
      </c>
      <c r="AA98" s="119">
        <f>INDEX('Option1 (base case)'!AA$14:AA$87, MATCH($C98, 'Option1 (base case)'!$C$14:$C$87,0))</f>
        <v>27.699999999999996</v>
      </c>
      <c r="AB98" s="119">
        <f>INDEX('Option1 (base case)'!AB$14:AB$87, MATCH($C98, 'Option1 (base case)'!$C$14:$C$87,0))</f>
        <v>27.699999999999996</v>
      </c>
      <c r="AC98" s="119">
        <f>INDEX('Option1 (base case)'!AC$14:AC$87, MATCH($C98, 'Option1 (base case)'!$C$14:$C$87,0))</f>
        <v>27.699999999999996</v>
      </c>
      <c r="AD98" s="119">
        <f>INDEX('Option1 (base case)'!AD$14:AD$87, MATCH($C98, 'Option1 (base case)'!$C$14:$C$87,0))</f>
        <v>27.699999999999996</v>
      </c>
      <c r="AE98" s="119">
        <f>INDEX('Option1 (base case)'!AE$14:AE$87, MATCH($C98, 'Option1 (base case)'!$C$14:$C$87,0))</f>
        <v>27.699999999999996</v>
      </c>
      <c r="AF98" s="119">
        <f>INDEX('Option1 (base case)'!AF$14:AF$87, MATCH($C98, 'Option1 (base case)'!$C$14:$C$87,0))</f>
        <v>27.699999999999996</v>
      </c>
      <c r="AG98" s="119">
        <f>INDEX('Option1 (base case)'!AG$14:AG$87, MATCH($C98, 'Option1 (base case)'!$C$14:$C$87,0))</f>
        <v>27.699999999999996</v>
      </c>
    </row>
    <row r="99" spans="1:33" x14ac:dyDescent="0.2">
      <c r="A99" s="201" t="str">
        <f>A23</f>
        <v>Option 1 (base case)</v>
      </c>
      <c r="B99" s="142"/>
      <c r="C99" s="201" t="s">
        <v>124</v>
      </c>
      <c r="D99" s="194">
        <f>MAX(H99:AG99)</f>
        <v>1.2136889684372947</v>
      </c>
      <c r="E99" s="298"/>
      <c r="H99" s="119" t="str">
        <f>A99&amp;" risk cost"</f>
        <v>Option 1 (base case) risk cost</v>
      </c>
      <c r="I99" s="119">
        <f>INDEX('Option1 (base case)'!I$14:I$87, MATCH($C99, 'Option1 (base case)'!$C$14:$C$87,0))/10^6</f>
        <v>0.29794530633117705</v>
      </c>
      <c r="J99" s="119">
        <f>INDEX('Option1 (base case)'!J$14:J$87, MATCH($C99, 'Option1 (base case)'!$C$14:$C$87,0))/10^6</f>
        <v>0.35490543842390215</v>
      </c>
      <c r="K99" s="119">
        <f>INDEX('Option1 (base case)'!K$14:K$87, MATCH($C99, 'Option1 (base case)'!$C$14:$C$87,0))/10^6</f>
        <v>0.46882570260935219</v>
      </c>
      <c r="L99" s="119">
        <f>INDEX('Option1 (base case)'!L$14:L$87, MATCH($C99, 'Option1 (base case)'!$C$14:$C$87,0))/10^6</f>
        <v>0.58274596679480239</v>
      </c>
      <c r="M99" s="119">
        <f>INDEX('Option1 (base case)'!M$14:M$87, MATCH($C99, 'Option1 (base case)'!$C$14:$C$87,0))/10^6</f>
        <v>0.68352158511270034</v>
      </c>
      <c r="N99" s="119">
        <f>INDEX('Option1 (base case)'!N$14:N$87, MATCH($C99, 'Option1 (base case)'!$C$14:$C$87,0))/10^6</f>
        <v>0.79744184929815043</v>
      </c>
      <c r="O99" s="119">
        <f>INDEX('Option1 (base case)'!O$14:O$87, MATCH($C99, 'Option1 (base case)'!$C$14:$C$87,0))/10^6</f>
        <v>0.98584844006639483</v>
      </c>
      <c r="P99" s="119">
        <f>INDEX('Option1 (base case)'!P$14:P$87, MATCH($C99, 'Option1 (base case)'!$C$14:$C$87,0))/10^6</f>
        <v>1.2136889684372947</v>
      </c>
      <c r="Q99" s="119">
        <f>INDEX('Option1 (base case)'!Q$14:Q$87, MATCH($C99, 'Option1 (base case)'!$C$14:$C$87,0))/10^6</f>
        <v>1.2136889684372947</v>
      </c>
      <c r="R99" s="119">
        <f>INDEX('Option1 (base case)'!R$14:R$87, MATCH($C99, 'Option1 (base case)'!$C$14:$C$87,0))/10^6</f>
        <v>1.2136889684372947</v>
      </c>
      <c r="S99" s="119">
        <f>INDEX('Option1 (base case)'!S$14:S$87, MATCH($C99, 'Option1 (base case)'!$C$14:$C$87,0))/10^6</f>
        <v>1.2136889684372947</v>
      </c>
      <c r="T99" s="119">
        <f>INDEX('Option1 (base case)'!T$14:T$87, MATCH($C99, 'Option1 (base case)'!$C$14:$C$87,0))/10^6</f>
        <v>1.2136889684372947</v>
      </c>
      <c r="U99" s="119">
        <f>INDEX('Option1 (base case)'!U$14:U$87, MATCH($C99, 'Option1 (base case)'!$C$14:$C$87,0))/10^6</f>
        <v>1.2136889684372947</v>
      </c>
      <c r="V99" s="119">
        <f>INDEX('Option1 (base case)'!V$14:V$87, MATCH($C99, 'Option1 (base case)'!$C$14:$C$87,0))/10^6</f>
        <v>1.2136889684372947</v>
      </c>
      <c r="W99" s="119">
        <f>INDEX('Option1 (base case)'!W$14:W$87, MATCH($C99, 'Option1 (base case)'!$C$14:$C$87,0))/10^6</f>
        <v>1.2136889684372947</v>
      </c>
      <c r="X99" s="119">
        <f>INDEX('Option1 (base case)'!X$14:X$87, MATCH($C99, 'Option1 (base case)'!$C$14:$C$87,0))/10^6</f>
        <v>1.2136889684372947</v>
      </c>
      <c r="Y99" s="119">
        <f>INDEX('Option1 (base case)'!Y$14:Y$87, MATCH($C99, 'Option1 (base case)'!$C$14:$C$87,0))/10^6</f>
        <v>1.2136889684372947</v>
      </c>
      <c r="Z99" s="119">
        <f>INDEX('Option1 (base case)'!Z$14:Z$87, MATCH($C99, 'Option1 (base case)'!$C$14:$C$87,0))/10^6</f>
        <v>1.2136889684372947</v>
      </c>
      <c r="AA99" s="119">
        <f>INDEX('Option1 (base case)'!AA$14:AA$87, MATCH($C99, 'Option1 (base case)'!$C$14:$C$87,0))/10^6</f>
        <v>1.2136889684372947</v>
      </c>
      <c r="AB99" s="119">
        <f>INDEX('Option1 (base case)'!AB$14:AB$87, MATCH($C99, 'Option1 (base case)'!$C$14:$C$87,0))/10^6</f>
        <v>1.2136889684372947</v>
      </c>
      <c r="AC99" s="119">
        <f>INDEX('Option1 (base case)'!AC$14:AC$87, MATCH($C99, 'Option1 (base case)'!$C$14:$C$87,0))/10^6</f>
        <v>1.2136889684372947</v>
      </c>
      <c r="AD99" s="119">
        <f>INDEX('Option1 (base case)'!AD$14:AD$87, MATCH($C99, 'Option1 (base case)'!$C$14:$C$87,0))/10^6</f>
        <v>1.2136889684372947</v>
      </c>
      <c r="AE99" s="119">
        <f>INDEX('Option1 (base case)'!AE$14:AE$87, MATCH($C99, 'Option1 (base case)'!$C$14:$C$87,0))/10^6</f>
        <v>1.2136889684372947</v>
      </c>
      <c r="AF99" s="119">
        <f>INDEX('Option1 (base case)'!AF$14:AF$87, MATCH($C99, 'Option1 (base case)'!$C$14:$C$87,0))/10^6</f>
        <v>1.2136889684372947</v>
      </c>
      <c r="AG99" s="119">
        <f>INDEX('Option1 (base case)'!AG$14:AG$87, MATCH($C99, 'Option1 (base case)'!$C$14:$C$87,0))/10^6</f>
        <v>1.2136889684372947</v>
      </c>
    </row>
    <row r="100" spans="1:33" ht="12" x14ac:dyDescent="0.2">
      <c r="E100" s="10"/>
    </row>
    <row r="101" spans="1:33" s="300" customFormat="1" ht="12" x14ac:dyDescent="0.2"/>
    <row r="102" spans="1:33" ht="12" x14ac:dyDescent="0.2">
      <c r="E102" s="10"/>
    </row>
    <row r="103" spans="1:33" ht="12" x14ac:dyDescent="0.2">
      <c r="E103" s="10"/>
      <c r="I103" s="300"/>
    </row>
    <row r="104" spans="1:33" ht="12" x14ac:dyDescent="0.2">
      <c r="E104" s="10"/>
      <c r="H104" s="153"/>
    </row>
    <row r="105" spans="1:33" ht="12" x14ac:dyDescent="0.2">
      <c r="E105" s="10"/>
      <c r="H105" s="153"/>
    </row>
    <row r="106" spans="1:33" ht="12" x14ac:dyDescent="0.2">
      <c r="D106" s="194"/>
      <c r="E106" s="10"/>
    </row>
    <row r="107" spans="1:33" ht="12" x14ac:dyDescent="0.2">
      <c r="D107" s="194"/>
      <c r="E107" s="10"/>
    </row>
    <row r="108" spans="1:33" ht="12" x14ac:dyDescent="0.2">
      <c r="D108" s="194"/>
      <c r="E108" s="84"/>
    </row>
    <row r="109" spans="1:33" ht="12" x14ac:dyDescent="0.2">
      <c r="C109" s="124"/>
      <c r="D109" s="194"/>
      <c r="E109" s="194"/>
    </row>
    <row r="110" spans="1:33" ht="12" x14ac:dyDescent="0.2">
      <c r="D110" s="194"/>
      <c r="E110" s="84"/>
    </row>
    <row r="111" spans="1:33" ht="12" x14ac:dyDescent="0.2">
      <c r="D111" s="194"/>
      <c r="E111" s="84"/>
    </row>
    <row r="112" spans="1:33" ht="12" x14ac:dyDescent="0.2">
      <c r="D112" s="194"/>
      <c r="E112" s="84"/>
    </row>
    <row r="113" spans="4:5" ht="12" x14ac:dyDescent="0.2">
      <c r="D113" s="194"/>
      <c r="E113" s="84"/>
    </row>
    <row r="114" spans="4:5" ht="12" x14ac:dyDescent="0.2">
      <c r="D114" s="194"/>
      <c r="E114" s="84"/>
    </row>
    <row r="115" spans="4:5" ht="12" x14ac:dyDescent="0.2">
      <c r="D115" s="194"/>
      <c r="E115" s="84"/>
    </row>
    <row r="116" spans="4:5" ht="12" x14ac:dyDescent="0.2">
      <c r="D116" s="194"/>
      <c r="E116" s="84"/>
    </row>
    <row r="117" spans="4:5" ht="12" x14ac:dyDescent="0.2">
      <c r="D117" s="194"/>
      <c r="E117" s="84"/>
    </row>
    <row r="118" spans="4:5" ht="12" x14ac:dyDescent="0.2">
      <c r="D118" s="194"/>
      <c r="E118" s="84"/>
    </row>
    <row r="119" spans="4:5" ht="12" x14ac:dyDescent="0.2">
      <c r="D119" s="194"/>
      <c r="E119" s="84"/>
    </row>
    <row r="120" spans="4:5" ht="12" x14ac:dyDescent="0.2">
      <c r="D120" s="194"/>
      <c r="E120" s="84"/>
    </row>
    <row r="121" spans="4:5" ht="12" x14ac:dyDescent="0.2">
      <c r="D121" s="194"/>
      <c r="E121" s="84"/>
    </row>
    <row r="122" spans="4:5" ht="12" x14ac:dyDescent="0.2">
      <c r="D122" s="194"/>
      <c r="E122" s="84"/>
    </row>
    <row r="123" spans="4:5" ht="12" x14ac:dyDescent="0.2">
      <c r="D123" s="194"/>
      <c r="E123" s="84"/>
    </row>
    <row r="124" spans="4:5" ht="12" x14ac:dyDescent="0.2">
      <c r="D124" s="194"/>
      <c r="E124" s="84"/>
    </row>
    <row r="125" spans="4:5" ht="12" x14ac:dyDescent="0.2">
      <c r="D125" s="194"/>
      <c r="E125" s="84"/>
    </row>
    <row r="126" spans="4:5" ht="12" x14ac:dyDescent="0.2">
      <c r="D126" s="194"/>
      <c r="E126" s="84"/>
    </row>
    <row r="127" spans="4:5" ht="12" x14ac:dyDescent="0.2">
      <c r="D127" s="194"/>
      <c r="E127" s="84"/>
    </row>
    <row r="128" spans="4:5" ht="12" x14ac:dyDescent="0.2">
      <c r="D128" s="194"/>
      <c r="E128" s="84"/>
    </row>
    <row r="129" spans="4:5" ht="12" x14ac:dyDescent="0.2">
      <c r="D129" s="194"/>
      <c r="E129" s="84"/>
    </row>
    <row r="130" spans="4:5" ht="12" x14ac:dyDescent="0.2">
      <c r="D130" s="194"/>
      <c r="E130" s="84"/>
    </row>
    <row r="131" spans="4:5" ht="12" x14ac:dyDescent="0.2">
      <c r="D131" s="194"/>
      <c r="E131" s="84"/>
    </row>
    <row r="132" spans="4:5" ht="12" x14ac:dyDescent="0.2">
      <c r="D132" s="194"/>
      <c r="E132" s="84"/>
    </row>
    <row r="133" spans="4:5" ht="12" x14ac:dyDescent="0.2">
      <c r="D133" s="194"/>
      <c r="E133" s="84"/>
    </row>
    <row r="134" spans="4:5" ht="12" x14ac:dyDescent="0.2">
      <c r="D134" s="194"/>
      <c r="E134" s="84"/>
    </row>
    <row r="135" spans="4:5" ht="12" x14ac:dyDescent="0.2">
      <c r="D135" s="194"/>
      <c r="E135" s="84"/>
    </row>
    <row r="136" spans="4:5" ht="12" x14ac:dyDescent="0.2">
      <c r="D136" s="194"/>
      <c r="E136" s="84"/>
    </row>
    <row r="137" spans="4:5" ht="12" x14ac:dyDescent="0.2">
      <c r="D137" s="194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Collingwood supply area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7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92">
        <f>Consol!H5</f>
        <v>0</v>
      </c>
      <c r="I5" s="192">
        <f>Consol!I5</f>
        <v>0.98294637436598087</v>
      </c>
      <c r="J5" s="192">
        <f>Consol!J5</f>
        <v>0.94970664189949849</v>
      </c>
      <c r="K5" s="192">
        <f>Consol!K5</f>
        <v>0.91759095835700344</v>
      </c>
      <c r="L5" s="192">
        <f>Consol!L5</f>
        <v>0.88656131242222558</v>
      </c>
      <c r="M5" s="192">
        <f>Consol!M5</f>
        <v>0.85658097818572532</v>
      </c>
      <c r="N5" s="192">
        <f>Consol!N5</f>
        <v>0.8276144716770294</v>
      </c>
      <c r="O5" s="192">
        <f>Consol!O5</f>
        <v>0.79962750886669509</v>
      </c>
      <c r="P5" s="192">
        <f>Consol!P5</f>
        <v>0.77258696508859437</v>
      </c>
      <c r="Q5" s="192">
        <f>Consol!Q5</f>
        <v>0.74646083583439071</v>
      </c>
      <c r="R5" s="192">
        <f>Consol!R5</f>
        <v>0.72121819887380756</v>
      </c>
      <c r="S5" s="192">
        <f>Consol!S5</f>
        <v>0.69682917765585273</v>
      </c>
      <c r="T5" s="192">
        <f>Consol!T5</f>
        <v>0.67326490594768384</v>
      </c>
      <c r="U5" s="192">
        <f>Consol!U5</f>
        <v>0.6504974936692598</v>
      </c>
      <c r="V5" s="192">
        <f>Consol!V5</f>
        <v>0.62849999388334288</v>
      </c>
      <c r="W5" s="192">
        <f>Consol!W5</f>
        <v>0.60724637090178057</v>
      </c>
      <c r="X5" s="192">
        <f>Consol!X5</f>
        <v>0.58671146947031949</v>
      </c>
      <c r="Y5" s="192">
        <f>Consol!Y5</f>
        <v>0.56687098499547783</v>
      </c>
      <c r="Z5" s="192">
        <f>Consol!Z5</f>
        <v>0.54770143477823952</v>
      </c>
      <c r="AA5" s="192">
        <f>Consol!AA5</f>
        <v>0.52918013022052135</v>
      </c>
      <c r="AB5" s="192">
        <f>Consol!AB5</f>
        <v>0.5112851499715183</v>
      </c>
      <c r="AC5" s="192">
        <f>Consol!AC5</f>
        <v>0.4939953139821433</v>
      </c>
      <c r="AD5" s="192">
        <f>Consol!AD5</f>
        <v>0.47729015843685346</v>
      </c>
      <c r="AE5" s="192">
        <f>Consol!AE5</f>
        <v>0.46114991153319179</v>
      </c>
      <c r="AF5" s="192">
        <f>Consol!AF5</f>
        <v>0.4455554700803786</v>
      </c>
      <c r="AG5" s="192">
        <f>Consol!AG5</f>
        <v>0.43048837688925473</v>
      </c>
    </row>
    <row r="6" spans="1:33" s="2" customFormat="1" hidden="1" outlineLevel="1" x14ac:dyDescent="0.2">
      <c r="A6" s="193" t="str">
        <f>'Option1 (base case)'!A6</f>
        <v>Count</v>
      </c>
      <c r="B6" s="116"/>
      <c r="D6" s="117"/>
      <c r="E6" s="116"/>
      <c r="F6" s="116"/>
      <c r="G6" s="101"/>
      <c r="H6" s="193">
        <f>Consol!H6</f>
        <v>0</v>
      </c>
      <c r="I6" s="193">
        <f>Consol!I6</f>
        <v>1</v>
      </c>
      <c r="J6" s="193">
        <f>Consol!J6</f>
        <v>2</v>
      </c>
      <c r="K6" s="193">
        <f>Consol!K6</f>
        <v>3</v>
      </c>
      <c r="L6" s="193">
        <f>Consol!L6</f>
        <v>4</v>
      </c>
      <c r="M6" s="193">
        <f>Consol!M6</f>
        <v>5</v>
      </c>
      <c r="N6" s="193">
        <f>Consol!N6</f>
        <v>6</v>
      </c>
      <c r="O6" s="193">
        <f>Consol!O6</f>
        <v>7</v>
      </c>
      <c r="P6" s="193">
        <f>Consol!P6</f>
        <v>8</v>
      </c>
      <c r="Q6" s="193">
        <f>Consol!Q6</f>
        <v>9</v>
      </c>
      <c r="R6" s="193">
        <f>Consol!R6</f>
        <v>10</v>
      </c>
      <c r="S6" s="193">
        <f>Consol!S6</f>
        <v>11</v>
      </c>
      <c r="T6" s="193">
        <f>Consol!T6</f>
        <v>12</v>
      </c>
      <c r="U6" s="193">
        <f>Consol!U6</f>
        <v>13</v>
      </c>
      <c r="V6" s="193">
        <f>Consol!V6</f>
        <v>14</v>
      </c>
      <c r="W6" s="193">
        <f>Consol!W6</f>
        <v>15</v>
      </c>
      <c r="X6" s="193">
        <f>Consol!X6</f>
        <v>16</v>
      </c>
      <c r="Y6" s="193">
        <f>Consol!Y6</f>
        <v>17</v>
      </c>
      <c r="Z6" s="193">
        <f>Consol!Z6</f>
        <v>18</v>
      </c>
      <c r="AA6" s="193">
        <f>Consol!AA6</f>
        <v>19</v>
      </c>
      <c r="AB6" s="193">
        <f>Consol!AB6</f>
        <v>20</v>
      </c>
      <c r="AC6" s="193">
        <f>Consol!AC6</f>
        <v>21</v>
      </c>
      <c r="AD6" s="193">
        <f>Consol!AD6</f>
        <v>22</v>
      </c>
      <c r="AE6" s="193">
        <f>Consol!AE6</f>
        <v>23</v>
      </c>
      <c r="AF6" s="193">
        <f>Consol!AF6</f>
        <v>24</v>
      </c>
      <c r="AG6" s="193">
        <f>Consol!AG6</f>
        <v>25</v>
      </c>
    </row>
    <row r="7" spans="1:33" s="2" customFormat="1" collapsed="1" x14ac:dyDescent="0.2">
      <c r="A7" s="116" t="s">
        <v>195</v>
      </c>
      <c r="B7" s="116"/>
      <c r="D7" s="117"/>
      <c r="E7" s="116"/>
      <c r="F7" s="116"/>
      <c r="G7" s="101"/>
      <c r="H7" s="260" t="b">
        <f>Consol!H7</f>
        <v>1</v>
      </c>
      <c r="I7" s="260" t="b">
        <f>Consol!I7</f>
        <v>1</v>
      </c>
      <c r="J7" s="260" t="b">
        <f>Consol!J7</f>
        <v>1</v>
      </c>
      <c r="K7" s="260" t="b">
        <f>Consol!K7</f>
        <v>1</v>
      </c>
      <c r="L7" s="260" t="b">
        <f>Consol!L7</f>
        <v>1</v>
      </c>
      <c r="M7" s="260" t="b">
        <f>Consol!M7</f>
        <v>1</v>
      </c>
      <c r="N7" s="260" t="b">
        <f>Consol!N7</f>
        <v>1</v>
      </c>
      <c r="O7" s="260" t="b">
        <f>Consol!O7</f>
        <v>1</v>
      </c>
      <c r="P7" s="260" t="b">
        <f>Consol!P7</f>
        <v>1</v>
      </c>
      <c r="Q7" s="260" t="b">
        <f>Consol!Q7</f>
        <v>1</v>
      </c>
      <c r="R7" s="260" t="b">
        <f>Consol!R7</f>
        <v>1</v>
      </c>
      <c r="S7" s="260" t="b">
        <f>Consol!S7</f>
        <v>1</v>
      </c>
      <c r="T7" s="260" t="b">
        <f>Consol!T7</f>
        <v>1</v>
      </c>
      <c r="U7" s="260" t="b">
        <f>Consol!U7</f>
        <v>1</v>
      </c>
      <c r="V7" s="260" t="b">
        <f>Consol!V7</f>
        <v>1</v>
      </c>
      <c r="W7" s="260" t="b">
        <f>Consol!W7</f>
        <v>1</v>
      </c>
      <c r="X7" s="260" t="b">
        <f>Consol!X7</f>
        <v>1</v>
      </c>
      <c r="Y7" s="260" t="b">
        <f>Consol!Y7</f>
        <v>1</v>
      </c>
      <c r="Z7" s="260" t="b">
        <f>Consol!Z7</f>
        <v>1</v>
      </c>
      <c r="AA7" s="260" t="b">
        <f>Consol!AA7</f>
        <v>1</v>
      </c>
      <c r="AB7" s="260" t="b">
        <f>Consol!AB7</f>
        <v>1</v>
      </c>
      <c r="AC7" s="260" t="b">
        <f>Consol!AC7</f>
        <v>0</v>
      </c>
      <c r="AD7" s="260" t="b">
        <f>Consol!AD7</f>
        <v>0</v>
      </c>
      <c r="AE7" s="260" t="b">
        <f>Consol!AE7</f>
        <v>0</v>
      </c>
      <c r="AF7" s="260" t="b">
        <f>Consol!AF7</f>
        <v>0</v>
      </c>
      <c r="AG7" s="260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6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50"/>
      <c r="B12" s="250"/>
      <c r="C12" s="250"/>
      <c r="D12" s="250"/>
      <c r="E12" s="250"/>
      <c r="F12" s="250"/>
      <c r="G12" s="25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1001665.6491420029</v>
      </c>
      <c r="AA12" s="31">
        <f>Consol!AB36</f>
        <v>1001665.6491420029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51"/>
    </row>
    <row r="13" spans="1:33" s="7" customFormat="1" x14ac:dyDescent="0.2">
      <c r="A13" s="250"/>
      <c r="B13" s="250"/>
      <c r="C13" s="250"/>
      <c r="D13" s="250"/>
      <c r="E13" s="250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</row>
    <row r="14" spans="1:33" s="7" customFormat="1" x14ac:dyDescent="0.2">
      <c r="A14" s="258" t="s">
        <v>142</v>
      </c>
      <c r="B14" s="258" t="s">
        <v>119</v>
      </c>
      <c r="C14" s="258" t="s">
        <v>188</v>
      </c>
      <c r="D14" s="258" t="str">
        <f>A14&amp;B14</f>
        <v>OPTION 1 (base case)NPV</v>
      </c>
      <c r="E14" s="259"/>
      <c r="F14" s="31">
        <f>SUMPRODUCT($H14:$AG14, $H$5:$AG$5)</f>
        <v>0</v>
      </c>
      <c r="G14" s="251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50"/>
      <c r="B15" s="250"/>
      <c r="C15" s="250"/>
      <c r="D15" s="250"/>
      <c r="E15" s="250"/>
      <c r="F15" s="250"/>
      <c r="G15" s="25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8" t="s">
        <v>142</v>
      </c>
      <c r="B16" s="258" t="str">
        <f>'Option1 (base case)'!A110</f>
        <v>sens1</v>
      </c>
      <c r="C16" s="258" t="str">
        <f>'Option1 (base case)'!C110</f>
        <v>Capex 10% higher</v>
      </c>
      <c r="D16" s="258" t="str">
        <f t="shared" ref="D16:D23" si="0">A16&amp;B16</f>
        <v>OPTION 1 (base case)sens1</v>
      </c>
      <c r="E16" s="259"/>
      <c r="F16" s="31">
        <f>SUMPRODUCT($H16:$AG16, $H$5:$AG$5)</f>
        <v>0</v>
      </c>
      <c r="G16" s="251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8" t="s">
        <v>142</v>
      </c>
      <c r="B17" s="258" t="str">
        <f>'Option1 (base case)'!A111</f>
        <v>sens2</v>
      </c>
      <c r="C17" s="258" t="str">
        <f>'Option1 (base case)'!C111</f>
        <v>Capex 10% lower</v>
      </c>
      <c r="D17" s="258" t="str">
        <f t="shared" si="0"/>
        <v>OPTION 1 (base case)sens2</v>
      </c>
      <c r="E17" s="259"/>
      <c r="F17" s="31">
        <f t="shared" ref="F17:F23" si="1">SUMPRODUCT($H17:$AG17, $H$5:$AG$5)</f>
        <v>0</v>
      </c>
      <c r="G17" s="258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8" t="s">
        <v>142</v>
      </c>
      <c r="B18" s="258" t="str">
        <f>'Option1 (base case)'!A112</f>
        <v>sens3</v>
      </c>
      <c r="C18" s="258" t="str">
        <f>'Option1 (base case)'!C112</f>
        <v>Total benefits 10% higher</v>
      </c>
      <c r="D18" s="258" t="str">
        <f t="shared" si="0"/>
        <v>OPTION 1 (base case)sens3</v>
      </c>
      <c r="E18" s="259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8" t="s">
        <v>142</v>
      </c>
      <c r="B19" s="258" t="str">
        <f>'Option1 (base case)'!A113</f>
        <v>sens4</v>
      </c>
      <c r="C19" s="258" t="str">
        <f>'Option1 (base case)'!C113</f>
        <v>Total benefits 10% lower</v>
      </c>
      <c r="D19" s="258" t="str">
        <f t="shared" si="0"/>
        <v>OPTION 1 (base case)sens4</v>
      </c>
      <c r="E19" s="259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8" t="s">
        <v>142</v>
      </c>
      <c r="B20" s="258" t="str">
        <f>'Option1 (base case)'!A114</f>
        <v>sens5</v>
      </c>
      <c r="C20" s="258" t="str">
        <f>'Option1 (base case)'!C114</f>
        <v>Capex 10% higher &amp; Total benefits 10% lower</v>
      </c>
      <c r="D20" s="258" t="str">
        <f t="shared" si="0"/>
        <v>OPTION 1 (base case)sens5</v>
      </c>
      <c r="E20" s="259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8" t="s">
        <v>142</v>
      </c>
      <c r="B21" s="258" t="str">
        <f>'Option1 (base case)'!A115</f>
        <v>sens</v>
      </c>
      <c r="C21" s="258">
        <f>'Option1 (base case)'!C115</f>
        <v>0</v>
      </c>
      <c r="D21" s="258" t="str">
        <f t="shared" si="0"/>
        <v>OPTION 1 (base case)sens</v>
      </c>
      <c r="E21" s="259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8" t="s">
        <v>142</v>
      </c>
      <c r="B22" s="258" t="str">
        <f>'Option1 (base case)'!A116</f>
        <v>sens</v>
      </c>
      <c r="C22" s="258">
        <f>'Option1 (base case)'!C116</f>
        <v>0</v>
      </c>
      <c r="D22" s="258" t="str">
        <f t="shared" si="0"/>
        <v>OPTION 1 (base case)sens</v>
      </c>
      <c r="E22" s="259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8" t="s">
        <v>142</v>
      </c>
      <c r="B23" s="258" t="str">
        <f>'Option1 (base case)'!A117</f>
        <v>sens</v>
      </c>
      <c r="C23" s="258">
        <f>'Option1 (base case)'!C117</f>
        <v>0</v>
      </c>
      <c r="D23" s="258" t="str">
        <f t="shared" si="0"/>
        <v>OPTION 1 (base case)sens</v>
      </c>
      <c r="E23" s="259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50"/>
      <c r="B24" s="250"/>
      <c r="C24" s="250"/>
      <c r="D24" s="250"/>
      <c r="E24" s="250"/>
      <c r="F24" s="250"/>
      <c r="G24" s="25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50"/>
      <c r="B25" s="250"/>
      <c r="C25" s="250"/>
      <c r="D25" s="250"/>
      <c r="E25" s="250"/>
      <c r="F25" s="250"/>
      <c r="G25" s="25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50"/>
      <c r="B26" s="250"/>
      <c r="C26" s="250"/>
      <c r="D26" s="250"/>
      <c r="E26" s="250"/>
      <c r="F26" s="250"/>
      <c r="G26" s="25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50"/>
      <c r="B27" s="250"/>
      <c r="C27" s="250"/>
      <c r="D27" s="250"/>
      <c r="E27" s="250"/>
      <c r="F27" s="250"/>
      <c r="G27" s="25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8" t="s">
        <v>131</v>
      </c>
      <c r="B28" s="258" t="s">
        <v>119</v>
      </c>
      <c r="C28" s="258" t="s">
        <v>188</v>
      </c>
      <c r="D28" s="258" t="str">
        <f>A28&amp;B28</f>
        <v>Option 2NPV</v>
      </c>
      <c r="E28" s="259"/>
      <c r="F28" s="31">
        <f>SUMPRODUCT($H28:$AG28, $H$5:$AG$5)</f>
        <v>10281812.651278604</v>
      </c>
      <c r="G28" s="251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220446.67437989943</v>
      </c>
      <c r="K28" s="31">
        <f>(INDEX(Option2!K$106:K$117, MATCH($D28, Option2!$G$106:$G$117,0)))*conv_2026*K$7</f>
        <v>172697.90075091846</v>
      </c>
      <c r="L28" s="31">
        <f>(INDEX(Option2!L$106:L$117, MATCH($D28, Option2!$G$106:$G$117,0)))*conv_2026*L$7</f>
        <v>299481.20344602567</v>
      </c>
      <c r="M28" s="31">
        <f>(INDEX(Option2!M$106:M$117, MATCH($D28, Option2!$G$106:$G$117,0)))*conv_2026*M$7</f>
        <v>411635.66352246638</v>
      </c>
      <c r="N28" s="31">
        <f>(INDEX(Option2!N$106:N$117, MATCH($D28, Option2!$G$106:$G$117,0)))*conv_2026*N$7</f>
        <v>538418.9662175735</v>
      </c>
      <c r="O28" s="31">
        <f>(INDEX(Option2!O$106:O$117, MATCH($D28, Option2!$G$106:$G$117,0)))*conv_2026*O$7</f>
        <v>748099.04375178914</v>
      </c>
      <c r="P28" s="31">
        <f>(INDEX(Option2!P$106:P$117, MATCH($D28, Option2!$G$106:$G$117,0)))*conv_2026*P$7</f>
        <v>1001665.649142003</v>
      </c>
      <c r="Q28" s="31">
        <f>(INDEX(Option2!Q$106:Q$117, MATCH($D28, Option2!$G$106:$G$117,0)))*conv_2026*Q$7</f>
        <v>1001665.649142003</v>
      </c>
      <c r="R28" s="31">
        <f>(INDEX(Option2!R$106:R$117, MATCH($D28, Option2!$G$106:$G$117,0)))*conv_2026*R$7</f>
        <v>1001665.649142003</v>
      </c>
      <c r="S28" s="31">
        <f>(INDEX(Option2!S$106:S$117, MATCH($D28, Option2!$G$106:$G$117,0)))*conv_2026*S$7</f>
        <v>1001665.649142003</v>
      </c>
      <c r="T28" s="31">
        <f>(INDEX(Option2!T$106:T$117, MATCH($D28, Option2!$G$106:$G$117,0)))*conv_2026*T$7</f>
        <v>1001665.649142003</v>
      </c>
      <c r="U28" s="31">
        <f>(INDEX(Option2!U$106:U$117, MATCH($D28, Option2!$G$106:$G$117,0)))*conv_2026*U$7</f>
        <v>1001665.649142003</v>
      </c>
      <c r="V28" s="31">
        <f>(INDEX(Option2!V$106:V$117, MATCH($D28, Option2!$G$106:$G$117,0)))*conv_2026*V$7</f>
        <v>1001665.649142003</v>
      </c>
      <c r="W28" s="31">
        <f>(INDEX(Option2!W$106:W$117, MATCH($D28, Option2!$G$106:$G$117,0)))*conv_2026*W$7</f>
        <v>1001665.649142003</v>
      </c>
      <c r="X28" s="31">
        <f>(INDEX(Option2!X$106:X$117, MATCH($D28, Option2!$G$106:$G$117,0)))*conv_2026*X$7</f>
        <v>1001665.649142003</v>
      </c>
      <c r="Y28" s="31">
        <f>(INDEX(Option2!Y$106:Y$117, MATCH($D28, Option2!$G$106:$G$117,0)))*conv_2026*Y$7</f>
        <v>1001665.649142003</v>
      </c>
      <c r="Z28" s="31">
        <f>(INDEX(Option2!Z$106:Z$117, MATCH($D28, Option2!$G$106:$G$117,0)))*conv_2026*Z$7</f>
        <v>1001665.649142003</v>
      </c>
      <c r="AA28" s="31">
        <f>(INDEX(Option2!AA$106:AA$117, MATCH($D28, Option2!$G$106:$G$117,0)))*conv_2026*AA$7</f>
        <v>1001665.649142003</v>
      </c>
      <c r="AB28" s="31">
        <f>(INDEX(Option2!AB$106:AB$117, MATCH($D28, Option2!$G$106:$G$117,0)))*conv_2026*AB$7</f>
        <v>1001665.649142003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50"/>
      <c r="B29" s="250"/>
      <c r="C29" s="250"/>
      <c r="D29" s="250"/>
      <c r="E29" s="250"/>
      <c r="F29" s="250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</row>
    <row r="30" spans="1:35" s="7" customFormat="1" x14ac:dyDescent="0.2">
      <c r="A30" s="258" t="s">
        <v>131</v>
      </c>
      <c r="B30" s="258" t="str">
        <f>Option2!A110</f>
        <v>sens1</v>
      </c>
      <c r="C30" s="258" t="str">
        <f>Option2!C110</f>
        <v>Capex 10% higher</v>
      </c>
      <c r="D30" s="258" t="str">
        <f t="shared" ref="D30:D37" si="2">A30&amp;B30</f>
        <v>Option 2sens1</v>
      </c>
      <c r="E30" s="259"/>
      <c r="F30" s="31">
        <f>SUMPRODUCT($H30:$AG30, $H$5:$AG$5)</f>
        <v>9827988.0052602533</v>
      </c>
      <c r="G30" s="251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202993.46674749063</v>
      </c>
      <c r="K30" s="31">
        <f>IF($B30=0,0, (INDEX(Option2!K$106:K$117, MATCH($D30, Option2!$G$106:$G$117,0)))*conv_2026*K$7)</f>
        <v>137791.48548610086</v>
      </c>
      <c r="L30" s="31">
        <f>IF($B30=0,0, (INDEX(Option2!L$106:L$117, MATCH($D30, Option2!$G$106:$G$117,0)))*conv_2026*L$7)</f>
        <v>264574.78818120802</v>
      </c>
      <c r="M30" s="31">
        <f>IF($B30=0,0, (INDEX(Option2!M$106:M$117, MATCH($D30, Option2!$G$106:$G$117,0)))*conv_2026*M$7)</f>
        <v>376729.24825764878</v>
      </c>
      <c r="N30" s="31">
        <f>IF($B30=0,0, (INDEX(Option2!N$106:N$117, MATCH($D30, Option2!$G$106:$G$117,0)))*conv_2026*N$7)</f>
        <v>503512.55095275579</v>
      </c>
      <c r="O30" s="31">
        <f>IF($B30=0,0, (INDEX(Option2!O$106:O$117, MATCH($D30, Option2!$G$106:$G$117,0)))*conv_2026*O$7)</f>
        <v>713192.62848697149</v>
      </c>
      <c r="P30" s="31">
        <f>IF($B30=0,0, (INDEX(Option2!P$106:P$117, MATCH($D30, Option2!$G$106:$G$117,0)))*conv_2026*P$7)</f>
        <v>966759.23387718538</v>
      </c>
      <c r="Q30" s="31">
        <f>IF($B30=0,0, (INDEX(Option2!Q$106:Q$117, MATCH($D30, Option2!$G$106:$G$117,0)))*conv_2026*Q$7)</f>
        <v>966759.23387718538</v>
      </c>
      <c r="R30" s="31">
        <f>IF($B30=0,0, (INDEX(Option2!R$106:R$117, MATCH($D30, Option2!$G$106:$G$117,0)))*conv_2026*R$7)</f>
        <v>966759.23387718538</v>
      </c>
      <c r="S30" s="31">
        <f>IF($B30=0,0, (INDEX(Option2!S$106:S$117, MATCH($D30, Option2!$G$106:$G$117,0)))*conv_2026*S$7)</f>
        <v>966759.23387718538</v>
      </c>
      <c r="T30" s="31">
        <f>IF($B30=0,0, (INDEX(Option2!T$106:T$117, MATCH($D30, Option2!$G$106:$G$117,0)))*conv_2026*T$7)</f>
        <v>966759.23387718538</v>
      </c>
      <c r="U30" s="31">
        <f>IF($B30=0,0, (INDEX(Option2!U$106:U$117, MATCH($D30, Option2!$G$106:$G$117,0)))*conv_2026*U$7)</f>
        <v>966759.23387718538</v>
      </c>
      <c r="V30" s="31">
        <f>IF($B30=0,0, (INDEX(Option2!V$106:V$117, MATCH($D30, Option2!$G$106:$G$117,0)))*conv_2026*V$7)</f>
        <v>966759.23387718538</v>
      </c>
      <c r="W30" s="31">
        <f>IF($B30=0,0, (INDEX(Option2!W$106:W$117, MATCH($D30, Option2!$G$106:$G$117,0)))*conv_2026*W$7)</f>
        <v>966759.23387718538</v>
      </c>
      <c r="X30" s="31">
        <f>IF($B30=0,0, (INDEX(Option2!X$106:X$117, MATCH($D30, Option2!$G$106:$G$117,0)))*conv_2026*X$7)</f>
        <v>966759.23387718538</v>
      </c>
      <c r="Y30" s="31">
        <f>IF($B30=0,0, (INDEX(Option2!Y$106:Y$117, MATCH($D30, Option2!$G$106:$G$117,0)))*conv_2026*Y$7)</f>
        <v>966759.23387718538</v>
      </c>
      <c r="Z30" s="31">
        <f>IF($B30=0,0, (INDEX(Option2!Z$106:Z$117, MATCH($D30, Option2!$G$106:$G$117,0)))*conv_2026*Z$7)</f>
        <v>966759.23387718538</v>
      </c>
      <c r="AA30" s="31">
        <f>IF($B30=0,0, (INDEX(Option2!AA$106:AA$117, MATCH($D30, Option2!$G$106:$G$117,0)))*conv_2026*AA$7)</f>
        <v>966759.23387718538</v>
      </c>
      <c r="AB30" s="31">
        <f>IF($B30=0,0, (INDEX(Option2!AB$106:AB$117, MATCH($D30, Option2!$G$106:$G$117,0)))*conv_2026*AB$7)</f>
        <v>966759.23387718538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8" t="s">
        <v>131</v>
      </c>
      <c r="B31" s="258" t="str">
        <f>Option2!A111</f>
        <v>sens2</v>
      </c>
      <c r="C31" s="258" t="str">
        <f>Option2!C111</f>
        <v>Capex 10% lower</v>
      </c>
      <c r="D31" s="258" t="str">
        <f t="shared" si="2"/>
        <v>Option 2sens2</v>
      </c>
      <c r="E31" s="259"/>
      <c r="F31" s="31">
        <f t="shared" ref="F31:F37" si="3">SUMPRODUCT($H31:$AG31, $H$5:$AG$5)</f>
        <v>10735637.297296954</v>
      </c>
      <c r="G31" s="258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237899.88201230826</v>
      </c>
      <c r="K31" s="31">
        <f>IF($B31=0,0, (INDEX(Option2!K$106:K$117, MATCH($D31, Option2!$G$106:$G$117,0)))*conv_2026*K$7)</f>
        <v>207604.31601573605</v>
      </c>
      <c r="L31" s="31">
        <f>IF($B31=0,0, (INDEX(Option2!L$106:L$117, MATCH($D31, Option2!$G$106:$G$117,0)))*conv_2026*L$7)</f>
        <v>334387.61871084326</v>
      </c>
      <c r="M31" s="31">
        <f>IF($B31=0,0, (INDEX(Option2!M$106:M$117, MATCH($D31, Option2!$G$106:$G$117,0)))*conv_2026*M$7)</f>
        <v>446542.07878728403</v>
      </c>
      <c r="N31" s="31">
        <f>IF($B31=0,0, (INDEX(Option2!N$106:N$117, MATCH($D31, Option2!$G$106:$G$117,0)))*conv_2026*N$7)</f>
        <v>573325.38148239104</v>
      </c>
      <c r="O31" s="31">
        <f>IF($B31=0,0, (INDEX(Option2!O$106:O$117, MATCH($D31, Option2!$G$106:$G$117,0)))*conv_2026*O$7)</f>
        <v>783005.45901660679</v>
      </c>
      <c r="P31" s="31">
        <f>IF($B31=0,0, (INDEX(Option2!P$106:P$117, MATCH($D31, Option2!$G$106:$G$117,0)))*conv_2026*P$7)</f>
        <v>1036572.0644068207</v>
      </c>
      <c r="Q31" s="31">
        <f>IF($B31=0,0, (INDEX(Option2!Q$106:Q$117, MATCH($D31, Option2!$G$106:$G$117,0)))*conv_2026*Q$7)</f>
        <v>1036572.0644068207</v>
      </c>
      <c r="R31" s="31">
        <f>IF($B31=0,0, (INDEX(Option2!R$106:R$117, MATCH($D31, Option2!$G$106:$G$117,0)))*conv_2026*R$7)</f>
        <v>1036572.0644068207</v>
      </c>
      <c r="S31" s="31">
        <f>IF($B31=0,0, (INDEX(Option2!S$106:S$117, MATCH($D31, Option2!$G$106:$G$117,0)))*conv_2026*S$7)</f>
        <v>1036572.0644068207</v>
      </c>
      <c r="T31" s="31">
        <f>IF($B31=0,0, (INDEX(Option2!T$106:T$117, MATCH($D31, Option2!$G$106:$G$117,0)))*conv_2026*T$7)</f>
        <v>1036572.0644068207</v>
      </c>
      <c r="U31" s="31">
        <f>IF($B31=0,0, (INDEX(Option2!U$106:U$117, MATCH($D31, Option2!$G$106:$G$117,0)))*conv_2026*U$7)</f>
        <v>1036572.0644068207</v>
      </c>
      <c r="V31" s="31">
        <f>IF($B31=0,0, (INDEX(Option2!V$106:V$117, MATCH($D31, Option2!$G$106:$G$117,0)))*conv_2026*V$7)</f>
        <v>1036572.0644068207</v>
      </c>
      <c r="W31" s="31">
        <f>IF($B31=0,0, (INDEX(Option2!W$106:W$117, MATCH($D31, Option2!$G$106:$G$117,0)))*conv_2026*W$7)</f>
        <v>1036572.0644068207</v>
      </c>
      <c r="X31" s="31">
        <f>IF($B31=0,0, (INDEX(Option2!X$106:X$117, MATCH($D31, Option2!$G$106:$G$117,0)))*conv_2026*X$7)</f>
        <v>1036572.0644068207</v>
      </c>
      <c r="Y31" s="31">
        <f>IF($B31=0,0, (INDEX(Option2!Y$106:Y$117, MATCH($D31, Option2!$G$106:$G$117,0)))*conv_2026*Y$7)</f>
        <v>1036572.0644068207</v>
      </c>
      <c r="Z31" s="31">
        <f>IF($B31=0,0, (INDEX(Option2!Z$106:Z$117, MATCH($D31, Option2!$G$106:$G$117,0)))*conv_2026*Z$7)</f>
        <v>1036572.0644068207</v>
      </c>
      <c r="AA31" s="31">
        <f>IF($B31=0,0, (INDEX(Option2!AA$106:AA$117, MATCH($D31, Option2!$G$106:$G$117,0)))*conv_2026*AA$7)</f>
        <v>1036572.0644068207</v>
      </c>
      <c r="AB31" s="31">
        <f>IF($B31=0,0, (INDEX(Option2!AB$106:AB$117, MATCH($D31, Option2!$G$106:$G$117,0)))*conv_2026*AB$7)</f>
        <v>1036572.0644068207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8" t="s">
        <v>131</v>
      </c>
      <c r="B32" s="258" t="str">
        <f>Option2!A112</f>
        <v>sens3</v>
      </c>
      <c r="C32" s="258" t="str">
        <f>Option2!C112</f>
        <v>Total benefits 10% higher</v>
      </c>
      <c r="D32" s="258" t="str">
        <f t="shared" si="2"/>
        <v>Option 2sens3</v>
      </c>
      <c r="E32" s="259"/>
      <c r="F32" s="31">
        <f t="shared" si="3"/>
        <v>11763818.562424812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259944.54945029819</v>
      </c>
      <c r="K32" s="31">
        <f>IF($B32=0,0, (INDEX(Option2!K$106:K$117, MATCH($D32, Option2!$G$106:$G$117,0)))*conv_2026*K$7)</f>
        <v>224874.10609082793</v>
      </c>
      <c r="L32" s="31">
        <f>IF($B32=0,0, (INDEX(Option2!L$106:L$117, MATCH($D32, Option2!$G$106:$G$117,0)))*conv_2026*L$7)</f>
        <v>364335.73905544583</v>
      </c>
      <c r="M32" s="31">
        <f>IF($B32=0,0, (INDEX(Option2!M$106:M$117, MATCH($D32, Option2!$G$106:$G$117,0)))*conv_2026*M$7)</f>
        <v>487705.64513953071</v>
      </c>
      <c r="N32" s="31">
        <f>IF($B32=0,0, (INDEX(Option2!N$106:N$117, MATCH($D32, Option2!$G$106:$G$117,0)))*conv_2026*N$7)</f>
        <v>627167.27810414834</v>
      </c>
      <c r="O32" s="31">
        <f>IF($B32=0,0, (INDEX(Option2!O$106:O$117, MATCH($D32, Option2!$G$106:$G$117,0)))*conv_2026*O$7)</f>
        <v>857815.36339178565</v>
      </c>
      <c r="P32" s="31">
        <f>IF($B32=0,0, (INDEX(Option2!P$106:P$117, MATCH($D32, Option2!$G$106:$G$117,0)))*conv_2026*P$7)</f>
        <v>1136738.629321021</v>
      </c>
      <c r="Q32" s="31">
        <f>IF($B32=0,0, (INDEX(Option2!Q$106:Q$117, MATCH($D32, Option2!$G$106:$G$117,0)))*conv_2026*Q$7)</f>
        <v>1136738.629321021</v>
      </c>
      <c r="R32" s="31">
        <f>IF($B32=0,0, (INDEX(Option2!R$106:R$117, MATCH($D32, Option2!$G$106:$G$117,0)))*conv_2026*R$7)</f>
        <v>1136738.629321021</v>
      </c>
      <c r="S32" s="31">
        <f>IF($B32=0,0, (INDEX(Option2!S$106:S$117, MATCH($D32, Option2!$G$106:$G$117,0)))*conv_2026*S$7)</f>
        <v>1136738.629321021</v>
      </c>
      <c r="T32" s="31">
        <f>IF($B32=0,0, (INDEX(Option2!T$106:T$117, MATCH($D32, Option2!$G$106:$G$117,0)))*conv_2026*T$7)</f>
        <v>1136738.629321021</v>
      </c>
      <c r="U32" s="31">
        <f>IF($B32=0,0, (INDEX(Option2!U$106:U$117, MATCH($D32, Option2!$G$106:$G$117,0)))*conv_2026*U$7)</f>
        <v>1136738.629321021</v>
      </c>
      <c r="V32" s="31">
        <f>IF($B32=0,0, (INDEX(Option2!V$106:V$117, MATCH($D32, Option2!$G$106:$G$117,0)))*conv_2026*V$7)</f>
        <v>1136738.629321021</v>
      </c>
      <c r="W32" s="31">
        <f>IF($B32=0,0, (INDEX(Option2!W$106:W$117, MATCH($D32, Option2!$G$106:$G$117,0)))*conv_2026*W$7)</f>
        <v>1136738.629321021</v>
      </c>
      <c r="X32" s="31">
        <f>IF($B32=0,0, (INDEX(Option2!X$106:X$117, MATCH($D32, Option2!$G$106:$G$117,0)))*conv_2026*X$7)</f>
        <v>1136738.629321021</v>
      </c>
      <c r="Y32" s="31">
        <f>IF($B32=0,0, (INDEX(Option2!Y$106:Y$117, MATCH($D32, Option2!$G$106:$G$117,0)))*conv_2026*Y$7)</f>
        <v>1136738.629321021</v>
      </c>
      <c r="Z32" s="31">
        <f>IF($B32=0,0, (INDEX(Option2!Z$106:Z$117, MATCH($D32, Option2!$G$106:$G$117,0)))*conv_2026*Z$7)</f>
        <v>1136738.629321021</v>
      </c>
      <c r="AA32" s="31">
        <f>IF($B32=0,0, (INDEX(Option2!AA$106:AA$117, MATCH($D32, Option2!$G$106:$G$117,0)))*conv_2026*AA$7)</f>
        <v>1136738.629321021</v>
      </c>
      <c r="AB32" s="31">
        <f>IF($B32=0,0, (INDEX(Option2!AB$106:AB$117, MATCH($D32, Option2!$G$106:$G$117,0)))*conv_2026*AB$7)</f>
        <v>1136738.629321021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8" t="s">
        <v>131</v>
      </c>
      <c r="B33" s="258" t="str">
        <f>Option2!A113</f>
        <v>sens4</v>
      </c>
      <c r="C33" s="258" t="str">
        <f>Option2!C113</f>
        <v>Total benefits 10% lower</v>
      </c>
      <c r="D33" s="258" t="str">
        <f t="shared" si="2"/>
        <v>Option 2sens4</v>
      </c>
      <c r="E33" s="259"/>
      <c r="F33" s="31">
        <f t="shared" si="3"/>
        <v>8799806.7401323933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180948.7993095007</v>
      </c>
      <c r="K33" s="31">
        <f>IF($B33=0,0, (INDEX(Option2!K$106:K$117, MATCH($D33, Option2!$G$106:$G$117,0)))*conv_2026*K$7)</f>
        <v>120521.69541100899</v>
      </c>
      <c r="L33" s="31">
        <f>IF($B33=0,0, (INDEX(Option2!L$106:L$117, MATCH($D33, Option2!$G$106:$G$117,0)))*conv_2026*L$7)</f>
        <v>234626.66783660548</v>
      </c>
      <c r="M33" s="31">
        <f>IF($B33=0,0, (INDEX(Option2!M$106:M$117, MATCH($D33, Option2!$G$106:$G$117,0)))*conv_2026*M$7)</f>
        <v>335565.6819054021</v>
      </c>
      <c r="N33" s="31">
        <f>IF($B33=0,0, (INDEX(Option2!N$106:N$117, MATCH($D33, Option2!$G$106:$G$117,0)))*conv_2026*N$7)</f>
        <v>449670.65433099848</v>
      </c>
      <c r="O33" s="31">
        <f>IF($B33=0,0, (INDEX(Option2!O$106:O$117, MATCH($D33, Option2!$G$106:$G$117,0)))*conv_2026*O$7)</f>
        <v>638382.72411179263</v>
      </c>
      <c r="P33" s="31">
        <f>IF($B33=0,0, (INDEX(Option2!P$106:P$117, MATCH($D33, Option2!$G$106:$G$117,0)))*conv_2026*P$7)</f>
        <v>866592.66896298504</v>
      </c>
      <c r="Q33" s="31">
        <f>IF($B33=0,0, (INDEX(Option2!Q$106:Q$117, MATCH($D33, Option2!$G$106:$G$117,0)))*conv_2026*Q$7)</f>
        <v>866592.66896298504</v>
      </c>
      <c r="R33" s="31">
        <f>IF($B33=0,0, (INDEX(Option2!R$106:R$117, MATCH($D33, Option2!$G$106:$G$117,0)))*conv_2026*R$7)</f>
        <v>866592.66896298504</v>
      </c>
      <c r="S33" s="31">
        <f>IF($B33=0,0, (INDEX(Option2!S$106:S$117, MATCH($D33, Option2!$G$106:$G$117,0)))*conv_2026*S$7)</f>
        <v>866592.66896298504</v>
      </c>
      <c r="T33" s="31">
        <f>IF($B33=0,0, (INDEX(Option2!T$106:T$117, MATCH($D33, Option2!$G$106:$G$117,0)))*conv_2026*T$7)</f>
        <v>866592.66896298504</v>
      </c>
      <c r="U33" s="31">
        <f>IF($B33=0,0, (INDEX(Option2!U$106:U$117, MATCH($D33, Option2!$G$106:$G$117,0)))*conv_2026*U$7)</f>
        <v>866592.66896298504</v>
      </c>
      <c r="V33" s="31">
        <f>IF($B33=0,0, (INDEX(Option2!V$106:V$117, MATCH($D33, Option2!$G$106:$G$117,0)))*conv_2026*V$7)</f>
        <v>866592.66896298504</v>
      </c>
      <c r="W33" s="31">
        <f>IF($B33=0,0, (INDEX(Option2!W$106:W$117, MATCH($D33, Option2!$G$106:$G$117,0)))*conv_2026*W$7)</f>
        <v>866592.66896298504</v>
      </c>
      <c r="X33" s="31">
        <f>IF($B33=0,0, (INDEX(Option2!X$106:X$117, MATCH($D33, Option2!$G$106:$G$117,0)))*conv_2026*X$7)</f>
        <v>866592.66896298504</v>
      </c>
      <c r="Y33" s="31">
        <f>IF($B33=0,0, (INDEX(Option2!Y$106:Y$117, MATCH($D33, Option2!$G$106:$G$117,0)))*conv_2026*Y$7)</f>
        <v>866592.66896298504</v>
      </c>
      <c r="Z33" s="31">
        <f>IF($B33=0,0, (INDEX(Option2!Z$106:Z$117, MATCH($D33, Option2!$G$106:$G$117,0)))*conv_2026*Z$7)</f>
        <v>866592.66896298504</v>
      </c>
      <c r="AA33" s="31">
        <f>IF($B33=0,0, (INDEX(Option2!AA$106:AA$117, MATCH($D33, Option2!$G$106:$G$117,0)))*conv_2026*AA$7)</f>
        <v>866592.66896298504</v>
      </c>
      <c r="AB33" s="31">
        <f>IF($B33=0,0, (INDEX(Option2!AB$106:AB$117, MATCH($D33, Option2!$G$106:$G$117,0)))*conv_2026*AB$7)</f>
        <v>866592.66896298504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8" t="s">
        <v>131</v>
      </c>
      <c r="B34" s="258" t="str">
        <f>Option2!A114</f>
        <v>sens5</v>
      </c>
      <c r="C34" s="258" t="str">
        <f>Option2!C114</f>
        <v>Capex 10% higher &amp; Total benefits 10% lower</v>
      </c>
      <c r="D34" s="258" t="str">
        <f t="shared" si="2"/>
        <v>Option 2sens5</v>
      </c>
      <c r="E34" s="259"/>
      <c r="F34" s="31">
        <f t="shared" si="3"/>
        <v>8345982.0941140428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163495.59167709187</v>
      </c>
      <c r="K34" s="31">
        <f>IF($B34=0,0, (INDEX(Option2!K$106:K$117, MATCH($D34, Option2!$G$106:$G$117,0)))*conv_2026*K$7)</f>
        <v>85615.280146191391</v>
      </c>
      <c r="L34" s="31">
        <f>IF($B34=0,0, (INDEX(Option2!L$106:L$117, MATCH($D34, Option2!$G$106:$G$117,0)))*conv_2026*L$7)</f>
        <v>199720.25257178786</v>
      </c>
      <c r="M34" s="31">
        <f>IF($B34=0,0, (INDEX(Option2!M$106:M$117, MATCH($D34, Option2!$G$106:$G$117,0)))*conv_2026*M$7)</f>
        <v>300659.26664058451</v>
      </c>
      <c r="N34" s="31">
        <f>IF($B34=0,0, (INDEX(Option2!N$106:N$117, MATCH($D34, Option2!$G$106:$G$117,0)))*conv_2026*N$7)</f>
        <v>414764.23906618089</v>
      </c>
      <c r="O34" s="31">
        <f>IF($B34=0,0, (INDEX(Option2!O$106:O$117, MATCH($D34, Option2!$G$106:$G$117,0)))*conv_2026*O$7)</f>
        <v>603476.30884697509</v>
      </c>
      <c r="P34" s="31">
        <f>IF($B34=0,0, (INDEX(Option2!P$106:P$117, MATCH($D34, Option2!$G$106:$G$117,0)))*conv_2026*P$7)</f>
        <v>831686.25369816751</v>
      </c>
      <c r="Q34" s="31">
        <f>IF($B34=0,0, (INDEX(Option2!Q$106:Q$117, MATCH($D34, Option2!$G$106:$G$117,0)))*conv_2026*Q$7)</f>
        <v>831686.25369816751</v>
      </c>
      <c r="R34" s="31">
        <f>IF($B34=0,0, (INDEX(Option2!R$106:R$117, MATCH($D34, Option2!$G$106:$G$117,0)))*conv_2026*R$7)</f>
        <v>831686.25369816751</v>
      </c>
      <c r="S34" s="31">
        <f>IF($B34=0,0, (INDEX(Option2!S$106:S$117, MATCH($D34, Option2!$G$106:$G$117,0)))*conv_2026*S$7)</f>
        <v>831686.25369816751</v>
      </c>
      <c r="T34" s="31">
        <f>IF($B34=0,0, (INDEX(Option2!T$106:T$117, MATCH($D34, Option2!$G$106:$G$117,0)))*conv_2026*T$7)</f>
        <v>831686.25369816751</v>
      </c>
      <c r="U34" s="31">
        <f>IF($B34=0,0, (INDEX(Option2!U$106:U$117, MATCH($D34, Option2!$G$106:$G$117,0)))*conv_2026*U$7)</f>
        <v>831686.25369816751</v>
      </c>
      <c r="V34" s="31">
        <f>IF($B34=0,0, (INDEX(Option2!V$106:V$117, MATCH($D34, Option2!$G$106:$G$117,0)))*conv_2026*V$7)</f>
        <v>831686.25369816751</v>
      </c>
      <c r="W34" s="31">
        <f>IF($B34=0,0, (INDEX(Option2!W$106:W$117, MATCH($D34, Option2!$G$106:$G$117,0)))*conv_2026*W$7)</f>
        <v>831686.25369816751</v>
      </c>
      <c r="X34" s="31">
        <f>IF($B34=0,0, (INDEX(Option2!X$106:X$117, MATCH($D34, Option2!$G$106:$G$117,0)))*conv_2026*X$7)</f>
        <v>831686.25369816751</v>
      </c>
      <c r="Y34" s="31">
        <f>IF($B34=0,0, (INDEX(Option2!Y$106:Y$117, MATCH($D34, Option2!$G$106:$G$117,0)))*conv_2026*Y$7)</f>
        <v>831686.25369816751</v>
      </c>
      <c r="Z34" s="31">
        <f>IF($B34=0,0, (INDEX(Option2!Z$106:Z$117, MATCH($D34, Option2!$G$106:$G$117,0)))*conv_2026*Z$7)</f>
        <v>831686.25369816751</v>
      </c>
      <c r="AA34" s="31">
        <f>IF($B34=0,0, (INDEX(Option2!AA$106:AA$117, MATCH($D34, Option2!$G$106:$G$117,0)))*conv_2026*AA$7)</f>
        <v>831686.25369816751</v>
      </c>
      <c r="AB34" s="31">
        <f>IF($B34=0,0, (INDEX(Option2!AB$106:AB$117, MATCH($D34, Option2!$G$106:$G$117,0)))*conv_2026*AB$7)</f>
        <v>831686.25369816751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8" t="s">
        <v>131</v>
      </c>
      <c r="B35" s="258" t="str">
        <f>Option2!A115</f>
        <v>sens</v>
      </c>
      <c r="C35" s="258">
        <f>Option2!C115</f>
        <v>0</v>
      </c>
      <c r="D35" s="258" t="str">
        <f t="shared" si="2"/>
        <v>Option 2sens</v>
      </c>
      <c r="E35" s="259"/>
      <c r="F35" s="31">
        <f t="shared" si="3"/>
        <v>10281812.651278604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220446.67437989943</v>
      </c>
      <c r="K35" s="31">
        <f>IF($B35=0,0, (INDEX(Option2!K$106:K$117, MATCH($D35, Option2!$G$106:$G$117,0)))*conv_2026*K$7)</f>
        <v>172697.90075091846</v>
      </c>
      <c r="L35" s="31">
        <f>IF($B35=0,0, (INDEX(Option2!L$106:L$117, MATCH($D35, Option2!$G$106:$G$117,0)))*conv_2026*L$7)</f>
        <v>299481.20344602567</v>
      </c>
      <c r="M35" s="31">
        <f>IF($B35=0,0, (INDEX(Option2!M$106:M$117, MATCH($D35, Option2!$G$106:$G$117,0)))*conv_2026*M$7)</f>
        <v>411635.66352246638</v>
      </c>
      <c r="N35" s="31">
        <f>IF($B35=0,0, (INDEX(Option2!N$106:N$117, MATCH($D35, Option2!$G$106:$G$117,0)))*conv_2026*N$7)</f>
        <v>538418.9662175735</v>
      </c>
      <c r="O35" s="31">
        <f>IF($B35=0,0, (INDEX(Option2!O$106:O$117, MATCH($D35, Option2!$G$106:$G$117,0)))*conv_2026*O$7)</f>
        <v>748099.04375178914</v>
      </c>
      <c r="P35" s="31">
        <f>IF($B35=0,0, (INDEX(Option2!P$106:P$117, MATCH($D35, Option2!$G$106:$G$117,0)))*conv_2026*P$7)</f>
        <v>1001665.649142003</v>
      </c>
      <c r="Q35" s="31">
        <f>IF($B35=0,0, (INDEX(Option2!Q$106:Q$117, MATCH($D35, Option2!$G$106:$G$117,0)))*conv_2026*Q$7)</f>
        <v>1001665.649142003</v>
      </c>
      <c r="R35" s="31">
        <f>IF($B35=0,0, (INDEX(Option2!R$106:R$117, MATCH($D35, Option2!$G$106:$G$117,0)))*conv_2026*R$7)</f>
        <v>1001665.649142003</v>
      </c>
      <c r="S35" s="31">
        <f>IF($B35=0,0, (INDEX(Option2!S$106:S$117, MATCH($D35, Option2!$G$106:$G$117,0)))*conv_2026*S$7)</f>
        <v>1001665.649142003</v>
      </c>
      <c r="T35" s="31">
        <f>IF($B35=0,0, (INDEX(Option2!T$106:T$117, MATCH($D35, Option2!$G$106:$G$117,0)))*conv_2026*T$7)</f>
        <v>1001665.649142003</v>
      </c>
      <c r="U35" s="31">
        <f>IF($B35=0,0, (INDEX(Option2!U$106:U$117, MATCH($D35, Option2!$G$106:$G$117,0)))*conv_2026*U$7)</f>
        <v>1001665.649142003</v>
      </c>
      <c r="V35" s="31">
        <f>IF($B35=0,0, (INDEX(Option2!V$106:V$117, MATCH($D35, Option2!$G$106:$G$117,0)))*conv_2026*V$7)</f>
        <v>1001665.649142003</v>
      </c>
      <c r="W35" s="31">
        <f>IF($B35=0,0, (INDEX(Option2!W$106:W$117, MATCH($D35, Option2!$G$106:$G$117,0)))*conv_2026*W$7)</f>
        <v>1001665.649142003</v>
      </c>
      <c r="X35" s="31">
        <f>IF($B35=0,0, (INDEX(Option2!X$106:X$117, MATCH($D35, Option2!$G$106:$G$117,0)))*conv_2026*X$7)</f>
        <v>1001665.649142003</v>
      </c>
      <c r="Y35" s="31">
        <f>IF($B35=0,0, (INDEX(Option2!Y$106:Y$117, MATCH($D35, Option2!$G$106:$G$117,0)))*conv_2026*Y$7)</f>
        <v>1001665.649142003</v>
      </c>
      <c r="Z35" s="31">
        <f>IF($B35=0,0, (INDEX(Option2!Z$106:Z$117, MATCH($D35, Option2!$G$106:$G$117,0)))*conv_2026*Z$7)</f>
        <v>1001665.649142003</v>
      </c>
      <c r="AA35" s="31">
        <f>IF($B35=0,0, (INDEX(Option2!AA$106:AA$117, MATCH($D35, Option2!$G$106:$G$117,0)))*conv_2026*AA$7)</f>
        <v>1001665.649142003</v>
      </c>
      <c r="AB35" s="31">
        <f>IF($B35=0,0, (INDEX(Option2!AB$106:AB$117, MATCH($D35, Option2!$G$106:$G$117,0)))*conv_2026*AB$7)</f>
        <v>1001665.649142003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8" t="s">
        <v>131</v>
      </c>
      <c r="B36" s="258" t="str">
        <f>Option2!A116</f>
        <v>sens</v>
      </c>
      <c r="C36" s="258">
        <f>Option2!C116</f>
        <v>0</v>
      </c>
      <c r="D36" s="258" t="str">
        <f t="shared" si="2"/>
        <v>Option 2sens</v>
      </c>
      <c r="E36" s="259"/>
      <c r="F36" s="31">
        <f t="shared" si="3"/>
        <v>10281812.651278604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220446.67437989943</v>
      </c>
      <c r="K36" s="31">
        <f>IF($B36=0,0, (INDEX(Option2!K$106:K$117, MATCH($D36, Option2!$G$106:$G$117,0)))*conv_2026*K$7)</f>
        <v>172697.90075091846</v>
      </c>
      <c r="L36" s="31">
        <f>IF($B36=0,0, (INDEX(Option2!L$106:L$117, MATCH($D36, Option2!$G$106:$G$117,0)))*conv_2026*L$7)</f>
        <v>299481.20344602567</v>
      </c>
      <c r="M36" s="31">
        <f>IF($B36=0,0, (INDEX(Option2!M$106:M$117, MATCH($D36, Option2!$G$106:$G$117,0)))*conv_2026*M$7)</f>
        <v>411635.66352246638</v>
      </c>
      <c r="N36" s="31">
        <f>IF($B36=0,0, (INDEX(Option2!N$106:N$117, MATCH($D36, Option2!$G$106:$G$117,0)))*conv_2026*N$7)</f>
        <v>538418.9662175735</v>
      </c>
      <c r="O36" s="31">
        <f>IF($B36=0,0, (INDEX(Option2!O$106:O$117, MATCH($D36, Option2!$G$106:$G$117,0)))*conv_2026*O$7)</f>
        <v>748099.04375178914</v>
      </c>
      <c r="P36" s="31">
        <f>IF($B36=0,0, (INDEX(Option2!P$106:P$117, MATCH($D36, Option2!$G$106:$G$117,0)))*conv_2026*P$7)</f>
        <v>1001665.649142003</v>
      </c>
      <c r="Q36" s="31">
        <f>IF($B36=0,0, (INDEX(Option2!Q$106:Q$117, MATCH($D36, Option2!$G$106:$G$117,0)))*conv_2026*Q$7)</f>
        <v>1001665.649142003</v>
      </c>
      <c r="R36" s="31">
        <f>IF($B36=0,0, (INDEX(Option2!R$106:R$117, MATCH($D36, Option2!$G$106:$G$117,0)))*conv_2026*R$7)</f>
        <v>1001665.649142003</v>
      </c>
      <c r="S36" s="31">
        <f>IF($B36=0,0, (INDEX(Option2!S$106:S$117, MATCH($D36, Option2!$G$106:$G$117,0)))*conv_2026*S$7)</f>
        <v>1001665.649142003</v>
      </c>
      <c r="T36" s="31">
        <f>IF($B36=0,0, (INDEX(Option2!T$106:T$117, MATCH($D36, Option2!$G$106:$G$117,0)))*conv_2026*T$7)</f>
        <v>1001665.649142003</v>
      </c>
      <c r="U36" s="31">
        <f>IF($B36=0,0, (INDEX(Option2!U$106:U$117, MATCH($D36, Option2!$G$106:$G$117,0)))*conv_2026*U$7)</f>
        <v>1001665.649142003</v>
      </c>
      <c r="V36" s="31">
        <f>IF($B36=0,0, (INDEX(Option2!V$106:V$117, MATCH($D36, Option2!$G$106:$G$117,0)))*conv_2026*V$7)</f>
        <v>1001665.649142003</v>
      </c>
      <c r="W36" s="31">
        <f>IF($B36=0,0, (INDEX(Option2!W$106:W$117, MATCH($D36, Option2!$G$106:$G$117,0)))*conv_2026*W$7)</f>
        <v>1001665.649142003</v>
      </c>
      <c r="X36" s="31">
        <f>IF($B36=0,0, (INDEX(Option2!X$106:X$117, MATCH($D36, Option2!$G$106:$G$117,0)))*conv_2026*X$7)</f>
        <v>1001665.649142003</v>
      </c>
      <c r="Y36" s="31">
        <f>IF($B36=0,0, (INDEX(Option2!Y$106:Y$117, MATCH($D36, Option2!$G$106:$G$117,0)))*conv_2026*Y$7)</f>
        <v>1001665.649142003</v>
      </c>
      <c r="Z36" s="31">
        <f>IF($B36=0,0, (INDEX(Option2!Z$106:Z$117, MATCH($D36, Option2!$G$106:$G$117,0)))*conv_2026*Z$7)</f>
        <v>1001665.649142003</v>
      </c>
      <c r="AA36" s="31">
        <f>IF($B36=0,0, (INDEX(Option2!AA$106:AA$117, MATCH($D36, Option2!$G$106:$G$117,0)))*conv_2026*AA$7)</f>
        <v>1001665.649142003</v>
      </c>
      <c r="AB36" s="31">
        <f>IF($B36=0,0, (INDEX(Option2!AB$106:AB$117, MATCH($D36, Option2!$G$106:$G$117,0)))*conv_2026*AB$7)</f>
        <v>1001665.649142003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8" t="s">
        <v>131</v>
      </c>
      <c r="B37" s="258" t="str">
        <f>Option2!A117</f>
        <v>sens</v>
      </c>
      <c r="C37" s="258">
        <f>Option2!C117</f>
        <v>0</v>
      </c>
      <c r="D37" s="258" t="str">
        <f t="shared" si="2"/>
        <v>Option 2sens</v>
      </c>
      <c r="E37" s="259"/>
      <c r="F37" s="31">
        <f t="shared" si="3"/>
        <v>10281812.651278604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220446.67437989943</v>
      </c>
      <c r="K37" s="31">
        <f>IF($B37=0,0, (INDEX(Option2!K$106:K$117, MATCH($D37, Option2!$G$106:$G$117,0)))*conv_2026*K$7)</f>
        <v>172697.90075091846</v>
      </c>
      <c r="L37" s="31">
        <f>IF($B37=0,0, (INDEX(Option2!L$106:L$117, MATCH($D37, Option2!$G$106:$G$117,0)))*conv_2026*L$7)</f>
        <v>299481.20344602567</v>
      </c>
      <c r="M37" s="31">
        <f>IF($B37=0,0, (INDEX(Option2!M$106:M$117, MATCH($D37, Option2!$G$106:$G$117,0)))*conv_2026*M$7)</f>
        <v>411635.66352246638</v>
      </c>
      <c r="N37" s="31">
        <f>IF($B37=0,0, (INDEX(Option2!N$106:N$117, MATCH($D37, Option2!$G$106:$G$117,0)))*conv_2026*N$7)</f>
        <v>538418.9662175735</v>
      </c>
      <c r="O37" s="31">
        <f>IF($B37=0,0, (INDEX(Option2!O$106:O$117, MATCH($D37, Option2!$G$106:$G$117,0)))*conv_2026*O$7)</f>
        <v>748099.04375178914</v>
      </c>
      <c r="P37" s="31">
        <f>IF($B37=0,0, (INDEX(Option2!P$106:P$117, MATCH($D37, Option2!$G$106:$G$117,0)))*conv_2026*P$7)</f>
        <v>1001665.649142003</v>
      </c>
      <c r="Q37" s="31">
        <f>IF($B37=0,0, (INDEX(Option2!Q$106:Q$117, MATCH($D37, Option2!$G$106:$G$117,0)))*conv_2026*Q$7)</f>
        <v>1001665.649142003</v>
      </c>
      <c r="R37" s="31">
        <f>IF($B37=0,0, (INDEX(Option2!R$106:R$117, MATCH($D37, Option2!$G$106:$G$117,0)))*conv_2026*R$7)</f>
        <v>1001665.649142003</v>
      </c>
      <c r="S37" s="31">
        <f>IF($B37=0,0, (INDEX(Option2!S$106:S$117, MATCH($D37, Option2!$G$106:$G$117,0)))*conv_2026*S$7)</f>
        <v>1001665.649142003</v>
      </c>
      <c r="T37" s="31">
        <f>IF($B37=0,0, (INDEX(Option2!T$106:T$117, MATCH($D37, Option2!$G$106:$G$117,0)))*conv_2026*T$7)</f>
        <v>1001665.649142003</v>
      </c>
      <c r="U37" s="31">
        <f>IF($B37=0,0, (INDEX(Option2!U$106:U$117, MATCH($D37, Option2!$G$106:$G$117,0)))*conv_2026*U$7)</f>
        <v>1001665.649142003</v>
      </c>
      <c r="V37" s="31">
        <f>IF($B37=0,0, (INDEX(Option2!V$106:V$117, MATCH($D37, Option2!$G$106:$G$117,0)))*conv_2026*V$7)</f>
        <v>1001665.649142003</v>
      </c>
      <c r="W37" s="31">
        <f>IF($B37=0,0, (INDEX(Option2!W$106:W$117, MATCH($D37, Option2!$G$106:$G$117,0)))*conv_2026*W$7)</f>
        <v>1001665.649142003</v>
      </c>
      <c r="X37" s="31">
        <f>IF($B37=0,0, (INDEX(Option2!X$106:X$117, MATCH($D37, Option2!$G$106:$G$117,0)))*conv_2026*X$7)</f>
        <v>1001665.649142003</v>
      </c>
      <c r="Y37" s="31">
        <f>IF($B37=0,0, (INDEX(Option2!Y$106:Y$117, MATCH($D37, Option2!$G$106:$G$117,0)))*conv_2026*Y$7)</f>
        <v>1001665.649142003</v>
      </c>
      <c r="Z37" s="31">
        <f>IF($B37=0,0, (INDEX(Option2!Z$106:Z$117, MATCH($D37, Option2!$G$106:$G$117,0)))*conv_2026*Z$7)</f>
        <v>1001665.649142003</v>
      </c>
      <c r="AA37" s="31">
        <f>IF($B37=0,0, (INDEX(Option2!AA$106:AA$117, MATCH($D37, Option2!$G$106:$G$117,0)))*conv_2026*AA$7)</f>
        <v>1001665.649142003</v>
      </c>
      <c r="AB37" s="31">
        <f>IF($B37=0,0, (INDEX(Option2!AB$106:AB$117, MATCH($D37, Option2!$G$106:$G$117,0)))*conv_2026*AB$7)</f>
        <v>1001665.649142003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8"/>
      <c r="B38" s="258"/>
      <c r="C38" s="258"/>
      <c r="D38" s="258"/>
      <c r="E38" s="258"/>
      <c r="F38" s="31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spans="1:35" s="8" customFormat="1" x14ac:dyDescent="0.2">
      <c r="A39" s="258"/>
      <c r="B39" s="258"/>
      <c r="C39" s="258"/>
      <c r="D39" s="258"/>
      <c r="E39" s="258"/>
      <c r="F39" s="31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spans="1:35" s="8" customFormat="1" x14ac:dyDescent="0.2">
      <c r="A40" s="258"/>
      <c r="B40" s="258"/>
      <c r="C40" s="258"/>
      <c r="D40" s="258"/>
      <c r="E40" s="258"/>
      <c r="F40" s="31"/>
      <c r="H40" s="31">
        <f>Consol!H50</f>
        <v>0</v>
      </c>
      <c r="I40" s="31">
        <f>Consol!I50</f>
        <v>0</v>
      </c>
      <c r="J40" s="31">
        <f>Consol!J50</f>
        <v>-46196.201629496354</v>
      </c>
      <c r="K40" s="31">
        <f>Consol!K50</f>
        <v>80587.10106561071</v>
      </c>
      <c r="L40" s="31">
        <f>Consol!L50</f>
        <v>207370.40376071789</v>
      </c>
      <c r="M40" s="31">
        <f>Consol!M50</f>
        <v>319524.8638371586</v>
      </c>
      <c r="N40" s="31">
        <f>Consol!N50</f>
        <v>412174.20042204455</v>
      </c>
      <c r="O40" s="31">
        <f>Consol!O50</f>
        <v>607225.43533759401</v>
      </c>
      <c r="P40" s="31">
        <f>Consol!P50</f>
        <v>860792.04072780791</v>
      </c>
      <c r="Q40" s="31">
        <f>Consol!Q50</f>
        <v>860792.04072780791</v>
      </c>
      <c r="R40" s="31">
        <f>Consol!R50</f>
        <v>860792.04072780791</v>
      </c>
      <c r="S40" s="31">
        <f>Consol!S50</f>
        <v>860792.04072780791</v>
      </c>
      <c r="T40" s="31">
        <f>Consol!T50</f>
        <v>860792.04072780791</v>
      </c>
      <c r="U40" s="31">
        <f>Consol!U50</f>
        <v>860792.04072780791</v>
      </c>
      <c r="V40" s="31">
        <f>Consol!V50</f>
        <v>860792.04072780791</v>
      </c>
      <c r="W40" s="31">
        <f>Consol!W50</f>
        <v>860792.04072780791</v>
      </c>
      <c r="X40" s="31">
        <f>Consol!X50</f>
        <v>860792.04072780791</v>
      </c>
      <c r="Y40" s="31">
        <f>Consol!Y50</f>
        <v>860792.04072780791</v>
      </c>
      <c r="Z40" s="31">
        <f>Consol!Z50</f>
        <v>860792.04072780791</v>
      </c>
      <c r="AA40" s="31">
        <f>Consol!AA50</f>
        <v>860792.04072780791</v>
      </c>
      <c r="AB40" s="31">
        <f>Consol!AB50</f>
        <v>860792.04072780791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8"/>
      <c r="B41" s="258"/>
      <c r="C41" s="258"/>
      <c r="D41" s="258"/>
      <c r="E41" s="258"/>
      <c r="F41" s="31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spans="1:35" s="8" customFormat="1" x14ac:dyDescent="0.2">
      <c r="A42" s="258" t="s">
        <v>132</v>
      </c>
      <c r="B42" s="258" t="s">
        <v>119</v>
      </c>
      <c r="C42" s="258" t="s">
        <v>188</v>
      </c>
      <c r="D42" s="258" t="str">
        <f>A42&amp;B42</f>
        <v>Option 3NPV</v>
      </c>
      <c r="E42" s="259"/>
      <c r="F42" s="31">
        <f t="shared" ref="F42:F51" si="4">SUMPRODUCT($H42:$AG42, $H$5:$AG$5)</f>
        <v>8405802.9357208405</v>
      </c>
      <c r="G42" s="251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-46196.201629496376</v>
      </c>
      <c r="K42" s="31">
        <f>(INDEX(Option3!K$106:K$117, MATCH($D42, Option3!$G$106:$G$117,0)))*conv_2026*K$7</f>
        <v>80587.101065610681</v>
      </c>
      <c r="L42" s="31">
        <f>(INDEX(Option3!L$106:L$117, MATCH($D42, Option3!$G$106:$G$117,0)))*conv_2026*L$7</f>
        <v>207370.40376071786</v>
      </c>
      <c r="M42" s="31">
        <f>(INDEX(Option3!M$106:M$117, MATCH($D42, Option3!$G$106:$G$117,0)))*conv_2026*M$7</f>
        <v>319524.8638371586</v>
      </c>
      <c r="N42" s="31">
        <f>(INDEX(Option3!N$106:N$117, MATCH($D42, Option3!$G$106:$G$117,0)))*conv_2026*N$7</f>
        <v>412174.20042204449</v>
      </c>
      <c r="O42" s="31">
        <f>(INDEX(Option3!O$106:O$117, MATCH($D42, Option3!$G$106:$G$117,0)))*conv_2026*O$7</f>
        <v>607225.43533759413</v>
      </c>
      <c r="P42" s="31">
        <f>(INDEX(Option3!P$106:P$117, MATCH($D42, Option3!$G$106:$G$117,0)))*conv_2026*P$7</f>
        <v>860792.04072780791</v>
      </c>
      <c r="Q42" s="31">
        <f>(INDEX(Option3!Q$106:Q$117, MATCH($D42, Option3!$G$106:$G$117,0)))*conv_2026*Q$7</f>
        <v>860792.04072780791</v>
      </c>
      <c r="R42" s="31">
        <f>(INDEX(Option3!R$106:R$117, MATCH($D42, Option3!$G$106:$G$117,0)))*conv_2026*R$7</f>
        <v>860792.04072780791</v>
      </c>
      <c r="S42" s="31">
        <f>(INDEX(Option3!S$106:S$117, MATCH($D42, Option3!$G$106:$G$117,0)))*conv_2026*S$7</f>
        <v>860792.04072780791</v>
      </c>
      <c r="T42" s="31">
        <f>(INDEX(Option3!T$106:T$117, MATCH($D42, Option3!$G$106:$G$117,0)))*conv_2026*T$7</f>
        <v>860792.04072780791</v>
      </c>
      <c r="U42" s="31">
        <f>(INDEX(Option3!U$106:U$117, MATCH($D42, Option3!$G$106:$G$117,0)))*conv_2026*U$7</f>
        <v>860792.04072780791</v>
      </c>
      <c r="V42" s="31">
        <f>(INDEX(Option3!V$106:V$117, MATCH($D42, Option3!$G$106:$G$117,0)))*conv_2026*V$7</f>
        <v>860792.04072780791</v>
      </c>
      <c r="W42" s="31">
        <f>(INDEX(Option3!W$106:W$117, MATCH($D42, Option3!$G$106:$G$117,0)))*conv_2026*W$7</f>
        <v>860792.04072780791</v>
      </c>
      <c r="X42" s="31">
        <f>(INDEX(Option3!X$106:X$117, MATCH($D42, Option3!$G$106:$G$117,0)))*conv_2026*X$7</f>
        <v>860792.04072780791</v>
      </c>
      <c r="Y42" s="31">
        <f>(INDEX(Option3!Y$106:Y$117, MATCH($D42, Option3!$G$106:$G$117,0)))*conv_2026*Y$7</f>
        <v>860792.04072780791</v>
      </c>
      <c r="Z42" s="31">
        <f>(INDEX(Option3!Z$106:Z$117, MATCH($D42, Option3!$G$106:$G$117,0)))*conv_2026*Z$7</f>
        <v>860792.04072780791</v>
      </c>
      <c r="AA42" s="31">
        <f>(INDEX(Option3!AA$106:AA$117, MATCH($D42, Option3!$G$106:$G$117,0)))*conv_2026*AA$7</f>
        <v>860792.04072780791</v>
      </c>
      <c r="AB42" s="31">
        <f>(INDEX(Option3!AB$106:AB$117, MATCH($D42, Option3!$G$106:$G$117,0)))*conv_2026*AB$7</f>
        <v>860792.04072780791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50"/>
      <c r="B43" s="250"/>
      <c r="C43" s="250"/>
      <c r="D43" s="250"/>
      <c r="E43" s="250"/>
      <c r="F43" s="250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7"/>
      <c r="AI43" s="7"/>
    </row>
    <row r="44" spans="1:35" s="8" customFormat="1" x14ac:dyDescent="0.2">
      <c r="A44" s="258" t="s">
        <v>132</v>
      </c>
      <c r="B44" s="258" t="str">
        <f>Option3!A110</f>
        <v>sens1</v>
      </c>
      <c r="C44" s="258" t="str">
        <f>Option3!C110</f>
        <v>Capex 10% higher</v>
      </c>
      <c r="D44" s="258" t="str">
        <f t="shared" ref="D44:D51" si="5">A44&amp;B44</f>
        <v>Option 3sens1</v>
      </c>
      <c r="E44" s="259"/>
      <c r="F44" s="31">
        <f t="shared" si="4"/>
        <v>7830987.9060957367</v>
      </c>
      <c r="G44" s="251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-88850.812600978141</v>
      </c>
      <c r="K44" s="31">
        <f>(INDEX(Option3!K$106:K$117, MATCH($D44, Option3!$G$106:$G$117,0)))*conv_2026*K$7</f>
        <v>37932.490094128916</v>
      </c>
      <c r="L44" s="31">
        <f>(INDEX(Option3!L$106:L$117, MATCH($D44, Option3!$G$106:$G$117,0)))*conv_2026*L$7</f>
        <v>164715.79278923612</v>
      </c>
      <c r="M44" s="31">
        <f>(INDEX(Option3!M$106:M$117, MATCH($D44, Option3!$G$106:$G$117,0)))*conv_2026*M$7</f>
        <v>276870.25286567688</v>
      </c>
      <c r="N44" s="31">
        <f>(INDEX(Option3!N$106:N$117, MATCH($D44, Option3!$G$106:$G$117,0)))*conv_2026*N$7</f>
        <v>369519.58945056272</v>
      </c>
      <c r="O44" s="31">
        <f>(INDEX(Option3!O$106:O$117, MATCH($D44, Option3!$G$106:$G$117,0)))*conv_2026*O$7</f>
        <v>564570.82436611236</v>
      </c>
      <c r="P44" s="31">
        <f>(INDEX(Option3!P$106:P$117, MATCH($D44, Option3!$G$106:$G$117,0)))*conv_2026*P$7</f>
        <v>818137.42975632625</v>
      </c>
      <c r="Q44" s="31">
        <f>(INDEX(Option3!Q$106:Q$117, MATCH($D44, Option3!$G$106:$G$117,0)))*conv_2026*Q$7</f>
        <v>818137.42975632625</v>
      </c>
      <c r="R44" s="31">
        <f>(INDEX(Option3!R$106:R$117, MATCH($D44, Option3!$G$106:$G$117,0)))*conv_2026*R$7</f>
        <v>818137.42975632625</v>
      </c>
      <c r="S44" s="31">
        <f>(INDEX(Option3!S$106:S$117, MATCH($D44, Option3!$G$106:$G$117,0)))*conv_2026*S$7</f>
        <v>818137.42975632625</v>
      </c>
      <c r="T44" s="31">
        <f>(INDEX(Option3!T$106:T$117, MATCH($D44, Option3!$G$106:$G$117,0)))*conv_2026*T$7</f>
        <v>818137.42975632625</v>
      </c>
      <c r="U44" s="31">
        <f>(INDEX(Option3!U$106:U$117, MATCH($D44, Option3!$G$106:$G$117,0)))*conv_2026*U$7</f>
        <v>818137.42975632625</v>
      </c>
      <c r="V44" s="31">
        <f>(INDEX(Option3!V$106:V$117, MATCH($D44, Option3!$G$106:$G$117,0)))*conv_2026*V$7</f>
        <v>818137.42975632625</v>
      </c>
      <c r="W44" s="31">
        <f>(INDEX(Option3!W$106:W$117, MATCH($D44, Option3!$G$106:$G$117,0)))*conv_2026*W$7</f>
        <v>818137.42975632625</v>
      </c>
      <c r="X44" s="31">
        <f>(INDEX(Option3!X$106:X$117, MATCH($D44, Option3!$G$106:$G$117,0)))*conv_2026*X$7</f>
        <v>818137.42975632625</v>
      </c>
      <c r="Y44" s="31">
        <f>(INDEX(Option3!Y$106:Y$117, MATCH($D44, Option3!$G$106:$G$117,0)))*conv_2026*Y$7</f>
        <v>818137.42975632625</v>
      </c>
      <c r="Z44" s="31">
        <f>(INDEX(Option3!Z$106:Z$117, MATCH($D44, Option3!$G$106:$G$117,0)))*conv_2026*Z$7</f>
        <v>818137.42975632625</v>
      </c>
      <c r="AA44" s="31">
        <f>(INDEX(Option3!AA$106:AA$117, MATCH($D44, Option3!$G$106:$G$117,0)))*conv_2026*AA$7</f>
        <v>818137.42975632625</v>
      </c>
      <c r="AB44" s="31">
        <f>(INDEX(Option3!AB$106:AB$117, MATCH($D44, Option3!$G$106:$G$117,0)))*conv_2026*AB$7</f>
        <v>818137.42975632625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8" t="s">
        <v>132</v>
      </c>
      <c r="B45" s="258" t="str">
        <f>Option3!A111</f>
        <v>sens2</v>
      </c>
      <c r="C45" s="258" t="str">
        <f>Option3!C111</f>
        <v>Capex 10% lower</v>
      </c>
      <c r="D45" s="258" t="str">
        <f t="shared" si="5"/>
        <v>Option 3sens2</v>
      </c>
      <c r="E45" s="259"/>
      <c r="F45" s="31">
        <f t="shared" si="4"/>
        <v>8980617.9653459452</v>
      </c>
      <c r="G45" s="258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-3541.5906580146061</v>
      </c>
      <c r="K45" s="31">
        <f>(INDEX(Option3!K$106:K$117, MATCH($D45, Option3!$G$106:$G$117,0)))*conv_2026*K$7</f>
        <v>123241.71203709244</v>
      </c>
      <c r="L45" s="31">
        <f>(INDEX(Option3!L$106:L$117, MATCH($D45, Option3!$G$106:$G$117,0)))*conv_2026*L$7</f>
        <v>250025.01473219963</v>
      </c>
      <c r="M45" s="31">
        <f>(INDEX(Option3!M$106:M$117, MATCH($D45, Option3!$G$106:$G$117,0)))*conv_2026*M$7</f>
        <v>362179.47480864037</v>
      </c>
      <c r="N45" s="31">
        <f>(INDEX(Option3!N$106:N$117, MATCH($D45, Option3!$G$106:$G$117,0)))*conv_2026*N$7</f>
        <v>454828.81139352627</v>
      </c>
      <c r="O45" s="31">
        <f>(INDEX(Option3!O$106:O$117, MATCH($D45, Option3!$G$106:$G$117,0)))*conv_2026*O$7</f>
        <v>649880.0463090759</v>
      </c>
      <c r="P45" s="31">
        <f>(INDEX(Option3!P$106:P$117, MATCH($D45, Option3!$G$106:$G$117,0)))*conv_2026*P$7</f>
        <v>903446.65169928968</v>
      </c>
      <c r="Q45" s="31">
        <f>(INDEX(Option3!Q$106:Q$117, MATCH($D45, Option3!$G$106:$G$117,0)))*conv_2026*Q$7</f>
        <v>903446.65169928968</v>
      </c>
      <c r="R45" s="31">
        <f>(INDEX(Option3!R$106:R$117, MATCH($D45, Option3!$G$106:$G$117,0)))*conv_2026*R$7</f>
        <v>903446.65169928968</v>
      </c>
      <c r="S45" s="31">
        <f>(INDEX(Option3!S$106:S$117, MATCH($D45, Option3!$G$106:$G$117,0)))*conv_2026*S$7</f>
        <v>903446.65169928968</v>
      </c>
      <c r="T45" s="31">
        <f>(INDEX(Option3!T$106:T$117, MATCH($D45, Option3!$G$106:$G$117,0)))*conv_2026*T$7</f>
        <v>903446.65169928968</v>
      </c>
      <c r="U45" s="31">
        <f>(INDEX(Option3!U$106:U$117, MATCH($D45, Option3!$G$106:$G$117,0)))*conv_2026*U$7</f>
        <v>903446.65169928968</v>
      </c>
      <c r="V45" s="31">
        <f>(INDEX(Option3!V$106:V$117, MATCH($D45, Option3!$G$106:$G$117,0)))*conv_2026*V$7</f>
        <v>903446.65169928968</v>
      </c>
      <c r="W45" s="31">
        <f>(INDEX(Option3!W$106:W$117, MATCH($D45, Option3!$G$106:$G$117,0)))*conv_2026*W$7</f>
        <v>903446.65169928968</v>
      </c>
      <c r="X45" s="31">
        <f>(INDEX(Option3!X$106:X$117, MATCH($D45, Option3!$G$106:$G$117,0)))*conv_2026*X$7</f>
        <v>903446.65169928968</v>
      </c>
      <c r="Y45" s="31">
        <f>(INDEX(Option3!Y$106:Y$117, MATCH($D45, Option3!$G$106:$G$117,0)))*conv_2026*Y$7</f>
        <v>903446.65169928968</v>
      </c>
      <c r="Z45" s="31">
        <f>(INDEX(Option3!Z$106:Z$117, MATCH($D45, Option3!$G$106:$G$117,0)))*conv_2026*Z$7</f>
        <v>903446.65169928968</v>
      </c>
      <c r="AA45" s="31">
        <f>(INDEX(Option3!AA$106:AA$117, MATCH($D45, Option3!$G$106:$G$117,0)))*conv_2026*AA$7</f>
        <v>903446.65169928968</v>
      </c>
      <c r="AB45" s="31">
        <f>(INDEX(Option3!AB$106:AB$117, MATCH($D45, Option3!$G$106:$G$117,0)))*conv_2026*AB$7</f>
        <v>903446.65169928968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8" t="s">
        <v>132</v>
      </c>
      <c r="B46" s="258" t="str">
        <f>Option3!A112</f>
        <v>sens3</v>
      </c>
      <c r="C46" s="258" t="str">
        <f>Option3!C112</f>
        <v>Total benefits 10% higher</v>
      </c>
      <c r="D46" s="258" t="str">
        <f t="shared" si="5"/>
        <v>Option 3sens3</v>
      </c>
      <c r="E46" s="259"/>
      <c r="F46" s="31">
        <f t="shared" si="4"/>
        <v>9821198.2589180265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-8161.2108209642402</v>
      </c>
      <c r="K46" s="31">
        <f>(INDEX(Option3!K$106:K$117, MATCH($D46, Option3!$G$106:$G$117,0)))*conv_2026*K$7</f>
        <v>131300.42214365353</v>
      </c>
      <c r="L46" s="31">
        <f>(INDEX(Option3!L$106:L$117, MATCH($D46, Option3!$G$106:$G$117,0)))*conv_2026*L$7</f>
        <v>270762.05510827142</v>
      </c>
      <c r="M46" s="31">
        <f>(INDEX(Option3!M$106:M$117, MATCH($D46, Option3!$G$106:$G$117,0)))*conv_2026*M$7</f>
        <v>394131.96119235625</v>
      </c>
      <c r="N46" s="31">
        <f>(INDEX(Option3!N$106:N$117, MATCH($D46, Option3!$G$106:$G$117,0)))*conv_2026*N$7</f>
        <v>496046.23143573076</v>
      </c>
      <c r="O46" s="31">
        <f>(INDEX(Option3!O$106:O$117, MATCH($D46, Option3!$G$106:$G$117,0)))*conv_2026*O$7</f>
        <v>710602.58984283532</v>
      </c>
      <c r="P46" s="31">
        <f>(INDEX(Option3!P$106:P$117, MATCH($D46, Option3!$G$106:$G$117,0)))*conv_2026*P$7</f>
        <v>989525.85577207059</v>
      </c>
      <c r="Q46" s="31">
        <f>(INDEX(Option3!Q$106:Q$117, MATCH($D46, Option3!$G$106:$G$117,0)))*conv_2026*Q$7</f>
        <v>989525.85577207059</v>
      </c>
      <c r="R46" s="31">
        <f>(INDEX(Option3!R$106:R$117, MATCH($D46, Option3!$G$106:$G$117,0)))*conv_2026*R$7</f>
        <v>989525.85577207059</v>
      </c>
      <c r="S46" s="31">
        <f>(INDEX(Option3!S$106:S$117, MATCH($D46, Option3!$G$106:$G$117,0)))*conv_2026*S$7</f>
        <v>989525.85577207059</v>
      </c>
      <c r="T46" s="31">
        <f>(INDEX(Option3!T$106:T$117, MATCH($D46, Option3!$G$106:$G$117,0)))*conv_2026*T$7</f>
        <v>989525.85577207059</v>
      </c>
      <c r="U46" s="31">
        <f>(INDEX(Option3!U$106:U$117, MATCH($D46, Option3!$G$106:$G$117,0)))*conv_2026*U$7</f>
        <v>989525.85577207059</v>
      </c>
      <c r="V46" s="31">
        <f>(INDEX(Option3!V$106:V$117, MATCH($D46, Option3!$G$106:$G$117,0)))*conv_2026*V$7</f>
        <v>989525.85577207059</v>
      </c>
      <c r="W46" s="31">
        <f>(INDEX(Option3!W$106:W$117, MATCH($D46, Option3!$G$106:$G$117,0)))*conv_2026*W$7</f>
        <v>989525.85577207059</v>
      </c>
      <c r="X46" s="31">
        <f>(INDEX(Option3!X$106:X$117, MATCH($D46, Option3!$G$106:$G$117,0)))*conv_2026*X$7</f>
        <v>989525.85577207059</v>
      </c>
      <c r="Y46" s="31">
        <f>(INDEX(Option3!Y$106:Y$117, MATCH($D46, Option3!$G$106:$G$117,0)))*conv_2026*Y$7</f>
        <v>989525.85577207059</v>
      </c>
      <c r="Z46" s="31">
        <f>(INDEX(Option3!Z$106:Z$117, MATCH($D46, Option3!$G$106:$G$117,0)))*conv_2026*Z$7</f>
        <v>989525.85577207059</v>
      </c>
      <c r="AA46" s="31">
        <f>(INDEX(Option3!AA$106:AA$117, MATCH($D46, Option3!$G$106:$G$117,0)))*conv_2026*AA$7</f>
        <v>989525.85577207059</v>
      </c>
      <c r="AB46" s="31">
        <f>(INDEX(Option3!AB$106:AB$117, MATCH($D46, Option3!$G$106:$G$117,0)))*conv_2026*AB$7</f>
        <v>989525.85577207059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8" t="s">
        <v>132</v>
      </c>
      <c r="B47" s="258" t="str">
        <f>Option3!A113</f>
        <v>sens4</v>
      </c>
      <c r="C47" s="258" t="str">
        <f>Option3!C113</f>
        <v>Total benefits 10% lower</v>
      </c>
      <c r="D47" s="258" t="str">
        <f t="shared" si="5"/>
        <v>Option 3sens4</v>
      </c>
      <c r="E47" s="259"/>
      <c r="F47" s="31">
        <f t="shared" si="4"/>
        <v>6990407.6125236508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-84231.19243802852</v>
      </c>
      <c r="K47" s="31">
        <f>(INDEX(Option3!K$106:K$117, MATCH($D47, Option3!$G$106:$G$117,0)))*conv_2026*K$7</f>
        <v>29873.779987567847</v>
      </c>
      <c r="L47" s="31">
        <f>(INDEX(Option3!L$106:L$117, MATCH($D47, Option3!$G$106:$G$117,0)))*conv_2026*L$7</f>
        <v>143978.7524131643</v>
      </c>
      <c r="M47" s="31">
        <f>(INDEX(Option3!M$106:M$117, MATCH($D47, Option3!$G$106:$G$117,0)))*conv_2026*M$7</f>
        <v>244917.76648196098</v>
      </c>
      <c r="N47" s="31">
        <f>(INDEX(Option3!N$106:N$117, MATCH($D47, Option3!$G$106:$G$117,0)))*conv_2026*N$7</f>
        <v>328302.16940835828</v>
      </c>
      <c r="O47" s="31">
        <f>(INDEX(Option3!O$106:O$117, MATCH($D47, Option3!$G$106:$G$117,0)))*conv_2026*O$7</f>
        <v>503848.28083235293</v>
      </c>
      <c r="P47" s="31">
        <f>(INDEX(Option3!P$106:P$117, MATCH($D47, Option3!$G$106:$G$117,0)))*conv_2026*P$7</f>
        <v>732058.22568354534</v>
      </c>
      <c r="Q47" s="31">
        <f>(INDEX(Option3!Q$106:Q$117, MATCH($D47, Option3!$G$106:$G$117,0)))*conv_2026*Q$7</f>
        <v>732058.22568354534</v>
      </c>
      <c r="R47" s="31">
        <f>(INDEX(Option3!R$106:R$117, MATCH($D47, Option3!$G$106:$G$117,0)))*conv_2026*R$7</f>
        <v>732058.22568354534</v>
      </c>
      <c r="S47" s="31">
        <f>(INDEX(Option3!S$106:S$117, MATCH($D47, Option3!$G$106:$G$117,0)))*conv_2026*S$7</f>
        <v>732058.22568354534</v>
      </c>
      <c r="T47" s="31">
        <f>(INDEX(Option3!T$106:T$117, MATCH($D47, Option3!$G$106:$G$117,0)))*conv_2026*T$7</f>
        <v>732058.22568354534</v>
      </c>
      <c r="U47" s="31">
        <f>(INDEX(Option3!U$106:U$117, MATCH($D47, Option3!$G$106:$G$117,0)))*conv_2026*U$7</f>
        <v>732058.22568354534</v>
      </c>
      <c r="V47" s="31">
        <f>(INDEX(Option3!V$106:V$117, MATCH($D47, Option3!$G$106:$G$117,0)))*conv_2026*V$7</f>
        <v>732058.22568354534</v>
      </c>
      <c r="W47" s="31">
        <f>(INDEX(Option3!W$106:W$117, MATCH($D47, Option3!$G$106:$G$117,0)))*conv_2026*W$7</f>
        <v>732058.22568354534</v>
      </c>
      <c r="X47" s="31">
        <f>(INDEX(Option3!X$106:X$117, MATCH($D47, Option3!$G$106:$G$117,0)))*conv_2026*X$7</f>
        <v>732058.22568354534</v>
      </c>
      <c r="Y47" s="31">
        <f>(INDEX(Option3!Y$106:Y$117, MATCH($D47, Option3!$G$106:$G$117,0)))*conv_2026*Y$7</f>
        <v>732058.22568354534</v>
      </c>
      <c r="Z47" s="31">
        <f>(INDEX(Option3!Z$106:Z$117, MATCH($D47, Option3!$G$106:$G$117,0)))*conv_2026*Z$7</f>
        <v>732058.22568354534</v>
      </c>
      <c r="AA47" s="31">
        <f>(INDEX(Option3!AA$106:AA$117, MATCH($D47, Option3!$G$106:$G$117,0)))*conv_2026*AA$7</f>
        <v>732058.22568354534</v>
      </c>
      <c r="AB47" s="31">
        <f>(INDEX(Option3!AB$106:AB$117, MATCH($D47, Option3!$G$106:$G$117,0)))*conv_2026*AB$7</f>
        <v>732058.22568354534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8" t="s">
        <v>132</v>
      </c>
      <c r="B48" s="258" t="str">
        <f>Option3!A114</f>
        <v>sens5</v>
      </c>
      <c r="C48" s="258" t="str">
        <f>Option3!C114</f>
        <v>Capex 10% higher &amp; Total benefits 10% lower</v>
      </c>
      <c r="D48" s="258" t="str">
        <f t="shared" si="5"/>
        <v>Option 3sens5</v>
      </c>
      <c r="E48" s="259"/>
      <c r="F48" s="31">
        <f t="shared" si="4"/>
        <v>6415592.5828985479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-126885.80340951028</v>
      </c>
      <c r="K48" s="31">
        <f>(INDEX(Option3!K$106:K$117, MATCH($D48, Option3!$G$106:$G$117,0)))*conv_2026*K$7</f>
        <v>-12780.830983913915</v>
      </c>
      <c r="L48" s="31">
        <f>(INDEX(Option3!L$106:L$117, MATCH($D48, Option3!$G$106:$G$117,0)))*conv_2026*L$7</f>
        <v>101324.14144168254</v>
      </c>
      <c r="M48" s="31">
        <f>(INDEX(Option3!M$106:M$117, MATCH($D48, Option3!$G$106:$G$117,0)))*conv_2026*M$7</f>
        <v>202263.15551047921</v>
      </c>
      <c r="N48" s="31">
        <f>(INDEX(Option3!N$106:N$117, MATCH($D48, Option3!$G$106:$G$117,0)))*conv_2026*N$7</f>
        <v>285647.55843687651</v>
      </c>
      <c r="O48" s="31">
        <f>(INDEX(Option3!O$106:O$117, MATCH($D48, Option3!$G$106:$G$117,0)))*conv_2026*O$7</f>
        <v>461193.6698608711</v>
      </c>
      <c r="P48" s="31">
        <f>(INDEX(Option3!P$106:P$117, MATCH($D48, Option3!$G$106:$G$117,0)))*conv_2026*P$7</f>
        <v>689403.61471206357</v>
      </c>
      <c r="Q48" s="31">
        <f>(INDEX(Option3!Q$106:Q$117, MATCH($D48, Option3!$G$106:$G$117,0)))*conv_2026*Q$7</f>
        <v>689403.61471206357</v>
      </c>
      <c r="R48" s="31">
        <f>(INDEX(Option3!R$106:R$117, MATCH($D48, Option3!$G$106:$G$117,0)))*conv_2026*R$7</f>
        <v>689403.61471206357</v>
      </c>
      <c r="S48" s="31">
        <f>(INDEX(Option3!S$106:S$117, MATCH($D48, Option3!$G$106:$G$117,0)))*conv_2026*S$7</f>
        <v>689403.61471206357</v>
      </c>
      <c r="T48" s="31">
        <f>(INDEX(Option3!T$106:T$117, MATCH($D48, Option3!$G$106:$G$117,0)))*conv_2026*T$7</f>
        <v>689403.61471206357</v>
      </c>
      <c r="U48" s="31">
        <f>(INDEX(Option3!U$106:U$117, MATCH($D48, Option3!$G$106:$G$117,0)))*conv_2026*U$7</f>
        <v>689403.61471206357</v>
      </c>
      <c r="V48" s="31">
        <f>(INDEX(Option3!V$106:V$117, MATCH($D48, Option3!$G$106:$G$117,0)))*conv_2026*V$7</f>
        <v>689403.61471206357</v>
      </c>
      <c r="W48" s="31">
        <f>(INDEX(Option3!W$106:W$117, MATCH($D48, Option3!$G$106:$G$117,0)))*conv_2026*W$7</f>
        <v>689403.61471206357</v>
      </c>
      <c r="X48" s="31">
        <f>(INDEX(Option3!X$106:X$117, MATCH($D48, Option3!$G$106:$G$117,0)))*conv_2026*X$7</f>
        <v>689403.61471206357</v>
      </c>
      <c r="Y48" s="31">
        <f>(INDEX(Option3!Y$106:Y$117, MATCH($D48, Option3!$G$106:$G$117,0)))*conv_2026*Y$7</f>
        <v>689403.61471206357</v>
      </c>
      <c r="Z48" s="31">
        <f>(INDEX(Option3!Z$106:Z$117, MATCH($D48, Option3!$G$106:$G$117,0)))*conv_2026*Z$7</f>
        <v>689403.61471206357</v>
      </c>
      <c r="AA48" s="31">
        <f>(INDEX(Option3!AA$106:AA$117, MATCH($D48, Option3!$G$106:$G$117,0)))*conv_2026*AA$7</f>
        <v>689403.61471206357</v>
      </c>
      <c r="AB48" s="31">
        <f>(INDEX(Option3!AB$106:AB$117, MATCH($D48, Option3!$G$106:$G$117,0)))*conv_2026*AB$7</f>
        <v>689403.61471206357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8" t="s">
        <v>132</v>
      </c>
      <c r="B49" s="258" t="str">
        <f>Option3!A115</f>
        <v>sens</v>
      </c>
      <c r="C49" s="258">
        <f>Option3!C115</f>
        <v>0</v>
      </c>
      <c r="D49" s="258" t="str">
        <f t="shared" si="5"/>
        <v>Option 3sens</v>
      </c>
      <c r="E49" s="259"/>
      <c r="F49" s="31">
        <f t="shared" si="4"/>
        <v>8405802.9357208405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-46196.201629496376</v>
      </c>
      <c r="K49" s="31">
        <f>(INDEX(Option3!K$106:K$117, MATCH($D49, Option3!$G$106:$G$117,0)))*conv_2026*K$7</f>
        <v>80587.101065610681</v>
      </c>
      <c r="L49" s="31">
        <f>(INDEX(Option3!L$106:L$117, MATCH($D49, Option3!$G$106:$G$117,0)))*conv_2026*L$7</f>
        <v>207370.40376071786</v>
      </c>
      <c r="M49" s="31">
        <f>(INDEX(Option3!M$106:M$117, MATCH($D49, Option3!$G$106:$G$117,0)))*conv_2026*M$7</f>
        <v>319524.8638371586</v>
      </c>
      <c r="N49" s="31">
        <f>(INDEX(Option3!N$106:N$117, MATCH($D49, Option3!$G$106:$G$117,0)))*conv_2026*N$7</f>
        <v>412174.20042204449</v>
      </c>
      <c r="O49" s="31">
        <f>(INDEX(Option3!O$106:O$117, MATCH($D49, Option3!$G$106:$G$117,0)))*conv_2026*O$7</f>
        <v>607225.43533759413</v>
      </c>
      <c r="P49" s="31">
        <f>(INDEX(Option3!P$106:P$117, MATCH($D49, Option3!$G$106:$G$117,0)))*conv_2026*P$7</f>
        <v>860792.04072780791</v>
      </c>
      <c r="Q49" s="31">
        <f>(INDEX(Option3!Q$106:Q$117, MATCH($D49, Option3!$G$106:$G$117,0)))*conv_2026*Q$7</f>
        <v>860792.04072780791</v>
      </c>
      <c r="R49" s="31">
        <f>(INDEX(Option3!R$106:R$117, MATCH($D49, Option3!$G$106:$G$117,0)))*conv_2026*R$7</f>
        <v>860792.04072780791</v>
      </c>
      <c r="S49" s="31">
        <f>(INDEX(Option3!S$106:S$117, MATCH($D49, Option3!$G$106:$G$117,0)))*conv_2026*S$7</f>
        <v>860792.04072780791</v>
      </c>
      <c r="T49" s="31">
        <f>(INDEX(Option3!T$106:T$117, MATCH($D49, Option3!$G$106:$G$117,0)))*conv_2026*T$7</f>
        <v>860792.04072780791</v>
      </c>
      <c r="U49" s="31">
        <f>(INDEX(Option3!U$106:U$117, MATCH($D49, Option3!$G$106:$G$117,0)))*conv_2026*U$7</f>
        <v>860792.04072780791</v>
      </c>
      <c r="V49" s="31">
        <f>(INDEX(Option3!V$106:V$117, MATCH($D49, Option3!$G$106:$G$117,0)))*conv_2026*V$7</f>
        <v>860792.04072780791</v>
      </c>
      <c r="W49" s="31">
        <f>(INDEX(Option3!W$106:W$117, MATCH($D49, Option3!$G$106:$G$117,0)))*conv_2026*W$7</f>
        <v>860792.04072780791</v>
      </c>
      <c r="X49" s="31">
        <f>(INDEX(Option3!X$106:X$117, MATCH($D49, Option3!$G$106:$G$117,0)))*conv_2026*X$7</f>
        <v>860792.04072780791</v>
      </c>
      <c r="Y49" s="31">
        <f>(INDEX(Option3!Y$106:Y$117, MATCH($D49, Option3!$G$106:$G$117,0)))*conv_2026*Y$7</f>
        <v>860792.04072780791</v>
      </c>
      <c r="Z49" s="31">
        <f>(INDEX(Option3!Z$106:Z$117, MATCH($D49, Option3!$G$106:$G$117,0)))*conv_2026*Z$7</f>
        <v>860792.04072780791</v>
      </c>
      <c r="AA49" s="31">
        <f>(INDEX(Option3!AA$106:AA$117, MATCH($D49, Option3!$G$106:$G$117,0)))*conv_2026*AA$7</f>
        <v>860792.04072780791</v>
      </c>
      <c r="AB49" s="31">
        <f>(INDEX(Option3!AB$106:AB$117, MATCH($D49, Option3!$G$106:$G$117,0)))*conv_2026*AB$7</f>
        <v>860792.04072780791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8" t="s">
        <v>132</v>
      </c>
      <c r="B50" s="258" t="str">
        <f>Option3!A116</f>
        <v>sens</v>
      </c>
      <c r="C50" s="258">
        <f>Option3!C116</f>
        <v>0</v>
      </c>
      <c r="D50" s="258" t="str">
        <f t="shared" si="5"/>
        <v>Option 3sens</v>
      </c>
      <c r="E50" s="259"/>
      <c r="F50" s="31">
        <f t="shared" si="4"/>
        <v>8405802.9357208405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-46196.201629496376</v>
      </c>
      <c r="K50" s="31">
        <f>(INDEX(Option3!K$106:K$117, MATCH($D50, Option3!$G$106:$G$117,0)))*conv_2026*K$7</f>
        <v>80587.101065610681</v>
      </c>
      <c r="L50" s="31">
        <f>(INDEX(Option3!L$106:L$117, MATCH($D50, Option3!$G$106:$G$117,0)))*conv_2026*L$7</f>
        <v>207370.40376071786</v>
      </c>
      <c r="M50" s="31">
        <f>(INDEX(Option3!M$106:M$117, MATCH($D50, Option3!$G$106:$G$117,0)))*conv_2026*M$7</f>
        <v>319524.8638371586</v>
      </c>
      <c r="N50" s="31">
        <f>(INDEX(Option3!N$106:N$117, MATCH($D50, Option3!$G$106:$G$117,0)))*conv_2026*N$7</f>
        <v>412174.20042204449</v>
      </c>
      <c r="O50" s="31">
        <f>(INDEX(Option3!O$106:O$117, MATCH($D50, Option3!$G$106:$G$117,0)))*conv_2026*O$7</f>
        <v>607225.43533759413</v>
      </c>
      <c r="P50" s="31">
        <f>(INDEX(Option3!P$106:P$117, MATCH($D50, Option3!$G$106:$G$117,0)))*conv_2026*P$7</f>
        <v>860792.04072780791</v>
      </c>
      <c r="Q50" s="31">
        <f>(INDEX(Option3!Q$106:Q$117, MATCH($D50, Option3!$G$106:$G$117,0)))*conv_2026*Q$7</f>
        <v>860792.04072780791</v>
      </c>
      <c r="R50" s="31">
        <f>(INDEX(Option3!R$106:R$117, MATCH($D50, Option3!$G$106:$G$117,0)))*conv_2026*R$7</f>
        <v>860792.04072780791</v>
      </c>
      <c r="S50" s="31">
        <f>(INDEX(Option3!S$106:S$117, MATCH($D50, Option3!$G$106:$G$117,0)))*conv_2026*S$7</f>
        <v>860792.04072780791</v>
      </c>
      <c r="T50" s="31">
        <f>(INDEX(Option3!T$106:T$117, MATCH($D50, Option3!$G$106:$G$117,0)))*conv_2026*T$7</f>
        <v>860792.04072780791</v>
      </c>
      <c r="U50" s="31">
        <f>(INDEX(Option3!U$106:U$117, MATCH($D50, Option3!$G$106:$G$117,0)))*conv_2026*U$7</f>
        <v>860792.04072780791</v>
      </c>
      <c r="V50" s="31">
        <f>(INDEX(Option3!V$106:V$117, MATCH($D50, Option3!$G$106:$G$117,0)))*conv_2026*V$7</f>
        <v>860792.04072780791</v>
      </c>
      <c r="W50" s="31">
        <f>(INDEX(Option3!W$106:W$117, MATCH($D50, Option3!$G$106:$G$117,0)))*conv_2026*W$7</f>
        <v>860792.04072780791</v>
      </c>
      <c r="X50" s="31">
        <f>(INDEX(Option3!X$106:X$117, MATCH($D50, Option3!$G$106:$G$117,0)))*conv_2026*X$7</f>
        <v>860792.04072780791</v>
      </c>
      <c r="Y50" s="31">
        <f>(INDEX(Option3!Y$106:Y$117, MATCH($D50, Option3!$G$106:$G$117,0)))*conv_2026*Y$7</f>
        <v>860792.04072780791</v>
      </c>
      <c r="Z50" s="31">
        <f>(INDEX(Option3!Z$106:Z$117, MATCH($D50, Option3!$G$106:$G$117,0)))*conv_2026*Z$7</f>
        <v>860792.04072780791</v>
      </c>
      <c r="AA50" s="31">
        <f>(INDEX(Option3!AA$106:AA$117, MATCH($D50, Option3!$G$106:$G$117,0)))*conv_2026*AA$7</f>
        <v>860792.04072780791</v>
      </c>
      <c r="AB50" s="31">
        <f>(INDEX(Option3!AB$106:AB$117, MATCH($D50, Option3!$G$106:$G$117,0)))*conv_2026*AB$7</f>
        <v>860792.04072780791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8" t="s">
        <v>132</v>
      </c>
      <c r="B51" s="258" t="str">
        <f>Option3!A117</f>
        <v>sens</v>
      </c>
      <c r="C51" s="258">
        <f>Option3!C117</f>
        <v>0</v>
      </c>
      <c r="D51" s="258" t="str">
        <f t="shared" si="5"/>
        <v>Option 3sens</v>
      </c>
      <c r="E51" s="259"/>
      <c r="F51" s="31">
        <f t="shared" si="4"/>
        <v>8405802.9357208405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-46196.201629496376</v>
      </c>
      <c r="K51" s="31">
        <f>(INDEX(Option3!K$106:K$117, MATCH($D51, Option3!$G$106:$G$117,0)))*conv_2026*K$7</f>
        <v>80587.101065610681</v>
      </c>
      <c r="L51" s="31">
        <f>(INDEX(Option3!L$106:L$117, MATCH($D51, Option3!$G$106:$G$117,0)))*conv_2026*L$7</f>
        <v>207370.40376071786</v>
      </c>
      <c r="M51" s="31">
        <f>(INDEX(Option3!M$106:M$117, MATCH($D51, Option3!$G$106:$G$117,0)))*conv_2026*M$7</f>
        <v>319524.8638371586</v>
      </c>
      <c r="N51" s="31">
        <f>(INDEX(Option3!N$106:N$117, MATCH($D51, Option3!$G$106:$G$117,0)))*conv_2026*N$7</f>
        <v>412174.20042204449</v>
      </c>
      <c r="O51" s="31">
        <f>(INDEX(Option3!O$106:O$117, MATCH($D51, Option3!$G$106:$G$117,0)))*conv_2026*O$7</f>
        <v>607225.43533759413</v>
      </c>
      <c r="P51" s="31">
        <f>(INDEX(Option3!P$106:P$117, MATCH($D51, Option3!$G$106:$G$117,0)))*conv_2026*P$7</f>
        <v>860792.04072780791</v>
      </c>
      <c r="Q51" s="31">
        <f>(INDEX(Option3!Q$106:Q$117, MATCH($D51, Option3!$G$106:$G$117,0)))*conv_2026*Q$7</f>
        <v>860792.04072780791</v>
      </c>
      <c r="R51" s="31">
        <f>(INDEX(Option3!R$106:R$117, MATCH($D51, Option3!$G$106:$G$117,0)))*conv_2026*R$7</f>
        <v>860792.04072780791</v>
      </c>
      <c r="S51" s="31">
        <f>(INDEX(Option3!S$106:S$117, MATCH($D51, Option3!$G$106:$G$117,0)))*conv_2026*S$7</f>
        <v>860792.04072780791</v>
      </c>
      <c r="T51" s="31">
        <f>(INDEX(Option3!T$106:T$117, MATCH($D51, Option3!$G$106:$G$117,0)))*conv_2026*T$7</f>
        <v>860792.04072780791</v>
      </c>
      <c r="U51" s="31">
        <f>(INDEX(Option3!U$106:U$117, MATCH($D51, Option3!$G$106:$G$117,0)))*conv_2026*U$7</f>
        <v>860792.04072780791</v>
      </c>
      <c r="V51" s="31">
        <f>(INDEX(Option3!V$106:V$117, MATCH($D51, Option3!$G$106:$G$117,0)))*conv_2026*V$7</f>
        <v>860792.04072780791</v>
      </c>
      <c r="W51" s="31">
        <f>(INDEX(Option3!W$106:W$117, MATCH($D51, Option3!$G$106:$G$117,0)))*conv_2026*W$7</f>
        <v>860792.04072780791</v>
      </c>
      <c r="X51" s="31">
        <f>(INDEX(Option3!X$106:X$117, MATCH($D51, Option3!$G$106:$G$117,0)))*conv_2026*X$7</f>
        <v>860792.04072780791</v>
      </c>
      <c r="Y51" s="31">
        <f>(INDEX(Option3!Y$106:Y$117, MATCH($D51, Option3!$G$106:$G$117,0)))*conv_2026*Y$7</f>
        <v>860792.04072780791</v>
      </c>
      <c r="Z51" s="31">
        <f>(INDEX(Option3!Z$106:Z$117, MATCH($D51, Option3!$G$106:$G$117,0)))*conv_2026*Z$7</f>
        <v>860792.04072780791</v>
      </c>
      <c r="AA51" s="31">
        <f>(INDEX(Option3!AA$106:AA$117, MATCH($D51, Option3!$G$106:$G$117,0)))*conv_2026*AA$7</f>
        <v>860792.04072780791</v>
      </c>
      <c r="AB51" s="31">
        <f>(INDEX(Option3!AB$106:AB$117, MATCH($D51, Option3!$G$106:$G$117,0)))*conv_2026*AB$7</f>
        <v>860792.04072780791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8"/>
      <c r="B52" s="258"/>
      <c r="C52" s="258"/>
      <c r="D52" s="258"/>
      <c r="E52" s="258"/>
      <c r="F52" s="31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spans="1:35" s="8" customFormat="1" x14ac:dyDescent="0.2">
      <c r="A53" s="258"/>
      <c r="B53" s="258"/>
      <c r="C53" s="258"/>
      <c r="D53" s="258"/>
      <c r="E53" s="258"/>
      <c r="F53" s="31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spans="1:35" s="8" customFormat="1" x14ac:dyDescent="0.2">
      <c r="A54" s="258"/>
      <c r="B54" s="258"/>
      <c r="C54" s="258"/>
      <c r="D54" s="258"/>
      <c r="E54" s="258"/>
      <c r="F54" s="31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spans="1:35" s="8" customFormat="1" x14ac:dyDescent="0.2">
      <c r="A55" s="258"/>
      <c r="B55" s="258"/>
      <c r="C55" s="258"/>
      <c r="D55" s="258"/>
      <c r="E55" s="258"/>
      <c r="F55" s="31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5" s="8" customFormat="1" x14ac:dyDescent="0.2">
      <c r="A56" s="258" t="s">
        <v>133</v>
      </c>
      <c r="B56" s="258" t="s">
        <v>119</v>
      </c>
      <c r="C56" s="258" t="s">
        <v>188</v>
      </c>
      <c r="D56" s="258" t="str">
        <f>A56&amp;B56</f>
        <v>Option 4NPV</v>
      </c>
      <c r="E56" s="259"/>
      <c r="F56" s="31">
        <f t="shared" ref="F56:F65" si="6">SUMPRODUCT($H56:$AG56, $H$5:$AG$5)</f>
        <v>6334037.5429024398</v>
      </c>
      <c r="G56" s="251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-199933.21666976661</v>
      </c>
      <c r="K56" s="31">
        <f>(INDEX(Option4!K$106:K$117, MATCH($D56, Option4!$G$106:$G$117,0)))*conv_2026*K$7</f>
        <v>-73149.913974659561</v>
      </c>
      <c r="L56" s="31">
        <f>(INDEX(Option4!L$106:L$117, MATCH($D56, Option4!$G$106:$G$117,0)))*conv_2026*L$7</f>
        <v>53633.388720447627</v>
      </c>
      <c r="M56" s="31">
        <f>(INDEX(Option4!M$106:M$117, MATCH($D56, Option4!$G$106:$G$117,0)))*conv_2026*M$7</f>
        <v>165787.84879688837</v>
      </c>
      <c r="N56" s="31">
        <f>(INDEX(Option4!N$106:N$117, MATCH($D56, Option4!$G$106:$G$117,0)))*conv_2026*N$7</f>
        <v>258437.18538177427</v>
      </c>
      <c r="O56" s="31">
        <f>(INDEX(Option4!O$106:O$117, MATCH($D56, Option4!$G$106:$G$117,0)))*conv_2026*O$7</f>
        <v>453488.42029732378</v>
      </c>
      <c r="P56" s="31">
        <f>(INDEX(Option4!P$106:P$117, MATCH($D56, Option4!$G$106:$G$117,0)))*conv_2026*P$7</f>
        <v>707055.02568753762</v>
      </c>
      <c r="Q56" s="31">
        <f>(INDEX(Option4!Q$106:Q$117, MATCH($D56, Option4!$G$106:$G$117,0)))*conv_2026*Q$7</f>
        <v>707055.02568753762</v>
      </c>
      <c r="R56" s="31">
        <f>(INDEX(Option4!R$106:R$117, MATCH($D56, Option4!$G$106:$G$117,0)))*conv_2026*R$7</f>
        <v>707055.02568753762</v>
      </c>
      <c r="S56" s="31">
        <f>(INDEX(Option4!S$106:S$117, MATCH($D56, Option4!$G$106:$G$117,0)))*conv_2026*S$7</f>
        <v>707055.02568753762</v>
      </c>
      <c r="T56" s="31">
        <f>(INDEX(Option4!T$106:T$117, MATCH($D56, Option4!$G$106:$G$117,0)))*conv_2026*T$7</f>
        <v>707055.02568753762</v>
      </c>
      <c r="U56" s="31">
        <f>(INDEX(Option4!U$106:U$117, MATCH($D56, Option4!$G$106:$G$117,0)))*conv_2026*U$7</f>
        <v>707055.02568753762</v>
      </c>
      <c r="V56" s="31">
        <f>(INDEX(Option4!V$106:V$117, MATCH($D56, Option4!$G$106:$G$117,0)))*conv_2026*V$7</f>
        <v>707055.02568753762</v>
      </c>
      <c r="W56" s="31">
        <f>(INDEX(Option4!W$106:W$117, MATCH($D56, Option4!$G$106:$G$117,0)))*conv_2026*W$7</f>
        <v>707055.02568753762</v>
      </c>
      <c r="X56" s="31">
        <f>(INDEX(Option4!X$106:X$117, MATCH($D56, Option4!$G$106:$G$117,0)))*conv_2026*X$7</f>
        <v>707055.02568753762</v>
      </c>
      <c r="Y56" s="31">
        <f>(INDEX(Option4!Y$106:Y$117, MATCH($D56, Option4!$G$106:$G$117,0)))*conv_2026*Y$7</f>
        <v>707055.02568753762</v>
      </c>
      <c r="Z56" s="31">
        <f>(INDEX(Option4!Z$106:Z$117, MATCH($D56, Option4!$G$106:$G$117,0)))*conv_2026*Z$7</f>
        <v>707055.02568753762</v>
      </c>
      <c r="AA56" s="31">
        <f>(INDEX(Option4!AA$106:AA$117, MATCH($D56, Option4!$G$106:$G$117,0)))*conv_2026*AA$7</f>
        <v>707055.02568753762</v>
      </c>
      <c r="AB56" s="31">
        <f>(INDEX(Option4!AB$106:AB$117, MATCH($D56, Option4!$G$106:$G$117,0)))*conv_2026*AB$7</f>
        <v>707055.02568753762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50"/>
      <c r="B57" s="250"/>
      <c r="C57" s="250"/>
      <c r="D57" s="250"/>
      <c r="E57" s="250"/>
      <c r="F57" s="250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7"/>
      <c r="AI57" s="7"/>
    </row>
    <row r="58" spans="1:35" s="8" customFormat="1" x14ac:dyDescent="0.2">
      <c r="A58" s="258" t="s">
        <v>133</v>
      </c>
      <c r="B58" s="258" t="str">
        <f>Option4!A110</f>
        <v>sens1</v>
      </c>
      <c r="C58" s="258" t="str">
        <f>Option4!C110</f>
        <v>Capex 10% higher</v>
      </c>
      <c r="D58" s="258" t="str">
        <f t="shared" ref="D58:D65" si="7">A58&amp;B58</f>
        <v>Option 4sens1</v>
      </c>
      <c r="E58" s="259"/>
      <c r="F58" s="31">
        <f t="shared" si="6"/>
        <v>5552045.9739954965</v>
      </c>
      <c r="G58" s="251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-257961.52914527542</v>
      </c>
      <c r="K58" s="31">
        <f>(INDEX(Option4!K$106:K$117, MATCH($D58, Option4!$G$106:$G$117,0)))*conv_2026*K$7</f>
        <v>-131178.22645016835</v>
      </c>
      <c r="L58" s="31">
        <f>(INDEX(Option4!L$106:L$117, MATCH($D58, Option4!$G$106:$G$117,0)))*conv_2026*L$7</f>
        <v>-4394.9237550611688</v>
      </c>
      <c r="M58" s="31">
        <f>(INDEX(Option4!M$106:M$117, MATCH($D58, Option4!$G$106:$G$117,0)))*conv_2026*M$7</f>
        <v>107759.53632137958</v>
      </c>
      <c r="N58" s="31">
        <f>(INDEX(Option4!N$106:N$117, MATCH($D58, Option4!$G$106:$G$117,0)))*conv_2026*N$7</f>
        <v>200408.87290626546</v>
      </c>
      <c r="O58" s="31">
        <f>(INDEX(Option4!O$106:O$117, MATCH($D58, Option4!$G$106:$G$117,0)))*conv_2026*O$7</f>
        <v>395460.10782181501</v>
      </c>
      <c r="P58" s="31">
        <f>(INDEX(Option4!P$106:P$117, MATCH($D58, Option4!$G$106:$G$117,0)))*conv_2026*P$7</f>
        <v>649026.71321202884</v>
      </c>
      <c r="Q58" s="31">
        <f>(INDEX(Option4!Q$106:Q$117, MATCH($D58, Option4!$G$106:$G$117,0)))*conv_2026*Q$7</f>
        <v>649026.71321202884</v>
      </c>
      <c r="R58" s="31">
        <f>(INDEX(Option4!R$106:R$117, MATCH($D58, Option4!$G$106:$G$117,0)))*conv_2026*R$7</f>
        <v>649026.71321202884</v>
      </c>
      <c r="S58" s="31">
        <f>(INDEX(Option4!S$106:S$117, MATCH($D58, Option4!$G$106:$G$117,0)))*conv_2026*S$7</f>
        <v>649026.71321202884</v>
      </c>
      <c r="T58" s="31">
        <f>(INDEX(Option4!T$106:T$117, MATCH($D58, Option4!$G$106:$G$117,0)))*conv_2026*T$7</f>
        <v>649026.71321202884</v>
      </c>
      <c r="U58" s="31">
        <f>(INDEX(Option4!U$106:U$117, MATCH($D58, Option4!$G$106:$G$117,0)))*conv_2026*U$7</f>
        <v>649026.71321202884</v>
      </c>
      <c r="V58" s="31">
        <f>(INDEX(Option4!V$106:V$117, MATCH($D58, Option4!$G$106:$G$117,0)))*conv_2026*V$7</f>
        <v>649026.71321202884</v>
      </c>
      <c r="W58" s="31">
        <f>(INDEX(Option4!W$106:W$117, MATCH($D58, Option4!$G$106:$G$117,0)))*conv_2026*W$7</f>
        <v>649026.71321202884</v>
      </c>
      <c r="X58" s="31">
        <f>(INDEX(Option4!X$106:X$117, MATCH($D58, Option4!$G$106:$G$117,0)))*conv_2026*X$7</f>
        <v>649026.71321202884</v>
      </c>
      <c r="Y58" s="31">
        <f>(INDEX(Option4!Y$106:Y$117, MATCH($D58, Option4!$G$106:$G$117,0)))*conv_2026*Y$7</f>
        <v>649026.71321202884</v>
      </c>
      <c r="Z58" s="31">
        <f>(INDEX(Option4!Z$106:Z$117, MATCH($D58, Option4!$G$106:$G$117,0)))*conv_2026*Z$7</f>
        <v>649026.71321202884</v>
      </c>
      <c r="AA58" s="31">
        <f>(INDEX(Option4!AA$106:AA$117, MATCH($D58, Option4!$G$106:$G$117,0)))*conv_2026*AA$7</f>
        <v>649026.71321202884</v>
      </c>
      <c r="AB58" s="31">
        <f>(INDEX(Option4!AB$106:AB$117, MATCH($D58, Option4!$G$106:$G$117,0)))*conv_2026*AB$7</f>
        <v>649026.71321202884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8" t="s">
        <v>133</v>
      </c>
      <c r="B59" s="258" t="str">
        <f>Option4!A111</f>
        <v>sens2</v>
      </c>
      <c r="C59" s="258" t="str">
        <f>Option4!C111</f>
        <v>Capex 10% lower</v>
      </c>
      <c r="D59" s="258" t="str">
        <f t="shared" si="7"/>
        <v>Option 4sens2</v>
      </c>
      <c r="E59" s="259"/>
      <c r="F59" s="31">
        <f t="shared" si="6"/>
        <v>7116029.1118093831</v>
      </c>
      <c r="G59" s="258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-141904.90419425783</v>
      </c>
      <c r="K59" s="31">
        <f>(INDEX(Option4!K$106:K$117, MATCH($D59, Option4!$G$106:$G$117,0)))*conv_2026*K$7</f>
        <v>-15121.601499150771</v>
      </c>
      <c r="L59" s="31">
        <f>(INDEX(Option4!L$106:L$117, MATCH($D59, Option4!$G$106:$G$117,0)))*conv_2026*L$7</f>
        <v>111661.70119595641</v>
      </c>
      <c r="M59" s="31">
        <f>(INDEX(Option4!M$106:M$117, MATCH($D59, Option4!$G$106:$G$117,0)))*conv_2026*M$7</f>
        <v>223816.16127239718</v>
      </c>
      <c r="N59" s="31">
        <f>(INDEX(Option4!N$106:N$117, MATCH($D59, Option4!$G$106:$G$117,0)))*conv_2026*N$7</f>
        <v>316465.49785728304</v>
      </c>
      <c r="O59" s="31">
        <f>(INDEX(Option4!O$106:O$117, MATCH($D59, Option4!$G$106:$G$117,0)))*conv_2026*O$7</f>
        <v>511516.73277283256</v>
      </c>
      <c r="P59" s="31">
        <f>(INDEX(Option4!P$106:P$117, MATCH($D59, Option4!$G$106:$G$117,0)))*conv_2026*P$7</f>
        <v>765083.3381630464</v>
      </c>
      <c r="Q59" s="31">
        <f>(INDEX(Option4!Q$106:Q$117, MATCH($D59, Option4!$G$106:$G$117,0)))*conv_2026*Q$7</f>
        <v>765083.3381630464</v>
      </c>
      <c r="R59" s="31">
        <f>(INDEX(Option4!R$106:R$117, MATCH($D59, Option4!$G$106:$G$117,0)))*conv_2026*R$7</f>
        <v>765083.3381630464</v>
      </c>
      <c r="S59" s="31">
        <f>(INDEX(Option4!S$106:S$117, MATCH($D59, Option4!$G$106:$G$117,0)))*conv_2026*S$7</f>
        <v>765083.3381630464</v>
      </c>
      <c r="T59" s="31">
        <f>(INDEX(Option4!T$106:T$117, MATCH($D59, Option4!$G$106:$G$117,0)))*conv_2026*T$7</f>
        <v>765083.3381630464</v>
      </c>
      <c r="U59" s="31">
        <f>(INDEX(Option4!U$106:U$117, MATCH($D59, Option4!$G$106:$G$117,0)))*conv_2026*U$7</f>
        <v>765083.3381630464</v>
      </c>
      <c r="V59" s="31">
        <f>(INDEX(Option4!V$106:V$117, MATCH($D59, Option4!$G$106:$G$117,0)))*conv_2026*V$7</f>
        <v>765083.3381630464</v>
      </c>
      <c r="W59" s="31">
        <f>(INDEX(Option4!W$106:W$117, MATCH($D59, Option4!$G$106:$G$117,0)))*conv_2026*W$7</f>
        <v>765083.3381630464</v>
      </c>
      <c r="X59" s="31">
        <f>(INDEX(Option4!X$106:X$117, MATCH($D59, Option4!$G$106:$G$117,0)))*conv_2026*X$7</f>
        <v>765083.3381630464</v>
      </c>
      <c r="Y59" s="31">
        <f>(INDEX(Option4!Y$106:Y$117, MATCH($D59, Option4!$G$106:$G$117,0)))*conv_2026*Y$7</f>
        <v>765083.3381630464</v>
      </c>
      <c r="Z59" s="31">
        <f>(INDEX(Option4!Z$106:Z$117, MATCH($D59, Option4!$G$106:$G$117,0)))*conv_2026*Z$7</f>
        <v>765083.3381630464</v>
      </c>
      <c r="AA59" s="31">
        <f>(INDEX(Option4!AA$106:AA$117, MATCH($D59, Option4!$G$106:$G$117,0)))*conv_2026*AA$7</f>
        <v>765083.3381630464</v>
      </c>
      <c r="AB59" s="31">
        <f>(INDEX(Option4!AB$106:AB$117, MATCH($D59, Option4!$G$106:$G$117,0)))*conv_2026*AB$7</f>
        <v>765083.3381630464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8" t="s">
        <v>133</v>
      </c>
      <c r="B60" s="258" t="str">
        <f>Option4!A112</f>
        <v>sens3</v>
      </c>
      <c r="C60" s="258" t="str">
        <f>Option4!C112</f>
        <v>Total benefits 10% higher</v>
      </c>
      <c r="D60" s="258" t="str">
        <f t="shared" si="7"/>
        <v>Option 4sens3</v>
      </c>
      <c r="E60" s="259"/>
      <c r="F60" s="31">
        <f t="shared" si="6"/>
        <v>7749432.8660996286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-161898.22586123447</v>
      </c>
      <c r="K60" s="31">
        <f>(INDEX(Option4!K$106:K$117, MATCH($D60, Option4!$G$106:$G$117,0)))*conv_2026*K$7</f>
        <v>-22436.592896616727</v>
      </c>
      <c r="L60" s="31">
        <f>(INDEX(Option4!L$106:L$117, MATCH($D60, Option4!$G$106:$G$117,0)))*conv_2026*L$7</f>
        <v>117025.04006800118</v>
      </c>
      <c r="M60" s="31">
        <f>(INDEX(Option4!M$106:M$117, MATCH($D60, Option4!$G$106:$G$117,0)))*conv_2026*M$7</f>
        <v>240394.94615208602</v>
      </c>
      <c r="N60" s="31">
        <f>(INDEX(Option4!N$106:N$117, MATCH($D60, Option4!$G$106:$G$117,0)))*conv_2026*N$7</f>
        <v>342309.21639546048</v>
      </c>
      <c r="O60" s="31">
        <f>(INDEX(Option4!O$106:O$117, MATCH($D60, Option4!$G$106:$G$117,0)))*conv_2026*O$7</f>
        <v>556865.57480256492</v>
      </c>
      <c r="P60" s="31">
        <f>(INDEX(Option4!P$106:P$117, MATCH($D60, Option4!$G$106:$G$117,0)))*conv_2026*P$7</f>
        <v>835788.8407318003</v>
      </c>
      <c r="Q60" s="31">
        <f>(INDEX(Option4!Q$106:Q$117, MATCH($D60, Option4!$G$106:$G$117,0)))*conv_2026*Q$7</f>
        <v>835788.8407318003</v>
      </c>
      <c r="R60" s="31">
        <f>(INDEX(Option4!R$106:R$117, MATCH($D60, Option4!$G$106:$G$117,0)))*conv_2026*R$7</f>
        <v>835788.8407318003</v>
      </c>
      <c r="S60" s="31">
        <f>(INDEX(Option4!S$106:S$117, MATCH($D60, Option4!$G$106:$G$117,0)))*conv_2026*S$7</f>
        <v>835788.8407318003</v>
      </c>
      <c r="T60" s="31">
        <f>(INDEX(Option4!T$106:T$117, MATCH($D60, Option4!$G$106:$G$117,0)))*conv_2026*T$7</f>
        <v>835788.8407318003</v>
      </c>
      <c r="U60" s="31">
        <f>(INDEX(Option4!U$106:U$117, MATCH($D60, Option4!$G$106:$G$117,0)))*conv_2026*U$7</f>
        <v>835788.8407318003</v>
      </c>
      <c r="V60" s="31">
        <f>(INDEX(Option4!V$106:V$117, MATCH($D60, Option4!$G$106:$G$117,0)))*conv_2026*V$7</f>
        <v>835788.8407318003</v>
      </c>
      <c r="W60" s="31">
        <f>(INDEX(Option4!W$106:W$117, MATCH($D60, Option4!$G$106:$G$117,0)))*conv_2026*W$7</f>
        <v>835788.8407318003</v>
      </c>
      <c r="X60" s="31">
        <f>(INDEX(Option4!X$106:X$117, MATCH($D60, Option4!$G$106:$G$117,0)))*conv_2026*X$7</f>
        <v>835788.8407318003</v>
      </c>
      <c r="Y60" s="31">
        <f>(INDEX(Option4!Y$106:Y$117, MATCH($D60, Option4!$G$106:$G$117,0)))*conv_2026*Y$7</f>
        <v>835788.8407318003</v>
      </c>
      <c r="Z60" s="31">
        <f>(INDEX(Option4!Z$106:Z$117, MATCH($D60, Option4!$G$106:$G$117,0)))*conv_2026*Z$7</f>
        <v>835788.8407318003</v>
      </c>
      <c r="AA60" s="31">
        <f>(INDEX(Option4!AA$106:AA$117, MATCH($D60, Option4!$G$106:$G$117,0)))*conv_2026*AA$7</f>
        <v>835788.8407318003</v>
      </c>
      <c r="AB60" s="31">
        <f>(INDEX(Option4!AB$106:AB$117, MATCH($D60, Option4!$G$106:$G$117,0)))*conv_2026*AB$7</f>
        <v>835788.8407318003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8" t="s">
        <v>133</v>
      </c>
      <c r="B61" s="258" t="str">
        <f>Option4!A113</f>
        <v>sens4</v>
      </c>
      <c r="C61" s="258" t="str">
        <f>Option4!C113</f>
        <v>Total benefits 10% lower</v>
      </c>
      <c r="D61" s="258" t="str">
        <f t="shared" si="7"/>
        <v>Option 4sens4</v>
      </c>
      <c r="E61" s="259"/>
      <c r="F61" s="31">
        <f t="shared" si="6"/>
        <v>4918642.219705252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-237968.20747829878</v>
      </c>
      <c r="K61" s="31">
        <f>(INDEX(Option4!K$106:K$117, MATCH($D61, Option4!$G$106:$G$117,0)))*conv_2026*K$7</f>
        <v>-123863.2350527024</v>
      </c>
      <c r="L61" s="31">
        <f>(INDEX(Option4!L$106:L$117, MATCH($D61, Option4!$G$106:$G$117,0)))*conv_2026*L$7</f>
        <v>-9758.262627105938</v>
      </c>
      <c r="M61" s="31">
        <f>(INDEX(Option4!M$106:M$117, MATCH($D61, Option4!$G$106:$G$117,0)))*conv_2026*M$7</f>
        <v>91180.751441690736</v>
      </c>
      <c r="N61" s="31">
        <f>(INDEX(Option4!N$106:N$117, MATCH($D61, Option4!$G$106:$G$117,0)))*conv_2026*N$7</f>
        <v>174565.15436808803</v>
      </c>
      <c r="O61" s="31">
        <f>(INDEX(Option4!O$106:O$117, MATCH($D61, Option4!$G$106:$G$117,0)))*conv_2026*O$7</f>
        <v>350111.26579208265</v>
      </c>
      <c r="P61" s="31">
        <f>(INDEX(Option4!P$106:P$117, MATCH($D61, Option4!$G$106:$G$117,0)))*conv_2026*P$7</f>
        <v>578321.21064327506</v>
      </c>
      <c r="Q61" s="31">
        <f>(INDEX(Option4!Q$106:Q$117, MATCH($D61, Option4!$G$106:$G$117,0)))*conv_2026*Q$7</f>
        <v>578321.21064327506</v>
      </c>
      <c r="R61" s="31">
        <f>(INDEX(Option4!R$106:R$117, MATCH($D61, Option4!$G$106:$G$117,0)))*conv_2026*R$7</f>
        <v>578321.21064327506</v>
      </c>
      <c r="S61" s="31">
        <f>(INDEX(Option4!S$106:S$117, MATCH($D61, Option4!$G$106:$G$117,0)))*conv_2026*S$7</f>
        <v>578321.21064327506</v>
      </c>
      <c r="T61" s="31">
        <f>(INDEX(Option4!T$106:T$117, MATCH($D61, Option4!$G$106:$G$117,0)))*conv_2026*T$7</f>
        <v>578321.21064327506</v>
      </c>
      <c r="U61" s="31">
        <f>(INDEX(Option4!U$106:U$117, MATCH($D61, Option4!$G$106:$G$117,0)))*conv_2026*U$7</f>
        <v>578321.21064327506</v>
      </c>
      <c r="V61" s="31">
        <f>(INDEX(Option4!V$106:V$117, MATCH($D61, Option4!$G$106:$G$117,0)))*conv_2026*V$7</f>
        <v>578321.21064327506</v>
      </c>
      <c r="W61" s="31">
        <f>(INDEX(Option4!W$106:W$117, MATCH($D61, Option4!$G$106:$G$117,0)))*conv_2026*W$7</f>
        <v>578321.21064327506</v>
      </c>
      <c r="X61" s="31">
        <f>(INDEX(Option4!X$106:X$117, MATCH($D61, Option4!$G$106:$G$117,0)))*conv_2026*X$7</f>
        <v>578321.21064327506</v>
      </c>
      <c r="Y61" s="31">
        <f>(INDEX(Option4!Y$106:Y$117, MATCH($D61, Option4!$G$106:$G$117,0)))*conv_2026*Y$7</f>
        <v>578321.21064327506</v>
      </c>
      <c r="Z61" s="31">
        <f>(INDEX(Option4!Z$106:Z$117, MATCH($D61, Option4!$G$106:$G$117,0)))*conv_2026*Z$7</f>
        <v>578321.21064327506</v>
      </c>
      <c r="AA61" s="31">
        <f>(INDEX(Option4!AA$106:AA$117, MATCH($D61, Option4!$G$106:$G$117,0)))*conv_2026*AA$7</f>
        <v>578321.21064327506</v>
      </c>
      <c r="AB61" s="31">
        <f>(INDEX(Option4!AB$106:AB$117, MATCH($D61, Option4!$G$106:$G$117,0)))*conv_2026*AB$7</f>
        <v>578321.21064327506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8" t="s">
        <v>133</v>
      </c>
      <c r="B62" s="258" t="str">
        <f>Option4!A114</f>
        <v>sens5</v>
      </c>
      <c r="C62" s="258" t="str">
        <f>Option4!C114</f>
        <v>Capex 10% higher &amp; Total benefits 10% lower</v>
      </c>
      <c r="D62" s="258" t="str">
        <f t="shared" si="7"/>
        <v>Option 4sens5</v>
      </c>
      <c r="E62" s="259"/>
      <c r="F62" s="31">
        <f t="shared" si="6"/>
        <v>4136650.6507983091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-295996.51995380758</v>
      </c>
      <c r="K62" s="31">
        <f>(INDEX(Option4!K$106:K$117, MATCH($D62, Option4!$G$106:$G$117,0)))*conv_2026*K$7</f>
        <v>-181891.5475282112</v>
      </c>
      <c r="L62" s="31">
        <f>(INDEX(Option4!L$106:L$117, MATCH($D62, Option4!$G$106:$G$117,0)))*conv_2026*L$7</f>
        <v>-67786.575102614734</v>
      </c>
      <c r="M62" s="31">
        <f>(INDEX(Option4!M$106:M$117, MATCH($D62, Option4!$G$106:$G$117,0)))*conv_2026*M$7</f>
        <v>33152.438966181944</v>
      </c>
      <c r="N62" s="31">
        <f>(INDEX(Option4!N$106:N$117, MATCH($D62, Option4!$G$106:$G$117,0)))*conv_2026*N$7</f>
        <v>116536.84189257925</v>
      </c>
      <c r="O62" s="31">
        <f>(INDEX(Option4!O$106:O$117, MATCH($D62, Option4!$G$106:$G$117,0)))*conv_2026*O$7</f>
        <v>292082.95331657381</v>
      </c>
      <c r="P62" s="31">
        <f>(INDEX(Option4!P$106:P$117, MATCH($D62, Option4!$G$106:$G$117,0)))*conv_2026*P$7</f>
        <v>520292.89816776628</v>
      </c>
      <c r="Q62" s="31">
        <f>(INDEX(Option4!Q$106:Q$117, MATCH($D62, Option4!$G$106:$G$117,0)))*conv_2026*Q$7</f>
        <v>520292.89816776628</v>
      </c>
      <c r="R62" s="31">
        <f>(INDEX(Option4!R$106:R$117, MATCH($D62, Option4!$G$106:$G$117,0)))*conv_2026*R$7</f>
        <v>520292.89816776628</v>
      </c>
      <c r="S62" s="31">
        <f>(INDEX(Option4!S$106:S$117, MATCH($D62, Option4!$G$106:$G$117,0)))*conv_2026*S$7</f>
        <v>520292.89816776628</v>
      </c>
      <c r="T62" s="31">
        <f>(INDEX(Option4!T$106:T$117, MATCH($D62, Option4!$G$106:$G$117,0)))*conv_2026*T$7</f>
        <v>520292.89816776628</v>
      </c>
      <c r="U62" s="31">
        <f>(INDEX(Option4!U$106:U$117, MATCH($D62, Option4!$G$106:$G$117,0)))*conv_2026*U$7</f>
        <v>520292.89816776628</v>
      </c>
      <c r="V62" s="31">
        <f>(INDEX(Option4!V$106:V$117, MATCH($D62, Option4!$G$106:$G$117,0)))*conv_2026*V$7</f>
        <v>520292.89816776628</v>
      </c>
      <c r="W62" s="31">
        <f>(INDEX(Option4!W$106:W$117, MATCH($D62, Option4!$G$106:$G$117,0)))*conv_2026*W$7</f>
        <v>520292.89816776628</v>
      </c>
      <c r="X62" s="31">
        <f>(INDEX(Option4!X$106:X$117, MATCH($D62, Option4!$G$106:$G$117,0)))*conv_2026*X$7</f>
        <v>520292.89816776628</v>
      </c>
      <c r="Y62" s="31">
        <f>(INDEX(Option4!Y$106:Y$117, MATCH($D62, Option4!$G$106:$G$117,0)))*conv_2026*Y$7</f>
        <v>520292.89816776628</v>
      </c>
      <c r="Z62" s="31">
        <f>(INDEX(Option4!Z$106:Z$117, MATCH($D62, Option4!$G$106:$G$117,0)))*conv_2026*Z$7</f>
        <v>520292.89816776628</v>
      </c>
      <c r="AA62" s="31">
        <f>(INDEX(Option4!AA$106:AA$117, MATCH($D62, Option4!$G$106:$G$117,0)))*conv_2026*AA$7</f>
        <v>520292.89816776628</v>
      </c>
      <c r="AB62" s="31">
        <f>(INDEX(Option4!AB$106:AB$117, MATCH($D62, Option4!$G$106:$G$117,0)))*conv_2026*AB$7</f>
        <v>520292.89816776628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8" t="s">
        <v>133</v>
      </c>
      <c r="B63" s="258" t="str">
        <f>Option4!A115</f>
        <v>sens</v>
      </c>
      <c r="C63" s="258">
        <f>Option4!C115</f>
        <v>0</v>
      </c>
      <c r="D63" s="258" t="str">
        <f t="shared" si="7"/>
        <v>Option 4sens</v>
      </c>
      <c r="E63" s="259"/>
      <c r="F63" s="31">
        <f t="shared" si="6"/>
        <v>6334037.5429024398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-199933.21666976661</v>
      </c>
      <c r="K63" s="31">
        <f>(INDEX(Option4!K$106:K$117, MATCH($D63, Option4!$G$106:$G$117,0)))*conv_2026*K$7</f>
        <v>-73149.913974659561</v>
      </c>
      <c r="L63" s="31">
        <f>(INDEX(Option4!L$106:L$117, MATCH($D63, Option4!$G$106:$G$117,0)))*conv_2026*L$7</f>
        <v>53633.388720447627</v>
      </c>
      <c r="M63" s="31">
        <f>(INDEX(Option4!M$106:M$117, MATCH($D63, Option4!$G$106:$G$117,0)))*conv_2026*M$7</f>
        <v>165787.84879688837</v>
      </c>
      <c r="N63" s="31">
        <f>(INDEX(Option4!N$106:N$117, MATCH($D63, Option4!$G$106:$G$117,0)))*conv_2026*N$7</f>
        <v>258437.18538177427</v>
      </c>
      <c r="O63" s="31">
        <f>(INDEX(Option4!O$106:O$117, MATCH($D63, Option4!$G$106:$G$117,0)))*conv_2026*O$7</f>
        <v>453488.42029732378</v>
      </c>
      <c r="P63" s="31">
        <f>(INDEX(Option4!P$106:P$117, MATCH($D63, Option4!$G$106:$G$117,0)))*conv_2026*P$7</f>
        <v>707055.02568753762</v>
      </c>
      <c r="Q63" s="31">
        <f>(INDEX(Option4!Q$106:Q$117, MATCH($D63, Option4!$G$106:$G$117,0)))*conv_2026*Q$7</f>
        <v>707055.02568753762</v>
      </c>
      <c r="R63" s="31">
        <f>(INDEX(Option4!R$106:R$117, MATCH($D63, Option4!$G$106:$G$117,0)))*conv_2026*R$7</f>
        <v>707055.02568753762</v>
      </c>
      <c r="S63" s="31">
        <f>(INDEX(Option4!S$106:S$117, MATCH($D63, Option4!$G$106:$G$117,0)))*conv_2026*S$7</f>
        <v>707055.02568753762</v>
      </c>
      <c r="T63" s="31">
        <f>(INDEX(Option4!T$106:T$117, MATCH($D63, Option4!$G$106:$G$117,0)))*conv_2026*T$7</f>
        <v>707055.02568753762</v>
      </c>
      <c r="U63" s="31">
        <f>(INDEX(Option4!U$106:U$117, MATCH($D63, Option4!$G$106:$G$117,0)))*conv_2026*U$7</f>
        <v>707055.02568753762</v>
      </c>
      <c r="V63" s="31">
        <f>(INDEX(Option4!V$106:V$117, MATCH($D63, Option4!$G$106:$G$117,0)))*conv_2026*V$7</f>
        <v>707055.02568753762</v>
      </c>
      <c r="W63" s="31">
        <f>(INDEX(Option4!W$106:W$117, MATCH($D63, Option4!$G$106:$G$117,0)))*conv_2026*W$7</f>
        <v>707055.02568753762</v>
      </c>
      <c r="X63" s="31">
        <f>(INDEX(Option4!X$106:X$117, MATCH($D63, Option4!$G$106:$G$117,0)))*conv_2026*X$7</f>
        <v>707055.02568753762</v>
      </c>
      <c r="Y63" s="31">
        <f>(INDEX(Option4!Y$106:Y$117, MATCH($D63, Option4!$G$106:$G$117,0)))*conv_2026*Y$7</f>
        <v>707055.02568753762</v>
      </c>
      <c r="Z63" s="31">
        <f>(INDEX(Option4!Z$106:Z$117, MATCH($D63, Option4!$G$106:$G$117,0)))*conv_2026*Z$7</f>
        <v>707055.02568753762</v>
      </c>
      <c r="AA63" s="31">
        <f>(INDEX(Option4!AA$106:AA$117, MATCH($D63, Option4!$G$106:$G$117,0)))*conv_2026*AA$7</f>
        <v>707055.02568753762</v>
      </c>
      <c r="AB63" s="31">
        <f>(INDEX(Option4!AB$106:AB$117, MATCH($D63, Option4!$G$106:$G$117,0)))*conv_2026*AB$7</f>
        <v>707055.02568753762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8" t="s">
        <v>133</v>
      </c>
      <c r="B64" s="258" t="str">
        <f>Option4!A116</f>
        <v>sens</v>
      </c>
      <c r="C64" s="258">
        <f>Option4!C116</f>
        <v>0</v>
      </c>
      <c r="D64" s="258" t="str">
        <f t="shared" si="7"/>
        <v>Option 4sens</v>
      </c>
      <c r="E64" s="259"/>
      <c r="F64" s="31">
        <f t="shared" si="6"/>
        <v>6334037.5429024398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-199933.21666976661</v>
      </c>
      <c r="K64" s="31">
        <f>(INDEX(Option4!K$106:K$117, MATCH($D64, Option4!$G$106:$G$117,0)))*conv_2026*K$7</f>
        <v>-73149.913974659561</v>
      </c>
      <c r="L64" s="31">
        <f>(INDEX(Option4!L$106:L$117, MATCH($D64, Option4!$G$106:$G$117,0)))*conv_2026*L$7</f>
        <v>53633.388720447627</v>
      </c>
      <c r="M64" s="31">
        <f>(INDEX(Option4!M$106:M$117, MATCH($D64, Option4!$G$106:$G$117,0)))*conv_2026*M$7</f>
        <v>165787.84879688837</v>
      </c>
      <c r="N64" s="31">
        <f>(INDEX(Option4!N$106:N$117, MATCH($D64, Option4!$G$106:$G$117,0)))*conv_2026*N$7</f>
        <v>258437.18538177427</v>
      </c>
      <c r="O64" s="31">
        <f>(INDEX(Option4!O$106:O$117, MATCH($D64, Option4!$G$106:$G$117,0)))*conv_2026*O$7</f>
        <v>453488.42029732378</v>
      </c>
      <c r="P64" s="31">
        <f>(INDEX(Option4!P$106:P$117, MATCH($D64, Option4!$G$106:$G$117,0)))*conv_2026*P$7</f>
        <v>707055.02568753762</v>
      </c>
      <c r="Q64" s="31">
        <f>(INDEX(Option4!Q$106:Q$117, MATCH($D64, Option4!$G$106:$G$117,0)))*conv_2026*Q$7</f>
        <v>707055.02568753762</v>
      </c>
      <c r="R64" s="31">
        <f>(INDEX(Option4!R$106:R$117, MATCH($D64, Option4!$G$106:$G$117,0)))*conv_2026*R$7</f>
        <v>707055.02568753762</v>
      </c>
      <c r="S64" s="31">
        <f>(INDEX(Option4!S$106:S$117, MATCH($D64, Option4!$G$106:$G$117,0)))*conv_2026*S$7</f>
        <v>707055.02568753762</v>
      </c>
      <c r="T64" s="31">
        <f>(INDEX(Option4!T$106:T$117, MATCH($D64, Option4!$G$106:$G$117,0)))*conv_2026*T$7</f>
        <v>707055.02568753762</v>
      </c>
      <c r="U64" s="31">
        <f>(INDEX(Option4!U$106:U$117, MATCH($D64, Option4!$G$106:$G$117,0)))*conv_2026*U$7</f>
        <v>707055.02568753762</v>
      </c>
      <c r="V64" s="31">
        <f>(INDEX(Option4!V$106:V$117, MATCH($D64, Option4!$G$106:$G$117,0)))*conv_2026*V$7</f>
        <v>707055.02568753762</v>
      </c>
      <c r="W64" s="31">
        <f>(INDEX(Option4!W$106:W$117, MATCH($D64, Option4!$G$106:$G$117,0)))*conv_2026*W$7</f>
        <v>707055.02568753762</v>
      </c>
      <c r="X64" s="31">
        <f>(INDEX(Option4!X$106:X$117, MATCH($D64, Option4!$G$106:$G$117,0)))*conv_2026*X$7</f>
        <v>707055.02568753762</v>
      </c>
      <c r="Y64" s="31">
        <f>(INDEX(Option4!Y$106:Y$117, MATCH($D64, Option4!$G$106:$G$117,0)))*conv_2026*Y$7</f>
        <v>707055.02568753762</v>
      </c>
      <c r="Z64" s="31">
        <f>(INDEX(Option4!Z$106:Z$117, MATCH($D64, Option4!$G$106:$G$117,0)))*conv_2026*Z$7</f>
        <v>707055.02568753762</v>
      </c>
      <c r="AA64" s="31">
        <f>(INDEX(Option4!AA$106:AA$117, MATCH($D64, Option4!$G$106:$G$117,0)))*conv_2026*AA$7</f>
        <v>707055.02568753762</v>
      </c>
      <c r="AB64" s="31">
        <f>(INDEX(Option4!AB$106:AB$117, MATCH($D64, Option4!$G$106:$G$117,0)))*conv_2026*AB$7</f>
        <v>707055.02568753762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8" t="s">
        <v>133</v>
      </c>
      <c r="B65" s="258" t="str">
        <f>Option4!A117</f>
        <v>sens</v>
      </c>
      <c r="C65" s="258">
        <f>Option4!C117</f>
        <v>0</v>
      </c>
      <c r="D65" s="258" t="str">
        <f t="shared" si="7"/>
        <v>Option 4sens</v>
      </c>
      <c r="E65" s="259"/>
      <c r="F65" s="31">
        <f t="shared" si="6"/>
        <v>6334037.5429024398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-199933.21666976661</v>
      </c>
      <c r="K65" s="31">
        <f>(INDEX(Option4!K$106:K$117, MATCH($D65, Option4!$G$106:$G$117,0)))*conv_2026*K$7</f>
        <v>-73149.913974659561</v>
      </c>
      <c r="L65" s="31">
        <f>(INDEX(Option4!L$106:L$117, MATCH($D65, Option4!$G$106:$G$117,0)))*conv_2026*L$7</f>
        <v>53633.388720447627</v>
      </c>
      <c r="M65" s="31">
        <f>(INDEX(Option4!M$106:M$117, MATCH($D65, Option4!$G$106:$G$117,0)))*conv_2026*M$7</f>
        <v>165787.84879688837</v>
      </c>
      <c r="N65" s="31">
        <f>(INDEX(Option4!N$106:N$117, MATCH($D65, Option4!$G$106:$G$117,0)))*conv_2026*N$7</f>
        <v>258437.18538177427</v>
      </c>
      <c r="O65" s="31">
        <f>(INDEX(Option4!O$106:O$117, MATCH($D65, Option4!$G$106:$G$117,0)))*conv_2026*O$7</f>
        <v>453488.42029732378</v>
      </c>
      <c r="P65" s="31">
        <f>(INDEX(Option4!P$106:P$117, MATCH($D65, Option4!$G$106:$G$117,0)))*conv_2026*P$7</f>
        <v>707055.02568753762</v>
      </c>
      <c r="Q65" s="31">
        <f>(INDEX(Option4!Q$106:Q$117, MATCH($D65, Option4!$G$106:$G$117,0)))*conv_2026*Q$7</f>
        <v>707055.02568753762</v>
      </c>
      <c r="R65" s="31">
        <f>(INDEX(Option4!R$106:R$117, MATCH($D65, Option4!$G$106:$G$117,0)))*conv_2026*R$7</f>
        <v>707055.02568753762</v>
      </c>
      <c r="S65" s="31">
        <f>(INDEX(Option4!S$106:S$117, MATCH($D65, Option4!$G$106:$G$117,0)))*conv_2026*S$7</f>
        <v>707055.02568753762</v>
      </c>
      <c r="T65" s="31">
        <f>(INDEX(Option4!T$106:T$117, MATCH($D65, Option4!$G$106:$G$117,0)))*conv_2026*T$7</f>
        <v>707055.02568753762</v>
      </c>
      <c r="U65" s="31">
        <f>(INDEX(Option4!U$106:U$117, MATCH($D65, Option4!$G$106:$G$117,0)))*conv_2026*U$7</f>
        <v>707055.02568753762</v>
      </c>
      <c r="V65" s="31">
        <f>(INDEX(Option4!V$106:V$117, MATCH($D65, Option4!$G$106:$G$117,0)))*conv_2026*V$7</f>
        <v>707055.02568753762</v>
      </c>
      <c r="W65" s="31">
        <f>(INDEX(Option4!W$106:W$117, MATCH($D65, Option4!$G$106:$G$117,0)))*conv_2026*W$7</f>
        <v>707055.02568753762</v>
      </c>
      <c r="X65" s="31">
        <f>(INDEX(Option4!X$106:X$117, MATCH($D65, Option4!$G$106:$G$117,0)))*conv_2026*X$7</f>
        <v>707055.02568753762</v>
      </c>
      <c r="Y65" s="31">
        <f>(INDEX(Option4!Y$106:Y$117, MATCH($D65, Option4!$G$106:$G$117,0)))*conv_2026*Y$7</f>
        <v>707055.02568753762</v>
      </c>
      <c r="Z65" s="31">
        <f>(INDEX(Option4!Z$106:Z$117, MATCH($D65, Option4!$G$106:$G$117,0)))*conv_2026*Z$7</f>
        <v>707055.02568753762</v>
      </c>
      <c r="AA65" s="31">
        <f>(INDEX(Option4!AA$106:AA$117, MATCH($D65, Option4!$G$106:$G$117,0)))*conv_2026*AA$7</f>
        <v>707055.02568753762</v>
      </c>
      <c r="AB65" s="31">
        <f>(INDEX(Option4!AB$106:AB$117, MATCH($D65, Option4!$G$106:$G$117,0)))*conv_2026*AB$7</f>
        <v>707055.02568753762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8"/>
      <c r="B66" s="258"/>
      <c r="C66" s="258"/>
      <c r="D66" s="258"/>
      <c r="E66" s="258"/>
      <c r="F66" s="31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</row>
    <row r="67" spans="1:35" s="8" customFormat="1" x14ac:dyDescent="0.2">
      <c r="A67" s="258"/>
      <c r="B67" s="258"/>
      <c r="C67" s="258"/>
      <c r="D67" s="258"/>
      <c r="E67" s="258"/>
      <c r="F67" s="31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</row>
    <row r="68" spans="1:35" s="8" customFormat="1" x14ac:dyDescent="0.2">
      <c r="A68" s="258"/>
      <c r="B68" s="258"/>
      <c r="C68" s="258"/>
      <c r="D68" s="258"/>
      <c r="E68" s="258"/>
      <c r="F68" s="31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</row>
    <row r="69" spans="1:35" s="8" customFormat="1" x14ac:dyDescent="0.2">
      <c r="A69" s="258"/>
      <c r="B69" s="258"/>
      <c r="C69" s="258"/>
      <c r="D69" s="258"/>
      <c r="E69" s="258"/>
      <c r="F69" s="31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</row>
    <row r="70" spans="1:35" s="8" customFormat="1" x14ac:dyDescent="0.2">
      <c r="A70" s="258" t="s">
        <v>154</v>
      </c>
      <c r="B70" s="258" t="s">
        <v>119</v>
      </c>
      <c r="C70" s="258" t="s">
        <v>188</v>
      </c>
      <c r="D70" s="258" t="str">
        <f>A70&amp;B70</f>
        <v>Option 5NPV</v>
      </c>
      <c r="E70" s="259"/>
      <c r="F70" s="31">
        <f t="shared" ref="F70:F79" si="8">SUMPRODUCT($H70:$AG70, $H$5:$AG$5)</f>
        <v>0</v>
      </c>
      <c r="G70" s="251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50"/>
      <c r="B71" s="250"/>
      <c r="C71" s="250"/>
      <c r="D71" s="250"/>
      <c r="E71" s="250"/>
      <c r="F71" s="250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7"/>
      <c r="AI71" s="7"/>
    </row>
    <row r="72" spans="1:35" s="8" customFormat="1" x14ac:dyDescent="0.2">
      <c r="A72" s="258" t="s">
        <v>154</v>
      </c>
      <c r="B72" s="258" t="str">
        <f>Option5!A110</f>
        <v>sens1</v>
      </c>
      <c r="C72" s="258" t="str">
        <f>Option5!C110</f>
        <v>Capex 10% higher</v>
      </c>
      <c r="D72" s="258" t="str">
        <f t="shared" ref="D72:D79" si="9">A72&amp;B72</f>
        <v>Option 5sens1</v>
      </c>
      <c r="E72" s="259"/>
      <c r="F72" s="31">
        <f t="shared" si="8"/>
        <v>0</v>
      </c>
      <c r="G72" s="251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8" t="s">
        <v>154</v>
      </c>
      <c r="B73" s="258" t="str">
        <f>Option5!A111</f>
        <v>sens2</v>
      </c>
      <c r="C73" s="258" t="str">
        <f>Option5!C111</f>
        <v>Capex 10% lower</v>
      </c>
      <c r="D73" s="258" t="str">
        <f t="shared" si="9"/>
        <v>Option 5sens2</v>
      </c>
      <c r="E73" s="259"/>
      <c r="F73" s="31">
        <f t="shared" si="8"/>
        <v>0</v>
      </c>
      <c r="G73" s="258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8" t="s">
        <v>154</v>
      </c>
      <c r="B74" s="258" t="str">
        <f>Option5!A112</f>
        <v>sens3</v>
      </c>
      <c r="C74" s="258" t="str">
        <f>Option5!C112</f>
        <v>Total benefits 10% higher</v>
      </c>
      <c r="D74" s="258" t="str">
        <f t="shared" si="9"/>
        <v>Option 5sens3</v>
      </c>
      <c r="E74" s="259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8" t="s">
        <v>154</v>
      </c>
      <c r="B75" s="258" t="str">
        <f>Option5!A113</f>
        <v>sens4</v>
      </c>
      <c r="C75" s="258" t="str">
        <f>Option5!C113</f>
        <v>Total benefits 10% lower</v>
      </c>
      <c r="D75" s="258" t="str">
        <f t="shared" si="9"/>
        <v>Option 5sens4</v>
      </c>
      <c r="E75" s="259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8" t="s">
        <v>154</v>
      </c>
      <c r="B76" s="258" t="str">
        <f>Option5!A114</f>
        <v>sens5</v>
      </c>
      <c r="C76" s="258" t="str">
        <f>Option5!C114</f>
        <v>Capex 10% higher &amp; Total benefits 10% lower</v>
      </c>
      <c r="D76" s="258" t="str">
        <f t="shared" si="9"/>
        <v>Option 5sens5</v>
      </c>
      <c r="E76" s="259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8" t="s">
        <v>154</v>
      </c>
      <c r="B77" s="258" t="str">
        <f>Option5!A115</f>
        <v>sens</v>
      </c>
      <c r="C77" s="258">
        <f>Option5!C115</f>
        <v>0</v>
      </c>
      <c r="D77" s="258" t="str">
        <f t="shared" si="9"/>
        <v>Option 5sens</v>
      </c>
      <c r="E77" s="259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8" t="s">
        <v>154</v>
      </c>
      <c r="B78" s="258" t="str">
        <f>Option5!A116</f>
        <v>sens</v>
      </c>
      <c r="C78" s="258">
        <f>Option5!C116</f>
        <v>0</v>
      </c>
      <c r="D78" s="258" t="str">
        <f t="shared" si="9"/>
        <v>Option 5sens</v>
      </c>
      <c r="E78" s="259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8" t="s">
        <v>154</v>
      </c>
      <c r="B79" s="258" t="str">
        <f>Option5!A117</f>
        <v>sens</v>
      </c>
      <c r="C79" s="258">
        <f>Option5!C117</f>
        <v>0</v>
      </c>
      <c r="D79" s="258" t="str">
        <f t="shared" si="9"/>
        <v>Option 5sens</v>
      </c>
      <c r="E79" s="259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4"/>
    </row>
    <row r="81" spans="1:34" s="8" customFormat="1" x14ac:dyDescent="0.2">
      <c r="F81" s="254"/>
    </row>
    <row r="82" spans="1:34" s="8" customFormat="1" x14ac:dyDescent="0.2">
      <c r="F82" s="254"/>
    </row>
    <row r="83" spans="1:34" s="8" customFormat="1" x14ac:dyDescent="0.2">
      <c r="F83" s="254"/>
    </row>
    <row r="84" spans="1:34" s="8" customFormat="1" ht="15" x14ac:dyDescent="0.25">
      <c r="A84" s="206" t="s">
        <v>159</v>
      </c>
      <c r="B84" s="54"/>
      <c r="C84" s="19"/>
      <c r="D84" s="19"/>
      <c r="E84" s="83"/>
      <c r="F84" s="19"/>
      <c r="G84" s="227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10"/>
      <c r="AH84" s="10"/>
    </row>
    <row r="85" spans="1:34" s="8" customFormat="1" x14ac:dyDescent="0.2">
      <c r="F85" s="254"/>
    </row>
    <row r="86" spans="1:34" s="8" customFormat="1" x14ac:dyDescent="0.2">
      <c r="F86" s="254"/>
    </row>
    <row r="87" spans="1:34" s="8" customFormat="1" x14ac:dyDescent="0.2">
      <c r="E87" s="254"/>
    </row>
    <row r="88" spans="1:34" s="8" customFormat="1" x14ac:dyDescent="0.2">
      <c r="C88" s="280" t="b" cm="1">
        <f t="array" ref="C88:G88">TRANSPOSE(Data!F9:F13)</f>
        <v>0</v>
      </c>
      <c r="D88" s="280" t="b">
        <v>0</v>
      </c>
      <c r="E88" s="281" t="b">
        <v>0</v>
      </c>
      <c r="F88" s="280" t="b">
        <v>0</v>
      </c>
      <c r="G88" s="280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82" t="str" cm="1">
        <f t="array" ref="C89:G89">TRANSPOSE(options)</f>
        <v>Option 1 (base case)</v>
      </c>
      <c r="D89" s="282" t="str">
        <v>Option 2</v>
      </c>
      <c r="E89" s="282" t="str">
        <v>Option 3</v>
      </c>
      <c r="F89" s="282" t="str">
        <v>Option 4</v>
      </c>
      <c r="G89" s="282" t="str">
        <v>Option 5</v>
      </c>
      <c r="I89" s="282" t="s">
        <v>228</v>
      </c>
      <c r="K89" s="288" t="s">
        <v>229</v>
      </c>
    </row>
    <row r="90" spans="1:34" s="8" customFormat="1" x14ac:dyDescent="0.2">
      <c r="A90" s="266" t="s">
        <v>119</v>
      </c>
      <c r="B90" s="266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10.281812651278603</v>
      </c>
      <c r="E90" s="105">
        <f t="shared" si="10"/>
        <v>8.4058029357208408</v>
      </c>
      <c r="F90" s="105">
        <f t="shared" si="10"/>
        <v>6.3340375429024398</v>
      </c>
      <c r="G90" s="105" t="str">
        <f t="shared" si="10"/>
        <v/>
      </c>
      <c r="H90" s="190"/>
      <c r="I90" s="105">
        <f t="shared" ref="I90:I98" si="11">_xlfn.MAXIFS(C90:G90,_xlfn.ANCHORARRAY( C$88),FALSE)</f>
        <v>10.281812651278603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6" t="str">
        <f>"sens"&amp;Assumptions!B111</f>
        <v>sens1</v>
      </c>
      <c r="B91" s="266" t="str">
        <f>Assumptions!C111</f>
        <v>Capex 10% higher</v>
      </c>
      <c r="C91" s="105">
        <f t="shared" si="10"/>
        <v>0</v>
      </c>
      <c r="D91" s="105">
        <f t="shared" si="10"/>
        <v>9.827988005260254</v>
      </c>
      <c r="E91" s="105">
        <f t="shared" si="10"/>
        <v>7.8309879060957366</v>
      </c>
      <c r="F91" s="105">
        <f t="shared" si="10"/>
        <v>5.5520459739954964</v>
      </c>
      <c r="G91" s="105" t="str">
        <f t="shared" si="10"/>
        <v/>
      </c>
      <c r="H91" s="190"/>
      <c r="I91" s="105">
        <f t="shared" si="11"/>
        <v>9.827988005260254</v>
      </c>
      <c r="K91" s="8" t="str">
        <f t="shared" si="12"/>
        <v>Option 2</v>
      </c>
    </row>
    <row r="92" spans="1:34" s="8" customFormat="1" x14ac:dyDescent="0.2">
      <c r="A92" s="266" t="str">
        <f>"sens"&amp;Assumptions!B112</f>
        <v>sens2</v>
      </c>
      <c r="B92" s="266" t="str">
        <f>Assumptions!C112</f>
        <v>Capex 10% lower</v>
      </c>
      <c r="C92" s="105">
        <f t="shared" si="10"/>
        <v>0</v>
      </c>
      <c r="D92" s="105">
        <f t="shared" si="10"/>
        <v>10.735637297296954</v>
      </c>
      <c r="E92" s="105">
        <f t="shared" si="10"/>
        <v>8.9806179653459459</v>
      </c>
      <c r="F92" s="105">
        <f t="shared" si="10"/>
        <v>7.1160291118093832</v>
      </c>
      <c r="G92" s="105" t="str">
        <f t="shared" si="10"/>
        <v/>
      </c>
      <c r="H92" s="190"/>
      <c r="I92" s="105">
        <f t="shared" si="11"/>
        <v>10.735637297296954</v>
      </c>
      <c r="K92" s="8" t="str">
        <f t="shared" si="12"/>
        <v>Option 2</v>
      </c>
    </row>
    <row r="93" spans="1:34" s="8" customFormat="1" x14ac:dyDescent="0.2">
      <c r="A93" s="266" t="str">
        <f>"sens"&amp;Assumptions!B113</f>
        <v>sens3</v>
      </c>
      <c r="B93" s="266" t="str">
        <f>Assumptions!C113</f>
        <v>Total benefits 10% higher</v>
      </c>
      <c r="C93" s="105">
        <f t="shared" si="10"/>
        <v>0</v>
      </c>
      <c r="D93" s="105">
        <f t="shared" si="10"/>
        <v>11.763818562424813</v>
      </c>
      <c r="E93" s="105">
        <f t="shared" si="10"/>
        <v>9.8211982589180273</v>
      </c>
      <c r="F93" s="105">
        <f t="shared" si="10"/>
        <v>7.749432866099629</v>
      </c>
      <c r="G93" s="105" t="str">
        <f t="shared" si="10"/>
        <v/>
      </c>
      <c r="H93" s="190"/>
      <c r="I93" s="105">
        <f t="shared" si="11"/>
        <v>11.763818562424813</v>
      </c>
      <c r="K93" s="8" t="str">
        <f t="shared" si="12"/>
        <v>Option 2</v>
      </c>
    </row>
    <row r="94" spans="1:34" s="8" customFormat="1" x14ac:dyDescent="0.2">
      <c r="A94" s="266" t="str">
        <f>"sens"&amp;Assumptions!B114</f>
        <v>sens4</v>
      </c>
      <c r="B94" s="266" t="str">
        <f>Assumptions!C114</f>
        <v>Total benefits 10% lower</v>
      </c>
      <c r="C94" s="105">
        <f t="shared" si="10"/>
        <v>0</v>
      </c>
      <c r="D94" s="105">
        <f t="shared" si="10"/>
        <v>8.7998067401323929</v>
      </c>
      <c r="E94" s="105">
        <f t="shared" si="10"/>
        <v>6.9904076125236507</v>
      </c>
      <c r="F94" s="105">
        <f t="shared" si="10"/>
        <v>4.9186422197052524</v>
      </c>
      <c r="G94" s="105" t="str">
        <f t="shared" si="10"/>
        <v/>
      </c>
      <c r="H94" s="190"/>
      <c r="I94" s="105">
        <f t="shared" si="11"/>
        <v>8.7998067401323929</v>
      </c>
      <c r="K94" s="8" t="str">
        <f t="shared" si="12"/>
        <v>Option 2</v>
      </c>
    </row>
    <row r="95" spans="1:34" s="8" customFormat="1" x14ac:dyDescent="0.2">
      <c r="A95" s="266" t="str">
        <f>"sens"&amp;Assumptions!B115</f>
        <v>sens5</v>
      </c>
      <c r="B95" s="266" t="str">
        <f>Assumptions!C115</f>
        <v>Capex 10% higher &amp; Total benefits 10% lower</v>
      </c>
      <c r="C95" s="105">
        <f t="shared" si="10"/>
        <v>0</v>
      </c>
      <c r="D95" s="105">
        <f t="shared" si="10"/>
        <v>8.3459820941140421</v>
      </c>
      <c r="E95" s="105">
        <f t="shared" si="10"/>
        <v>6.4155925828985483</v>
      </c>
      <c r="F95" s="105">
        <f t="shared" si="10"/>
        <v>4.136650650798309</v>
      </c>
      <c r="G95" s="105" t="str">
        <f t="shared" si="10"/>
        <v/>
      </c>
      <c r="H95" s="190"/>
      <c r="I95" s="105">
        <f t="shared" si="11"/>
        <v>8.3459820941140421</v>
      </c>
      <c r="K95" s="8" t="str">
        <f t="shared" si="12"/>
        <v>Option 2</v>
      </c>
    </row>
    <row r="96" spans="1:34" s="8" customFormat="1" x14ac:dyDescent="0.2">
      <c r="A96" s="266" t="str">
        <f>"sens"&amp;Assumptions!B116</f>
        <v>sens</v>
      </c>
      <c r="B96" s="266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90"/>
      <c r="I96" s="105">
        <f t="shared" si="11"/>
        <v>0</v>
      </c>
      <c r="K96" s="8" t="str">
        <f t="shared" si="12"/>
        <v/>
      </c>
    </row>
    <row r="97" spans="1:11" x14ac:dyDescent="0.2">
      <c r="A97" s="266" t="str">
        <f>"sens"&amp;Assumptions!B117</f>
        <v>sens</v>
      </c>
      <c r="B97" s="266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7"/>
      <c r="I97" s="105">
        <f t="shared" si="11"/>
        <v>0</v>
      </c>
      <c r="K97" s="8" t="str">
        <f t="shared" si="12"/>
        <v/>
      </c>
    </row>
    <row r="98" spans="1:11" x14ac:dyDescent="0.2">
      <c r="A98" s="266" t="str">
        <f>"sens"&amp;Assumptions!B118</f>
        <v>sens</v>
      </c>
      <c r="B98" s="266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7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topLeftCell="A34" zoomScale="70" zoomScaleNormal="70" workbookViewId="0">
      <selection activeCell="C54" sqref="C54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Collingwood supply area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7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6" t="s">
        <v>1</v>
      </c>
      <c r="C31" s="197" t="s">
        <v>193</v>
      </c>
      <c r="D31" s="198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8" t="s">
        <v>131</v>
      </c>
      <c r="C32" s="195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8" t="s">
        <v>132</v>
      </c>
      <c r="C33" s="195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8" t="s">
        <v>133</v>
      </c>
      <c r="C34" s="195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8" t="s">
        <v>154</v>
      </c>
      <c r="C35" s="195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9" t="s">
        <v>193</v>
      </c>
      <c r="C38" s="199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43" t="s">
        <v>211</v>
      </c>
    </row>
    <row r="74" spans="1:4" x14ac:dyDescent="0.2">
      <c r="B74" s="242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23" zoomScale="80" zoomScaleNormal="80" workbookViewId="0">
      <selection activeCell="J39" sqref="J39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9"/>
      <c r="V1"/>
      <c r="W1"/>
    </row>
    <row r="2" spans="1:27" ht="18.75" x14ac:dyDescent="0.3">
      <c r="A2" s="56" t="str">
        <f>proj</f>
        <v>Collingwood supply area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E57"/>
      <c r="F57"/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E68"/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E69"/>
      <c r="F69"/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E70"/>
      <c r="F70"/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E71"/>
      <c r="F71"/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6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8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8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8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8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8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8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8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8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8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8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8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8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8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2" t="s">
        <v>137</v>
      </c>
      <c r="D107" s="132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138</v>
      </c>
      <c r="D108" s="132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139</v>
      </c>
      <c r="D109" s="132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5"/>
      <c r="W113"/>
      <c r="X113"/>
      <c r="Y113"/>
    </row>
    <row r="114" spans="18:25" x14ac:dyDescent="0.2">
      <c r="R114" s="23"/>
      <c r="U114"/>
      <c r="V114" s="255"/>
      <c r="W114"/>
      <c r="X114"/>
      <c r="Y114"/>
    </row>
    <row r="115" spans="18:25" x14ac:dyDescent="0.2">
      <c r="U115"/>
      <c r="V115" s="255"/>
      <c r="W115"/>
      <c r="X115"/>
      <c r="Y115"/>
    </row>
    <row r="116" spans="18:25" x14ac:dyDescent="0.2">
      <c r="U116"/>
      <c r="V116" s="25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2025-01-29T13:03:34Z</dcterms:modified>
</cp:coreProperties>
</file>