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6E7E0FB-F93C-46E7-AEC2-94A594AB5BED}" xr6:coauthVersionLast="47" xr6:coauthVersionMax="47" xr10:uidLastSave="{00000000-0000-0000-0000-000000000000}"/>
  <bookViews>
    <workbookView xWindow="3330" yWindow="1095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J31" i="33" l="1"/>
  <c r="I31" i="33"/>
  <c r="H31" i="33"/>
  <c r="G31" i="33"/>
  <c r="F31" i="33"/>
  <c r="J30" i="33"/>
  <c r="I30" i="33"/>
  <c r="H30" i="33"/>
  <c r="G30" i="33"/>
  <c r="F30" i="33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J79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I74" i="33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K79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9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M79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9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O79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P79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Q79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R79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9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T79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U79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V79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W79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X79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X72" i="68" a="1"/>
  <c r="X72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9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Z79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AA79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B79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C79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E79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9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F7" i="75" l="1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F79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G7" i="75" l="1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G79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2" i="73" l="1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2" i="73" l="1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O28" i="68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AA99" i="75"/>
  <c r="O99" i="75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P87" i="72"/>
  <c r="P106" i="72" s="1"/>
  <c r="P48" i="75"/>
  <c r="P50" i="75" s="1"/>
  <c r="P40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34" i="75" l="1"/>
  <c r="P36" i="75" s="1"/>
  <c r="K48" i="75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P42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K50" i="75"/>
  <c r="K40" i="85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A91" i="75" l="1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0" i="85"/>
  <c r="H67" i="33" s="1"/>
  <c r="E92" i="85"/>
  <c r="H69" i="33" s="1"/>
  <c r="E95" i="85"/>
  <c r="H72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<sst xmlns="http://schemas.openxmlformats.org/spreadsheetml/2006/main" count="750" uniqueCount="254">
  <si>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</si>
  <si>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</si>
  <si>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</si>
  <si>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</si>
  <si>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</si>
  <si>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</si>
  <si>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</si>
  <si>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</si>
  <si>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</si>
  <si>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</si>
  <si>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</si>
  <si>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</si>
  <si>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</si>
  <si>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</si>
  <si>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</si>
  <si>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</si>
  <si>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</si>
  <si>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</si>
  <si>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</si>
  <si>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</si>
  <si>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</si>
  <si>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</si>
  <si>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</si>
  <si>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</si>
  <si>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</si>
  <si>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</si>
  <si>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</si>
  <si>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</si>
  <si>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</si>
  <si>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</si>
  <si>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</si>
  <si>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</si>
  <si>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</si>
  <si>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</si>
  <si>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</si>
  <si>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</si>
  <si>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</si>
  <si>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</si>
  <si>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</si>
  <si>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</si>
  <si>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</si>
  <si>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</si>
  <si>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</si>
  <si>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</si>
  <si>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</si>
  <si>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</si>
  <si>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</si>
  <si>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</si>
  <si>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</si>
  <si>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</si>
  <si>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</si>
  <si>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</si>
  <si>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</si>
  <si>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</si>
  <si>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</si>
  <si>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</si>
  <si>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</si>
  <si>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</si>
  <si>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</si>
  <si>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</si>
  <si>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</si>
  <si>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</si>
  <si>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</si>
  <si>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</si>
  <si>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</si>
  <si>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</si>
  <si>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</si>
  <si>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</si>
  <si>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</si>
  <si>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</si>
  <si>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</si>
  <si>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</si>
  <si>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</si>
  <si>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</si>
  <si>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</si>
  <si>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</si>
  <si>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</si>
  <si>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</si>
  <si>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</si>
  <si>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</si>
  <si>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</si>
  <si>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</si>
  <si>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</si>
  <si>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</si>
  <si>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</si>
  <si>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</si>
  <si>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</si>
  <si>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</si>
  <si>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</si>
  <si>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</si>
  <si>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</si>
  <si>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</si>
  <si>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</si>
  <si>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</si>
  <si>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</si>
  <si>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</si>
  <si>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</si>
  <si>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</si>
  <si>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</si>
  <si>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</si>
  <si>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</si>
  <si>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</si>
  <si>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</si>
  <si>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</si>
  <si>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</si>
  <si>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</si>
  <si>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</si>
  <si>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</si>
  <si>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</si>
  <si>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</si>
  <si>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</si>
  <si>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</si>
  <si>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</si>
  <si>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</si>
  <si>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</si>
  <si>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</si>
  <si>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</si>
  <si>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</si>
  <si>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</si>
  <si>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</si>
  <si>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</si>
  <si>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</si>
  <si>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</si>
  <si>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</si>
  <si>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</si>
  <si>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</si>
  <si>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</si>
  <si>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</si>
  <si>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</si>
  <si>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</si>
  <si>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</si>
  <si>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</si>
  <si>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</si>
  <si>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</si>
  <si>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</si>
  <si>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</si>
  <si>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</si>
  <si>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</si>
  <si>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</si>
  <si>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</si>
  <si>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Collingwood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</si>
  <si>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</si>
  <si>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</si>
  <si>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</si>
  <si>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</si>
  <si>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</si>
  <si>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</si>
  <si>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</si>
  <si>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</si>
  <si>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</si>
  <si>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</si>
  <si>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</si>
  <si>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</si>
  <si>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</si>
  <si>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</si>
  <si>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</si>
  <si>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</si>
  <si>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</si>
  <si>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</si>
  <si>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</si>
  <si>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</si>
  <si>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</si>
  <si>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</si>
  <si>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</si>
  <si>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</si>
  <si>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</si>
  <si>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</si>
  <si>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</si>
  <si>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</si>
  <si>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</si>
  <si>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</si>
  <si>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</si>
  <si>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</si>
  <si>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</si>
  <si>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</si>
  <si>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</si>
  <si>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</si>
  <si>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</si>
  <si>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</si>
  <si>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</si>
  <si>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</si>
  <si>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</si>
  <si>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</si>
  <si>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</si>
  <si>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</si>
  <si>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</si>
  <si>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</si>
  <si>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</si>
  <si>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</si>
  <si>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</si>
  <si>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</si>
  <si>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</si>
  <si>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</si>
  <si>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</si>
  <si>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</si>
  <si>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</si>
  <si>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</si>
  <si>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</si>
  <si>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</si>
  <si>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</si>
  <si>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</si>
  <si>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</si>
  <si>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</si>
  <si>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</si>
  <si>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</si>
  <si>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</si>
  <si>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</si>
  <si>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</si>
  <si>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</si>
  <si>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</si>
  <si>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</si>
  <si>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</si>
  <si>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</si>
  <si>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</si>
  <si>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</si>
  <si>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</si>
  <si>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</si>
  <si>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</si>
  <si>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</si>
  <si>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</si>
  <si>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</si>
  <si>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</si>
  <si>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</si>
  <si>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</si>
  <si>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</si>
  <si>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</si>
  <si>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</si>
  <si>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</si>
  <si>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</si>
  <si>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</si>
  <si>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</si>
  <si>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</si>
  <si>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</si>
  <si>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</si>
  <si>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</si>
  <si>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</si>
  <si>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</si>
  <si>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</si>
  <si>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</si>
  <si>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</si>
  <si>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</si>
  <si>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</si>
  <si>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</si>
  <si>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</si>
  <si>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</si>
  <si>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</si>
  <si>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CW</t>
  </si>
  <si>
    <t>Rebuild C + transfers</t>
  </si>
  <si>
    <t>BK offload to WB</t>
  </si>
  <si>
    <t>F offload to CW</t>
  </si>
  <si>
    <t>3rd Tx at CW</t>
  </si>
  <si>
    <t>Brunswick modernisation</t>
  </si>
  <si>
    <t>Rebuild the C zone substation with transfers from CW and WB</t>
  </si>
  <si>
    <t>New third transformer at 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</si>
</sst>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0079C1"/>
      <color rgb="FFACD0E8"/>
      <color rgb="FF66FFFF"/>
      <color rgb="FF00215B"/>
      <color rgb="FF3333FF"/>
      <color rgb="FFFFFFCC"/>
      <color rgb="FFF2F2F2"/>
      <color rgb="FFFABFA8"/>
      <color rgb="FF882B3C"/>
      <color rgb="FFEE2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3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FY25</c:v>
                </c:pt>
                <c:pt idx="1">
                  <c:v>FY26</c:v>
                </c:pt>
                <c:pt idx="2">
                  <c:v>FY27</c:v>
                </c:pt>
                <c:pt idx="3">
                  <c:v>FY28</c:v>
                </c:pt>
                <c:pt idx="4">
                  <c:v>FY29</c:v>
                </c:pt>
                <c:pt idx="5">
                  <c:v>FY30</c:v>
                </c:pt>
                <c:pt idx="6">
                  <c:v>FY31</c:v>
                </c:pt>
                <c:pt idx="7">
                  <c:v>FY32</c:v>
                </c:pt>
                <c:pt idx="8">
                  <c:v>FY33</c:v>
                </c:pt>
                <c:pt idx="9">
                  <c:v>FY34</c:v>
                </c:pt>
                <c:pt idx="10">
                  <c:v>FY35</c:v>
                </c:pt>
                <c:pt idx="11">
                  <c:v>FY36</c:v>
                </c:pt>
                <c:pt idx="12">
                  <c:v>FY37</c:v>
                </c:pt>
                <c:pt idx="13">
                  <c:v>FY38</c:v>
                </c:pt>
                <c:pt idx="14">
                  <c:v>FY39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3.2463169708502879</c:v>
                </c:pt>
                <c:pt idx="1">
                  <c:v>3.2463169708502879</c:v>
                </c:pt>
                <c:pt idx="2">
                  <c:v>3.2463169708502879</c:v>
                </c:pt>
                <c:pt idx="3">
                  <c:v>3.2463169708502879</c:v>
                </c:pt>
                <c:pt idx="4">
                  <c:v>3.2463169708502879</c:v>
                </c:pt>
                <c:pt idx="5">
                  <c:v>3.2463169708502879</c:v>
                </c:pt>
                <c:pt idx="6">
                  <c:v>3.2463169708502879</c:v>
                </c:pt>
                <c:pt idx="7">
                  <c:v>3.2463169708502879</c:v>
                </c:pt>
                <c:pt idx="8">
                  <c:v>3.2463169708502879</c:v>
                </c:pt>
                <c:pt idx="9">
                  <c:v>3.2463169708502879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FY25</c:v>
                </c:pt>
                <c:pt idx="1">
                  <c:v>FY26</c:v>
                </c:pt>
                <c:pt idx="2">
                  <c:v>FY27</c:v>
                </c:pt>
                <c:pt idx="3">
                  <c:v>FY28</c:v>
                </c:pt>
                <c:pt idx="4">
                  <c:v>FY29</c:v>
                </c:pt>
                <c:pt idx="5">
                  <c:v>FY30</c:v>
                </c:pt>
                <c:pt idx="6">
                  <c:v>FY31</c:v>
                </c:pt>
                <c:pt idx="7">
                  <c:v>FY32</c:v>
                </c:pt>
                <c:pt idx="8">
                  <c:v>FY33</c:v>
                </c:pt>
                <c:pt idx="9">
                  <c:v>FY34</c:v>
                </c:pt>
                <c:pt idx="10">
                  <c:v>FY35</c:v>
                </c:pt>
                <c:pt idx="11">
                  <c:v>FY36</c:v>
                </c:pt>
                <c:pt idx="12">
                  <c:v>FY37</c:v>
                </c:pt>
                <c:pt idx="13">
                  <c:v>FY38</c:v>
                </c:pt>
                <c:pt idx="14">
                  <c:v>FY39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8.8024790001200309E-3</c:v>
                </c:pt>
                <c:pt idx="1">
                  <c:v>3.229605933005357E-2</c:v>
                </c:pt>
                <c:pt idx="2">
                  <c:v>0.1001761254564765</c:v>
                </c:pt>
                <c:pt idx="3">
                  <c:v>0.25925851866305283</c:v>
                </c:pt>
                <c:pt idx="4">
                  <c:v>0.56754897247125347</c:v>
                </c:pt>
                <c:pt idx="5">
                  <c:v>1.0806192556750425</c:v>
                </c:pt>
                <c:pt idx="6">
                  <c:v>1.8614847454955357</c:v>
                </c:pt>
                <c:pt idx="7">
                  <c:v>3.3387122722365032</c:v>
                </c:pt>
                <c:pt idx="8">
                  <c:v>6.9306636876876508</c:v>
                </c:pt>
                <c:pt idx="9">
                  <c:v>14.376250954293186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FY25</c:v>
                </c:pt>
                <c:pt idx="1">
                  <c:v>FY26</c:v>
                </c:pt>
                <c:pt idx="2">
                  <c:v>FY27</c:v>
                </c:pt>
                <c:pt idx="3">
                  <c:v>FY28</c:v>
                </c:pt>
                <c:pt idx="4">
                  <c:v>FY29</c:v>
                </c:pt>
                <c:pt idx="5">
                  <c:v>FY30</c:v>
                </c:pt>
                <c:pt idx="6">
                  <c:v>FY31</c:v>
                </c:pt>
                <c:pt idx="7">
                  <c:v>FY32</c:v>
                </c:pt>
                <c:pt idx="8">
                  <c:v>FY33</c:v>
                </c:pt>
                <c:pt idx="9">
                  <c:v>FY34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7.9094069318581522E-3</c:v>
                </c:pt>
                <c:pt idx="1">
                  <c:v>2.9019401867740286E-2</c:v>
                </c:pt>
                <c:pt idx="2">
                  <c:v>9.0012568173277407E-2</c:v>
                </c:pt>
                <c:pt idx="3">
                  <c:v>0.23295495787366993</c:v>
                </c:pt>
                <c:pt idx="4">
                  <c:v>0.50996722366186753</c:v>
                </c:pt>
                <c:pt idx="5">
                  <c:v>0.9709829959740921</c:v>
                </c:pt>
                <c:pt idx="6">
                  <c:v>1.6726243083760644</c:v>
                </c:pt>
                <c:pt idx="7">
                  <c:v>2.9999769370818368</c:v>
                </c:pt>
                <c:pt idx="8">
                  <c:v>6.2275001636501264</c:v>
                </c:pt>
                <c:pt idx="9">
                  <c:v>12.917681365723038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19050</xdr:rowOff>
    </xdr:from>
    <xdr:to>
      <xdr:col>10</xdr:col>
      <xdr:colOff>253625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6"/>
    </row>
    <row r="2" spans="1:19" ht="23.25" x14ac:dyDescent="0.35">
      <c r="A2" s="316"/>
      <c r="C2" s="317" t="s">
        <v>42</v>
      </c>
      <c r="D2" s="318"/>
      <c r="E2" s="318"/>
    </row>
    <row r="3" spans="1:19" ht="15.75" x14ac:dyDescent="0.25">
      <c r="A3" s="316"/>
      <c r="C3" s="319" t="s">
        <v>243</v>
      </c>
      <c r="D3" s="318"/>
      <c r="E3" s="318"/>
    </row>
    <row r="4" spans="1:19" x14ac:dyDescent="0.25">
      <c r="A4" s="316"/>
      <c r="D4" s="318"/>
      <c r="E4" s="318"/>
    </row>
    <row r="5" spans="1:19" x14ac:dyDescent="0.25">
      <c r="A5" s="316"/>
      <c r="C5" s="320" t="s">
        <v>251</v>
      </c>
    </row>
    <row r="6" spans="1:19" x14ac:dyDescent="0.25">
      <c r="A6" s="316"/>
      <c r="C6" s="321" t="s">
        <v>244</v>
      </c>
      <c r="D6" s="340">
        <v>3.05</v>
      </c>
      <c r="E6" s="321"/>
    </row>
    <row r="7" spans="1:19" x14ac:dyDescent="0.25">
      <c r="A7" s="316"/>
      <c r="F7" s="322"/>
      <c r="G7" s="322"/>
      <c r="H7" s="322"/>
      <c r="J7" s="322"/>
      <c r="K7" s="322"/>
      <c r="L7" s="322"/>
      <c r="M7" s="322"/>
      <c r="N7" s="322"/>
      <c r="O7" s="322"/>
      <c r="P7" s="322"/>
      <c r="Q7" s="322"/>
      <c r="R7" s="322"/>
      <c r="S7" s="322"/>
    </row>
    <row r="8" spans="1:19" x14ac:dyDescent="0.25">
      <c r="A8" s="316"/>
      <c r="C8" s="323">
        <v>45688</v>
      </c>
      <c r="F8" s="322"/>
      <c r="G8" s="322"/>
      <c r="H8" s="322"/>
      <c r="J8" s="322"/>
      <c r="K8" s="322"/>
      <c r="L8" s="322"/>
      <c r="M8" s="322"/>
      <c r="N8" s="322"/>
      <c r="O8" s="322"/>
      <c r="P8" s="322"/>
      <c r="Q8" s="322"/>
      <c r="R8" s="322"/>
      <c r="S8" s="322"/>
    </row>
    <row r="9" spans="1:19" x14ac:dyDescent="0.25">
      <c r="A9" s="316"/>
      <c r="C9" s="324"/>
      <c r="D9" s="324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</row>
    <row r="10" spans="1:19" x14ac:dyDescent="0.25">
      <c r="A10" s="316"/>
      <c r="C10" s="324"/>
      <c r="D10" s="32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19" x14ac:dyDescent="0.25">
      <c r="A11" s="316"/>
      <c r="C11" s="324"/>
      <c r="D11" s="324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</row>
    <row r="12" spans="1:19" x14ac:dyDescent="0.25">
      <c r="A12" s="316"/>
      <c r="C12" s="324"/>
      <c r="D12" s="324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x14ac:dyDescent="0.25">
      <c r="A13" s="316"/>
      <c r="C13" s="324"/>
      <c r="D13" s="324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x14ac:dyDescent="0.25">
      <c r="A14" s="316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</row>
    <row r="15" spans="1:19" x14ac:dyDescent="0.25">
      <c r="A15" s="316"/>
      <c r="C15" s="320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</row>
    <row r="16" spans="1:19" x14ac:dyDescent="0.25">
      <c r="A16" s="316"/>
      <c r="C16" s="320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</row>
    <row r="17" spans="1:19" x14ac:dyDescent="0.25">
      <c r="A17" s="316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5">
      <c r="A18" s="316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</row>
    <row r="19" spans="1:19" x14ac:dyDescent="0.25">
      <c r="A19" s="316"/>
      <c r="C19" s="322"/>
      <c r="D19" s="322"/>
      <c r="E19" s="322"/>
      <c r="F19" s="322"/>
      <c r="G19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</row>
    <row r="20" spans="1:19" x14ac:dyDescent="0.25">
      <c r="A20" s="316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5">
      <c r="A21" s="316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</row>
    <row r="22" spans="1:19" x14ac:dyDescent="0.25">
      <c r="A22" s="316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</row>
    <row r="23" spans="1:19" x14ac:dyDescent="0.25">
      <c r="A23" s="316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x14ac:dyDescent="0.25">
      <c r="A24" s="316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</row>
    <row r="25" spans="1:19" x14ac:dyDescent="0.25">
      <c r="A25" s="316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</row>
    <row r="26" spans="1:19" x14ac:dyDescent="0.25">
      <c r="A26" s="316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</row>
    <row r="27" spans="1:19" x14ac:dyDescent="0.25">
      <c r="A27" s="316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5">
      <c r="A28" s="31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</row>
    <row r="29" spans="1:19" x14ac:dyDescent="0.25">
      <c r="A29" s="316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</row>
    <row r="30" spans="1:19" x14ac:dyDescent="0.25">
      <c r="A30" s="316"/>
      <c r="C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</row>
    <row r="31" spans="1:19" x14ac:dyDescent="0.25">
      <c r="A31" s="316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</row>
    <row r="32" spans="1:19" x14ac:dyDescent="0.25">
      <c r="A32" s="316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</row>
    <row r="33" spans="1:19" x14ac:dyDescent="0.25">
      <c r="A33" s="316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x14ac:dyDescent="0.25">
      <c r="A34" s="316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x14ac:dyDescent="0.25">
      <c r="A35" s="31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</row>
    <row r="36" spans="1:19" x14ac:dyDescent="0.25">
      <c r="A36" s="316"/>
    </row>
    <row r="37" spans="1:19" x14ac:dyDescent="0.25">
      <c r="A37" s="316"/>
    </row>
    <row r="38" spans="1:19" x14ac:dyDescent="0.25">
      <c r="A38" s="316"/>
    </row>
    <row r="39" spans="1:19" x14ac:dyDescent="0.25">
      <c r="A39" s="316"/>
    </row>
    <row r="40" spans="1:19" x14ac:dyDescent="0.25">
      <c r="A40" s="316">
        <f ca="1">_xlfn.SHEETS()</f>
        <v>12</v>
      </c>
    </row>
    <row r="41" spans="1:19" x14ac:dyDescent="0.25">
      <c r="A41" s="31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Brunswick modernisation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190</v>
      </c>
      <c r="H7" s="155" t="s">
        <v>191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2" t="str">
        <f>INDEX(Assumptions!$E$14:$E$18, MATCH(C10, Assumptions!$C$14:$C$18,0))</f>
        <v>Rebuild the C zone substation with transfers from CW and WB</v>
      </c>
      <c r="E10" s="333"/>
      <c r="F10" s="333"/>
      <c r="G10" s="103">
        <f>IF(Data!$C10, "", INDEX(Consol!$F$15:$F$82, MATCH($C10&amp;G$7, Consol!$D$15:$D$82,0))/mill_conv)</f>
        <v>-52.237542503908088</v>
      </c>
      <c r="H10" s="103">
        <f>IF(Data!$C10, "", INDEX(Consol!$F$15:$F$82, MATCH($C10&amp;H$7, Consol!$D$15:$D$82,0))/mill_conv)</f>
        <v>106.75675487566001</v>
      </c>
      <c r="I10" s="103">
        <f>IF(Data!$C10, "", INDEX(Consol!$F$15:$F$82, MATCH($C10&amp;I$7, Consol!$D$15:$D$82,0))/mill_conv)</f>
        <v>54.519212371751927</v>
      </c>
    </row>
    <row r="11" spans="1:13" s="7" customFormat="1" ht="12.75" x14ac:dyDescent="0.2">
      <c r="C11" s="91" t="str">
        <v>Option 3</v>
      </c>
      <c r="D11" s="332" t="str">
        <f>INDEX(Assumptions!$E$14:$E$18, MATCH(C11, Assumptions!$C$14:$C$18,0))</f>
        <v>New third transformer at CW</v>
      </c>
      <c r="E11" s="333"/>
      <c r="F11" s="333"/>
      <c r="G11" s="103">
        <f>IF(Data!$C11, "", INDEX(Consol!$F$15:$F$82, MATCH($C11&amp;G$7, Consol!$D$15:$D$82,0))/mill_conv)</f>
        <v>-36.195105083041831</v>
      </c>
      <c r="H11" s="103">
        <f>IF(Data!$C11, "", INDEX(Consol!$F$15:$F$82, MATCH($C11&amp;H$7, Consol!$D$15:$D$82,0))/mill_conv)</f>
        <v>106.54738373679066</v>
      </c>
      <c r="I11" s="103">
        <f>IF(Data!$C11, "", INDEX(Consol!$F$15:$F$82, MATCH($C11&amp;I$7, Consol!$D$15:$D$82,0))/mill_conv)</f>
        <v>70.352278653748826</v>
      </c>
    </row>
    <row r="12" spans="1:13" s="7" customFormat="1" ht="12.75" x14ac:dyDescent="0.2">
      <c r="C12" s="91" t="str">
        <v>Option 4</v>
      </c>
      <c r="D12" s="332">
        <f>INDEX(Assumptions!$E$14:$E$18, MATCH(C12, Assumptions!$C$14:$C$18,0))</f>
        <v>0</v>
      </c>
      <c r="E12" s="333"/>
      <c r="F12" s="333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2">
        <f>INDEX(Assumptions!$E$14:$E$18, MATCH(C13, Assumptions!$C$14:$C$18,0))</f>
        <v>0</v>
      </c>
      <c r="E13" s="333"/>
      <c r="F13" s="333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29" t="str">
        <f>INDEX($D$9:$D$13,MATCH(G18, $I$9:$I$13,0))</f>
        <v>New third transformer at CW</v>
      </c>
      <c r="E18" s="329"/>
      <c r="F18" s="329"/>
      <c r="G18" s="104">
        <f>_xlfn.MAXIFS(I9:I13, IF(compliance, Data!$F$9:$F$13, Data!$C$9:$C$13),FALSE)</f>
        <v>70.352278653748826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3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-INDEX(Consol!$I$15:$O$82,MATCH($C$26&amp;$C30,Consol!$D$15:$D$82,0), MATCH(F$29, Consol!$I$9:$O$9,0))/mill_conv</f>
        <v>26.876840410960813</v>
      </c>
      <c r="G30" s="105">
        <f>-INDEX(Consol!$I$15:$O$82,MATCH($C$26&amp;$C30,Consol!$D$15:$D$82,0), MATCH(G$29, Consol!$I$9:$O$9,0))/mill_conv</f>
        <v>19.474858399644027</v>
      </c>
      <c r="H30" s="105">
        <f>-INDEX(Consol!$I$15:$O$82,MATCH($C$26&amp;$C30,Consol!$D$15:$D$82,0), MATCH(H$29, Consol!$I$9:$O$9,0))/mill_conv</f>
        <v>0</v>
      </c>
      <c r="I30" s="105">
        <f>-INDEX(Consol!$I$15:$O$82,MATCH($C$26&amp;$C30,Consol!$D$15:$D$82,0), MATCH(I$29, Consol!$I$9:$O$9,0))/mill_conv</f>
        <v>6.0765030494346188</v>
      </c>
      <c r="J30" s="105">
        <f>-INDEX(Consol!$I$15:$O$82,MATCH($C$26&amp;$C30,Consol!$D$15:$D$82,0), MATCH(J$29, Consol!$I$9:$O$9,0))/mill_conv</f>
        <v>6.0765030494346188</v>
      </c>
      <c r="K30" s="190"/>
      <c r="L30" s="190">
        <f>SUM(F30:J30)</f>
        <v>58.504704909474086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-INDEX(Consol!$I$15:$O$82,MATCH($C$26&amp;$C31,Consol!$D$15:$D$82,0), MATCH(F$29, Consol!$I$9:$O$9,0))/mill_conv</f>
        <v>0</v>
      </c>
      <c r="G31" s="105">
        <f>-INDEX(Consol!$I$15:$O$82,MATCH($C$26&amp;$C31,Consol!$D$15:$D$82,0), MATCH(G$29, Consol!$I$9:$O$9,0))/mill_conv</f>
        <v>0</v>
      </c>
      <c r="H31" s="105">
        <f>-INDEX(Consol!$I$15:$O$82,MATCH($C$26&amp;$C31,Consol!$D$15:$D$82,0), MATCH(H$29, Consol!$I$9:$O$9,0))/mill_conv</f>
        <v>0</v>
      </c>
      <c r="I31" s="105">
        <f>-INDEX(Consol!$I$15:$O$82,MATCH($C$26&amp;$C31,Consol!$D$15:$D$82,0), MATCH(I$29, Consol!$I$9:$O$9,0))/mill_conv</f>
        <v>0</v>
      </c>
      <c r="J31" s="105">
        <f>-INDEX(Consol!$I$15:$O$82,MATCH($C$26&amp;$C31,Consol!$D$15:$D$82,0), MATCH(J$29, Consol!$I$9:$O$9,0))/mill_conv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8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221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219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54.519212371751927</v>
      </c>
      <c r="H67" s="291">
        <f>Sensitivity_calcs!E90</f>
        <v>70.352278653748826</v>
      </c>
      <c r="I67" s="291" t="str">
        <f>Sensitivity_calcs!F90</f>
        <v/>
      </c>
      <c r="J67" s="291" t="str">
        <f>Sensitivity_calcs!G90</f>
        <v/>
      </c>
      <c r="K67" s="261"/>
      <c r="L67" s="293" t="str">
        <f>Sensitivity_calcs!K90</f>
        <v>Option 3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49.295458121361108</v>
      </c>
      <c r="H68" s="278">
        <f>Sensitivity_calcs!E91</f>
        <v>66.732768145444652</v>
      </c>
      <c r="I68" s="278" t="str">
        <f>Sensitivity_calcs!F91</f>
        <v/>
      </c>
      <c r="J68" s="278" t="str">
        <f>Sensitivity_calcs!G91</f>
        <v/>
      </c>
      <c r="K68" s="261"/>
      <c r="L68" s="286" t="str">
        <f>Sensitivity_calcs!K91</f>
        <v>Option 3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59.742966622142745</v>
      </c>
      <c r="H69" s="279">
        <f>Sensitivity_calcs!E92</f>
        <v>73.971789162053028</v>
      </c>
      <c r="I69" s="279" t="str">
        <f>Sensitivity_calcs!F92</f>
        <v/>
      </c>
      <c r="J69" s="279" t="str">
        <f>Sensitivity_calcs!G92</f>
        <v/>
      </c>
      <c r="K69" s="261"/>
      <c r="L69" s="286" t="str">
        <f>Sensitivity_calcs!K92</f>
        <v>Option 3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65.19488785931793</v>
      </c>
      <c r="H70" s="279">
        <f>Sensitivity_calcs!E93</f>
        <v>81.007017027427906</v>
      </c>
      <c r="I70" s="279" t="str">
        <f>Sensitivity_calcs!F93</f>
        <v/>
      </c>
      <c r="J70" s="279" t="str">
        <f>Sensitivity_calcs!G93</f>
        <v/>
      </c>
      <c r="K70" s="261"/>
      <c r="L70" s="286" t="str">
        <f>Sensitivity_calcs!K93</f>
        <v>Option 3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43.843536884185916</v>
      </c>
      <c r="H71" s="279">
        <f>Sensitivity_calcs!E94</f>
        <v>59.697540280069767</v>
      </c>
      <c r="I71" s="279" t="str">
        <f>Sensitivity_calcs!F94</f>
        <v/>
      </c>
      <c r="J71" s="279" t="str">
        <f>Sensitivity_calcs!G94</f>
        <v/>
      </c>
      <c r="K71" s="261"/>
      <c r="L71" s="286" t="str">
        <f>Sensitivity_calcs!K94</f>
        <v>Option 3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38.619782633795111</v>
      </c>
      <c r="H72" s="279">
        <f>Sensitivity_calcs!E95</f>
        <v>56.078029771765564</v>
      </c>
      <c r="I72" s="279" t="str">
        <f>Sensitivity_calcs!F95</f>
        <v/>
      </c>
      <c r="J72" s="279" t="str">
        <f>Sensitivity_calcs!G95</f>
        <v/>
      </c>
      <c r="K72" s="261"/>
      <c r="L72" s="286" t="str">
        <f>Sensitivity_calcs!K95</f>
        <v>Option 3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>
      <c r="I79" s="268"/>
    </row>
    <row r="80" spans="3:13" s="8" customFormat="1" ht="12.75" x14ac:dyDescent="0.2">
      <c r="I80" s="268"/>
    </row>
    <row r="81" spans="4:9" s="8" customFormat="1" ht="12.75" x14ac:dyDescent="0.2">
      <c r="D81" s="249"/>
      <c r="E81" s="249"/>
      <c r="F81" s="249"/>
      <c r="I81" s="268"/>
    </row>
    <row r="82" spans="4:9" s="8" customFormat="1" ht="12.75" x14ac:dyDescent="0.2">
      <c r="D82" s="249"/>
      <c r="E82" s="249"/>
      <c r="F82" s="249"/>
      <c r="I82" s="268"/>
    </row>
    <row r="83" spans="4:9" s="8" customFormat="1" ht="12.75" hidden="1" x14ac:dyDescent="0.2">
      <c r="D83" s="249"/>
      <c r="E83" s="249"/>
      <c r="F83" s="249"/>
      <c r="I83" s="268"/>
    </row>
    <row r="84" spans="4:9" s="8" customFormat="1" ht="12.75" hidden="1" x14ac:dyDescent="0.2">
      <c r="I84" s="268"/>
    </row>
    <row r="85" spans="4:9" s="8" customFormat="1" ht="12.75" hidden="1" x14ac:dyDescent="0.2">
      <c r="I85" s="268"/>
    </row>
    <row r="86" spans="4:9" s="8" customFormat="1" ht="12.75" hidden="1" x14ac:dyDescent="0.2">
      <c r="I86" s="268"/>
    </row>
    <row r="87" spans="4:9" s="8" customFormat="1" ht="12.75" hidden="1" x14ac:dyDescent="0.2">
      <c r="I87" s="268"/>
    </row>
    <row r="88" spans="4:9" s="8" customFormat="1" ht="12.75" hidden="1" x14ac:dyDescent="0.2">
      <c r="I88" s="268"/>
    </row>
    <row r="89" spans="4:9" s="8" customFormat="1" ht="12.75" hidden="1" x14ac:dyDescent="0.2">
      <c r="I89" s="268"/>
    </row>
    <row r="90" spans="4:9" s="8" customFormat="1" ht="12.75" hidden="1" x14ac:dyDescent="0.2">
      <c r="I90" s="268"/>
    </row>
    <row r="91" spans="4:9" s="8" customFormat="1" ht="12.75" hidden="1" x14ac:dyDescent="0.2">
      <c r="I91" s="268"/>
    </row>
    <row r="92" spans="4:9" s="8" customFormat="1" ht="12.75" hidden="1" x14ac:dyDescent="0.2">
      <c r="I92" s="268"/>
    </row>
    <row r="93" spans="4:9" s="8" customFormat="1" ht="12.75" hidden="1" x14ac:dyDescent="0.2">
      <c r="I93" s="268"/>
    </row>
    <row r="94" spans="4:9" s="8" customFormat="1" ht="12.75" hidden="1" x14ac:dyDescent="0.2">
      <c r="I94" s="268"/>
    </row>
    <row r="95" spans="4:9" s="8" customFormat="1" ht="12.75" hidden="1" x14ac:dyDescent="0.2">
      <c r="I95" s="268"/>
    </row>
    <row r="96" spans="4:9" s="8" customFormat="1" ht="12.75" hidden="1" x14ac:dyDescent="0.2">
      <c r="I96" s="268"/>
    </row>
    <row r="97" spans="9:9" s="8" customFormat="1" ht="12.75" hidden="1" x14ac:dyDescent="0.2">
      <c r="I97" s="268"/>
    </row>
    <row r="98" spans="9:9" s="8" customFormat="1" ht="12.75" hidden="1" x14ac:dyDescent="0.2">
      <c r="I98" s="268"/>
    </row>
    <row r="99" spans="9:9" s="8" customFormat="1" ht="12.75" hidden="1" x14ac:dyDescent="0.2">
      <c r="I99" s="268"/>
    </row>
    <row r="100" spans="9:9" s="8" customFormat="1" ht="12.75" hidden="1" x14ac:dyDescent="0.2">
      <c r="I100" s="268"/>
    </row>
    <row r="101" spans="9:9" s="8" customFormat="1" ht="12.75" hidden="1" x14ac:dyDescent="0.2">
      <c r="I101" s="268"/>
    </row>
    <row r="102" spans="9:9" s="8" customFormat="1" ht="12.75" hidden="1" x14ac:dyDescent="0.2">
      <c r="I102" s="268"/>
    </row>
    <row r="103" spans="9:9" s="8" customFormat="1" ht="12.75" hidden="1" x14ac:dyDescent="0.2">
      <c r="I103" s="268"/>
    </row>
    <row r="104" spans="9:9" s="8" customFormat="1" ht="12.75" hidden="1" x14ac:dyDescent="0.2">
      <c r="I104" s="268"/>
    </row>
    <row r="105" spans="9:9" s="8" customFormat="1" ht="12.75" hidden="1" x14ac:dyDescent="0.2">
      <c r="I105" s="268"/>
    </row>
    <row r="106" spans="9:9" s="8" customFormat="1" ht="12.75" hidden="1" x14ac:dyDescent="0.2">
      <c r="I106" s="268"/>
    </row>
    <row r="107" spans="9:9" s="8" customFormat="1" ht="12.75" hidden="1" x14ac:dyDescent="0.2">
      <c r="I107" s="268"/>
    </row>
    <row r="108" spans="9:9" s="8" customFormat="1" ht="12.75" hidden="1" x14ac:dyDescent="0.2">
      <c r="I108" s="268"/>
    </row>
    <row r="109" spans="9:9" s="8" customFormat="1" ht="12.75" hidden="1" x14ac:dyDescent="0.2">
      <c r="I109" s="268"/>
    </row>
    <row r="110" spans="9:9" s="8" customFormat="1" ht="12.75" hidden="1" x14ac:dyDescent="0.2">
      <c r="I110" s="268"/>
    </row>
    <row r="111" spans="9:9" s="8" customFormat="1" ht="12.75" hidden="1" x14ac:dyDescent="0.2">
      <c r="I111" s="268"/>
    </row>
    <row r="112" spans="9:9" s="8" customFormat="1" ht="12.75" hidden="1" x14ac:dyDescent="0.2">
      <c r="I112" s="268"/>
    </row>
    <row r="113" spans="9:9" s="8" customFormat="1" ht="12.75" hidden="1" x14ac:dyDescent="0.2">
      <c r="I113" s="268"/>
    </row>
    <row r="114" spans="9:9" s="8" customFormat="1" ht="12.75" hidden="1" x14ac:dyDescent="0.2">
      <c r="I114" s="268"/>
    </row>
    <row r="115" spans="9:9" s="8" customFormat="1" ht="12.75" hidden="1" x14ac:dyDescent="0.2">
      <c r="I115" s="268"/>
    </row>
    <row r="116" spans="9:9" s="8" customFormat="1" ht="12.75" hidden="1" x14ac:dyDescent="0.2">
      <c r="I116" s="268"/>
    </row>
    <row r="117" spans="9:9" s="8" customFormat="1" ht="12.75" hidden="1" x14ac:dyDescent="0.2">
      <c r="I117" s="268"/>
    </row>
    <row r="118" spans="9:9" s="8" customFormat="1" ht="12.75" hidden="1" x14ac:dyDescent="0.2">
      <c r="I118" s="268"/>
    </row>
    <row r="119" spans="9:9" s="8" customFormat="1" ht="12.75" hidden="1" x14ac:dyDescent="0.2">
      <c r="I119" s="268"/>
    </row>
    <row r="120" spans="9:9" s="8" customFormat="1" ht="12.75" hidden="1" x14ac:dyDescent="0.2">
      <c r="I120" s="268"/>
    </row>
    <row r="121" spans="9:9" s="8" customFormat="1" ht="12.75" hidden="1" x14ac:dyDescent="0.2">
      <c r="I121" s="268"/>
    </row>
    <row r="122" spans="9:9" s="8" customFormat="1" ht="12.75" hidden="1" x14ac:dyDescent="0.2">
      <c r="I122" s="268"/>
    </row>
    <row r="123" spans="9:9" s="8" customFormat="1" ht="12.75" hidden="1" x14ac:dyDescent="0.2">
      <c r="I123" s="268"/>
    </row>
    <row r="124" spans="9:9" s="8" customFormat="1" ht="12.75" hidden="1" x14ac:dyDescent="0.2">
      <c r="I124" s="268"/>
    </row>
    <row r="125" spans="9:9" s="8" customFormat="1" ht="12.75" hidden="1" x14ac:dyDescent="0.2">
      <c r="I125" s="268"/>
    </row>
    <row r="126" spans="9:9" s="8" customFormat="1" ht="12.75" hidden="1" x14ac:dyDescent="0.2">
      <c r="I126" s="268"/>
    </row>
    <row r="127" spans="9:9" s="8" customFormat="1" ht="12.75" hidden="1" x14ac:dyDescent="0.2">
      <c r="I127" s="268"/>
    </row>
    <row r="128" spans="9:9" s="8" customFormat="1" ht="12.75" hidden="1" x14ac:dyDescent="0.2">
      <c r="I128" s="268"/>
    </row>
    <row r="129" spans="9:9" s="8" customFormat="1" ht="12.75" hidden="1" x14ac:dyDescent="0.2">
      <c r="I129" s="268"/>
    </row>
    <row r="130" spans="9:9" s="8" customFormat="1" ht="12.75" hidden="1" x14ac:dyDescent="0.2">
      <c r="I130" s="268"/>
    </row>
    <row r="131" spans="9:9" s="8" customFormat="1" ht="12.75" hidden="1" x14ac:dyDescent="0.2">
      <c r="I131" s="268"/>
    </row>
    <row r="132" spans="9:9" s="8" customFormat="1" ht="12.75" hidden="1" x14ac:dyDescent="0.2">
      <c r="I132" s="268"/>
    </row>
    <row r="133" spans="9:9" s="8" customFormat="1" ht="12.75" hidden="1" x14ac:dyDescent="0.2">
      <c r="I133" s="268"/>
    </row>
    <row r="134" spans="9:9" s="8" customFormat="1" ht="12.75" hidden="1" x14ac:dyDescent="0.2">
      <c r="I134" s="268"/>
    </row>
    <row r="135" spans="9:9" s="8" customFormat="1" ht="12.75" hidden="1" x14ac:dyDescent="0.2">
      <c r="I135" s="268"/>
    </row>
    <row r="136" spans="9:9" s="8" customFormat="1" ht="12.75" hidden="1" x14ac:dyDescent="0.2">
      <c r="I136" s="268"/>
    </row>
    <row r="137" spans="9:9" s="8" customFormat="1" ht="12.75" hidden="1" x14ac:dyDescent="0.2">
      <c r="I137" s="268"/>
    </row>
    <row r="138" spans="9:9" s="8" customFormat="1" ht="12.75" hidden="1" x14ac:dyDescent="0.2">
      <c r="I138" s="268"/>
    </row>
    <row r="139" spans="9:9" s="8" customFormat="1" ht="12.75" hidden="1" x14ac:dyDescent="0.2">
      <c r="I139" s="268"/>
    </row>
    <row r="140" spans="9:9" s="8" customFormat="1" ht="12.75" hidden="1" x14ac:dyDescent="0.2">
      <c r="I140" s="268"/>
    </row>
    <row r="141" spans="9:9" s="8" customFormat="1" ht="12.75" hidden="1" x14ac:dyDescent="0.2">
      <c r="I141" s="268"/>
    </row>
    <row r="142" spans="9:9" s="8" customFormat="1" ht="12.75" hidden="1" x14ac:dyDescent="0.2">
      <c r="I142" s="268"/>
    </row>
    <row r="143" spans="9:9" s="8" customFormat="1" ht="12.75" hidden="1" x14ac:dyDescent="0.2">
      <c r="I143" s="268"/>
    </row>
    <row r="144" spans="9:9" s="8" customFormat="1" ht="12.75" hidden="1" x14ac:dyDescent="0.2">
      <c r="I144" s="268"/>
    </row>
    <row r="145" spans="9:9" s="8" customFormat="1" ht="12.75" hidden="1" x14ac:dyDescent="0.2">
      <c r="I145" s="268"/>
    </row>
    <row r="146" spans="9:9" s="8" customFormat="1" ht="12.75" hidden="1" x14ac:dyDescent="0.2">
      <c r="I146" s="268"/>
    </row>
    <row r="147" spans="9:9" s="8" customFormat="1" ht="12.75" hidden="1" x14ac:dyDescent="0.2">
      <c r="I147" s="268"/>
    </row>
    <row r="148" spans="9:9" s="8" customFormat="1" ht="12.75" hidden="1" x14ac:dyDescent="0.2">
      <c r="I148" s="268"/>
    </row>
    <row r="149" spans="9:9" s="8" customFormat="1" ht="12.75" hidden="1" x14ac:dyDescent="0.2">
      <c r="I149" s="268"/>
    </row>
    <row r="150" spans="9:9" s="8" customFormat="1" ht="12.75" hidden="1" x14ac:dyDescent="0.2">
      <c r="I150" s="268"/>
    </row>
    <row r="151" spans="9:9" s="8" customFormat="1" ht="12.75" hidden="1" x14ac:dyDescent="0.2">
      <c r="I151" s="268"/>
    </row>
    <row r="152" spans="9:9" s="8" customFormat="1" ht="12.75" hidden="1" x14ac:dyDescent="0.2">
      <c r="I152" s="268"/>
    </row>
    <row r="153" spans="9:9" s="8" customFormat="1" ht="12.75" hidden="1" x14ac:dyDescent="0.2">
      <c r="I153" s="268"/>
    </row>
    <row r="154" spans="9:9" s="8" customFormat="1" ht="12.75" hidden="1" x14ac:dyDescent="0.2">
      <c r="I154" s="268"/>
    </row>
    <row r="155" spans="9:9" s="8" customFormat="1" ht="12.75" hidden="1" x14ac:dyDescent="0.2">
      <c r="I155" s="268"/>
    </row>
    <row r="156" spans="9:9" s="8" customFormat="1" ht="12.75" hidden="1" x14ac:dyDescent="0.2">
      <c r="I156" s="268"/>
    </row>
    <row r="157" spans="9:9" s="8" customFormat="1" ht="12.75" hidden="1" x14ac:dyDescent="0.2">
      <c r="I157" s="268"/>
    </row>
    <row r="158" spans="9:9" s="8" customFormat="1" ht="12.75" hidden="1" x14ac:dyDescent="0.2">
      <c r="I158" s="268"/>
    </row>
    <row r="159" spans="9:9" s="8" customFormat="1" ht="12.75" hidden="1" x14ac:dyDescent="0.2">
      <c r="I159" s="268"/>
    </row>
    <row r="160" spans="9:9" s="8" customFormat="1" ht="12.75" hidden="1" x14ac:dyDescent="0.2">
      <c r="I160" s="268"/>
    </row>
    <row r="161" spans="9:9" s="8" customFormat="1" ht="12.75" hidden="1" x14ac:dyDescent="0.2">
      <c r="I161" s="268"/>
    </row>
    <row r="162" spans="9:9" s="8" customFormat="1" ht="12.75" hidden="1" x14ac:dyDescent="0.2">
      <c r="I162" s="268"/>
    </row>
    <row r="163" spans="9:9" s="8" customFormat="1" ht="12.75" hidden="1" x14ac:dyDescent="0.2">
      <c r="I163" s="268"/>
    </row>
    <row r="164" spans="9:9" s="8" customFormat="1" ht="12.75" hidden="1" x14ac:dyDescent="0.2">
      <c r="I164" s="268"/>
    </row>
    <row r="165" spans="9:9" s="8" customFormat="1" ht="12.75" hidden="1" x14ac:dyDescent="0.2">
      <c r="I165" s="268"/>
    </row>
    <row r="166" spans="9:9" s="8" customFormat="1" ht="12.75" hidden="1" x14ac:dyDescent="0.2">
      <c r="I166" s="268"/>
    </row>
    <row r="167" spans="9:9" s="8" customFormat="1" ht="12.75" hidden="1" x14ac:dyDescent="0.2">
      <c r="I167" s="268"/>
    </row>
    <row r="168" spans="9:9" s="8" customFormat="1" ht="12.75" hidden="1" x14ac:dyDescent="0.2">
      <c r="I168" s="268"/>
    </row>
    <row r="169" spans="9:9" s="8" customFormat="1" ht="12.75" hidden="1" x14ac:dyDescent="0.2">
      <c r="I169" s="268"/>
    </row>
    <row r="170" spans="9:9" s="8" customFormat="1" ht="12.75" hidden="1" x14ac:dyDescent="0.2">
      <c r="I170" s="268"/>
    </row>
    <row r="171" spans="9:9" s="8" customFormat="1" ht="12.75" hidden="1" x14ac:dyDescent="0.2">
      <c r="I171" s="268"/>
    </row>
    <row r="172" spans="9:9" s="8" customFormat="1" ht="12.75" hidden="1" x14ac:dyDescent="0.2">
      <c r="I172" s="268"/>
    </row>
    <row r="173" spans="9:9" s="8" customFormat="1" ht="12.75" hidden="1" x14ac:dyDescent="0.2">
      <c r="I173" s="268"/>
    </row>
    <row r="174" spans="9:9" s="8" customFormat="1" ht="12.75" hidden="1" x14ac:dyDescent="0.2">
      <c r="I174" s="268"/>
    </row>
    <row r="175" spans="9:9" s="8" customFormat="1" ht="12.75" hidden="1" x14ac:dyDescent="0.2">
      <c r="I175" s="268"/>
    </row>
    <row r="176" spans="9:9" s="8" customFormat="1" ht="12.75" hidden="1" x14ac:dyDescent="0.2">
      <c r="I176" s="268"/>
    </row>
    <row r="177" spans="9:9" s="8" customFormat="1" ht="12.75" hidden="1" x14ac:dyDescent="0.2">
      <c r="I177" s="268"/>
    </row>
    <row r="178" spans="9:9" s="8" customFormat="1" ht="12.75" hidden="1" x14ac:dyDescent="0.2">
      <c r="I178" s="268"/>
    </row>
    <row r="179" spans="9:9" s="8" customFormat="1" ht="12.75" hidden="1" x14ac:dyDescent="0.2">
      <c r="I179" s="268"/>
    </row>
    <row r="180" spans="9:9" s="8" customFormat="1" ht="12.75" hidden="1" x14ac:dyDescent="0.2">
      <c r="I180" s="268"/>
    </row>
    <row r="181" spans="9:9" s="8" customFormat="1" ht="12.75" hidden="1" x14ac:dyDescent="0.2">
      <c r="I181" s="268"/>
    </row>
    <row r="182" spans="9:9" s="8" customFormat="1" ht="12.75" hidden="1" x14ac:dyDescent="0.2">
      <c r="I182" s="268"/>
    </row>
    <row r="183" spans="9:9" s="8" customFormat="1" ht="12.75" hidden="1" x14ac:dyDescent="0.2">
      <c r="I183" s="268"/>
    </row>
    <row r="184" spans="9:9" s="8" customFormat="1" ht="12.75" hidden="1" x14ac:dyDescent="0.2">
      <c r="I184" s="268"/>
    </row>
    <row r="185" spans="9:9" s="8" customFormat="1" ht="12.75" hidden="1" x14ac:dyDescent="0.2">
      <c r="I185" s="268"/>
    </row>
    <row r="186" spans="9:9" s="8" customFormat="1" ht="12.75" hidden="1" x14ac:dyDescent="0.2">
      <c r="I186" s="268"/>
    </row>
    <row r="187" spans="9:9" s="8" customFormat="1" ht="12.75" hidden="1" x14ac:dyDescent="0.2">
      <c r="I187" s="268"/>
    </row>
    <row r="188" spans="9:9" s="8" customFormat="1" ht="12.75" hidden="1" x14ac:dyDescent="0.2">
      <c r="I188" s="268"/>
    </row>
    <row r="189" spans="9:9" s="8" customFormat="1" ht="12.75" hidden="1" x14ac:dyDescent="0.2">
      <c r="I189" s="268"/>
    </row>
    <row r="190" spans="9:9" s="8" customFormat="1" ht="12.75" hidden="1" x14ac:dyDescent="0.2">
      <c r="I190" s="268"/>
    </row>
    <row r="191" spans="9:9" s="8" customFormat="1" ht="12.75" hidden="1" x14ac:dyDescent="0.2">
      <c r="I191" s="268"/>
    </row>
    <row r="192" spans="9:9" s="8" customFormat="1" ht="12.75" hidden="1" x14ac:dyDescent="0.2">
      <c r="I192" s="268"/>
    </row>
    <row r="193" spans="9:9" s="8" customFormat="1" ht="12.75" hidden="1" x14ac:dyDescent="0.2">
      <c r="I193" s="268"/>
    </row>
    <row r="194" spans="9:9" s="8" customFormat="1" ht="12.75" hidden="1" x14ac:dyDescent="0.2">
      <c r="I194" s="268"/>
    </row>
    <row r="195" spans="9:9" s="8" customFormat="1" ht="12.75" hidden="1" x14ac:dyDescent="0.2">
      <c r="I195" s="268"/>
    </row>
    <row r="196" spans="9:9" s="8" customFormat="1" ht="12.75" hidden="1" x14ac:dyDescent="0.2">
      <c r="I196" s="268"/>
    </row>
    <row r="197" spans="9:9" s="8" customFormat="1" ht="12.75" hidden="1" x14ac:dyDescent="0.2">
      <c r="I197" s="268"/>
    </row>
    <row r="198" spans="9:9" s="8" customFormat="1" ht="12.75" hidden="1" x14ac:dyDescent="0.2">
      <c r="I198" s="268"/>
    </row>
    <row r="199" spans="9:9" s="8" customFormat="1" ht="12.75" hidden="1" x14ac:dyDescent="0.2">
      <c r="I199" s="268"/>
    </row>
    <row r="200" spans="9:9" s="8" customFormat="1" ht="12.75" hidden="1" x14ac:dyDescent="0.2">
      <c r="I200" s="268"/>
    </row>
    <row r="201" spans="9:9" s="8" customFormat="1" ht="12.75" hidden="1" x14ac:dyDescent="0.2">
      <c r="I201" s="268"/>
    </row>
    <row r="202" spans="9:9" s="8" customFormat="1" ht="12.75" hidden="1" x14ac:dyDescent="0.2">
      <c r="I202" s="268"/>
    </row>
    <row r="203" spans="9:9" s="8" customFormat="1" ht="12.75" hidden="1" x14ac:dyDescent="0.2">
      <c r="I203" s="268"/>
    </row>
    <row r="204" spans="9:9" s="8" customFormat="1" ht="12.75" hidden="1" x14ac:dyDescent="0.2">
      <c r="I204" s="268"/>
    </row>
    <row r="205" spans="9:9" s="8" customFormat="1" ht="12.75" hidden="1" x14ac:dyDescent="0.2">
      <c r="I205" s="268"/>
    </row>
    <row r="206" spans="9:9" s="8" customFormat="1" ht="12.75" hidden="1" x14ac:dyDescent="0.2">
      <c r="I206" s="268"/>
    </row>
    <row r="207" spans="9:9" s="8" customFormat="1" ht="12.75" hidden="1" x14ac:dyDescent="0.2">
      <c r="I207" s="268"/>
    </row>
    <row r="208" spans="9:9" s="8" customFormat="1" ht="12.75" hidden="1" x14ac:dyDescent="0.2">
      <c r="I208" s="268"/>
    </row>
    <row r="209" spans="9:9" s="8" customFormat="1" ht="12.75" hidden="1" x14ac:dyDescent="0.2">
      <c r="I209" s="268"/>
    </row>
    <row r="210" spans="9:9" ht="12.75" x14ac:dyDescent="0.2">
      <c r="I210" s="268"/>
    </row>
    <row r="211" spans="9:9" ht="12.75" x14ac:dyDescent="0.2">
      <c r="I211" s="268"/>
    </row>
    <row r="212" spans="9:9" ht="12.75" x14ac:dyDescent="0.2">
      <c r="I212" s="268"/>
    </row>
    <row r="213" spans="9:9" x14ac:dyDescent="0.2"/>
    <row r="214" spans="9:9" x14ac:dyDescent="0.2"/>
    <row r="215" spans="9:9" x14ac:dyDescent="0.2"/>
    <row r="216" spans="9:9" x14ac:dyDescent="0.2"/>
    <row r="217" spans="9:9" x14ac:dyDescent="0.2"/>
    <row r="218" spans="9:9" x14ac:dyDescent="0.2"/>
    <row r="219" spans="9:9" x14ac:dyDescent="0.2"/>
    <row r="220" spans="9:9" x14ac:dyDescent="0.2"/>
    <row r="221" spans="9:9" x14ac:dyDescent="0.2"/>
    <row r="222" spans="9:9" x14ac:dyDescent="0.2"/>
    <row r="223" spans="9:9" x14ac:dyDescent="0.2"/>
    <row r="224" spans="9:9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7" sqref="E17:K17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Brunswick modernisation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7" t="s">
        <v>251</v>
      </c>
      <c r="F8" s="337"/>
      <c r="G8" s="337"/>
      <c r="H8" s="337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2">
      <c r="C15" s="61" t="str">
        <v>Option 2</v>
      </c>
      <c r="D15" s="61"/>
      <c r="E15" s="339" t="s">
        <v>252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2">
      <c r="C16" s="61" t="str">
        <v>Option 3</v>
      </c>
      <c r="D16" s="61"/>
      <c r="E16" s="339" t="s">
        <v>253</v>
      </c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2">
      <c r="C17" s="61" t="str">
        <v>Option 4</v>
      </c>
      <c r="D17" s="61"/>
      <c r="E17" s="339"/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2">
      <c r="C18" s="61" t="str">
        <v>Option 5</v>
      </c>
      <c r="D18" s="61"/>
      <c r="E18" s="339"/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224</v>
      </c>
      <c r="D20"/>
      <c r="E20" s="296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301" t="s">
        <v>237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7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8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9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10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7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8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/>
      <c r="E41" s="167" t="s">
        <v>246</v>
      </c>
      <c r="F41" s="129"/>
      <c r="G41" s="315" t="s">
        <v>140</v>
      </c>
      <c r="H41" s="134">
        <v>47477.191922584083</v>
      </c>
      <c r="I41" s="244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11">
        <v>5400000</v>
      </c>
      <c r="H50" s="69">
        <v>45107</v>
      </c>
    </row>
    <row r="52" spans="3:8" x14ac:dyDescent="0.2">
      <c r="C52" s="8" t="s">
        <v>166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9">
        <f>Data!F85</f>
        <v>1</v>
      </c>
    </row>
    <row r="56" spans="3:8" x14ac:dyDescent="0.2">
      <c r="C56" s="8" t="str">
        <f>Data!B86</f>
        <v>Harm to property from bushfire</v>
      </c>
      <c r="G56" s="309">
        <f>Data!F86</f>
        <v>1</v>
      </c>
    </row>
    <row r="57" spans="3:8" x14ac:dyDescent="0.2">
      <c r="C57" s="8" t="str">
        <f>Data!B87</f>
        <v>Harm to environment</v>
      </c>
      <c r="G57" s="309">
        <f>Data!F87</f>
        <v>1</v>
      </c>
    </row>
    <row r="58" spans="3:8" x14ac:dyDescent="0.2">
      <c r="C58" s="8" t="str">
        <f>Data!B88</f>
        <v>Safety - Public trespass</v>
      </c>
      <c r="G58" s="309">
        <f>Data!F88</f>
        <v>1</v>
      </c>
    </row>
    <row r="59" spans="3:8" x14ac:dyDescent="0.2">
      <c r="C59" s="8" t="str">
        <f>Data!B89</f>
        <v>Safety - Single fatality or serious injury ^</v>
      </c>
      <c r="G59" s="309">
        <f>Data!F89</f>
        <v>3</v>
      </c>
    </row>
    <row r="60" spans="3:8" x14ac:dyDescent="0.2">
      <c r="C60" s="8" t="str">
        <f>Data!B90</f>
        <v>Safety from bushfire in HBRA</v>
      </c>
      <c r="G60" s="309">
        <f>Data!F90</f>
        <v>3</v>
      </c>
    </row>
    <row r="61" spans="3:8" x14ac:dyDescent="0.2">
      <c r="C61" s="8" t="str">
        <f>Data!B91</f>
        <v>Safety - Multiple fatality or serious injury ^</v>
      </c>
      <c r="G61" s="309">
        <f>Data!F91</f>
        <v>6</v>
      </c>
    </row>
    <row r="62" spans="3:8" x14ac:dyDescent="0.2">
      <c r="C62" s="8" t="str">
        <f>Data!B92</f>
        <v>Safety from bushfire (REFCL declared areas)</v>
      </c>
      <c r="G62" s="309">
        <f>Data!F92</f>
        <v>6</v>
      </c>
    </row>
    <row r="63" spans="3:8" x14ac:dyDescent="0.2">
      <c r="C63" s="8" t="str">
        <f>Data!B93</f>
        <v>Safety from bushfire (electric line construction areas)</v>
      </c>
      <c r="G63" s="309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60" t="s">
        <v>68</v>
      </c>
      <c r="H69" s="160" t="s">
        <v>167</v>
      </c>
      <c r="I69" s="160" t="s">
        <v>181</v>
      </c>
      <c r="J69" s="159" t="s">
        <v>185</v>
      </c>
      <c r="K69" s="160"/>
      <c r="L69" s="160"/>
      <c r="M69" s="160"/>
    </row>
    <row r="70" spans="2:16" x14ac:dyDescent="0.2">
      <c r="C70" s="8" t="s">
        <v>168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34">
        <v>0</v>
      </c>
      <c r="K70" s="335"/>
      <c r="L70" s="335"/>
      <c r="M70" s="336"/>
    </row>
    <row r="71" spans="2:16" x14ac:dyDescent="0.2">
      <c r="C71" s="8" t="s">
        <v>169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34">
        <v>0</v>
      </c>
      <c r="K71" s="335"/>
      <c r="L71" s="335"/>
      <c r="M71" s="336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7">
        <v>0</v>
      </c>
      <c r="H78" s="69">
        <f>input_dollars</f>
        <v>45291</v>
      </c>
    </row>
    <row r="79" spans="2:16" x14ac:dyDescent="0.2">
      <c r="C79" s="8" t="s">
        <v>171</v>
      </c>
      <c r="G79" s="157">
        <v>0</v>
      </c>
      <c r="H79" s="69">
        <f>input_dollars</f>
        <v>45291</v>
      </c>
    </row>
    <row r="81" spans="1:16" x14ac:dyDescent="0.2">
      <c r="C81" s="8" t="s">
        <v>172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2">
        <v>2.4730486797759084E-2</v>
      </c>
      <c r="L90" s="312">
        <v>2.2340740091772258E-2</v>
      </c>
      <c r="M90" s="312">
        <v>2.0196329122153123E-2</v>
      </c>
      <c r="N90" s="312">
        <v>1.806294207659629E-2</v>
      </c>
      <c r="O90" s="312">
        <v>1.5913397615084226E-2</v>
      </c>
      <c r="P90" s="312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1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1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1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2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2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2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2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2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3"/>
      <c r="D110" s="59"/>
      <c r="E110" s="304"/>
      <c r="F110" s="303"/>
      <c r="G110" s="303" t="s">
        <v>17</v>
      </c>
      <c r="H110" s="303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3">
        <v>0.1</v>
      </c>
      <c r="H111" s="313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3">
        <v>-0.1</v>
      </c>
      <c r="H112" s="313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4">
        <v>0</v>
      </c>
      <c r="H113" s="313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4">
        <v>0</v>
      </c>
      <c r="H114" s="313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2"/>
      <c r="G115" s="313">
        <v>0.1</v>
      </c>
      <c r="H115" s="313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I105" sqref="I105"/>
      <selection pane="topRight" activeCell="I105" sqref="I105"/>
      <selection pane="bottomLeft" activeCell="I105" sqref="I105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Brunswick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143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26">
        <f>DATE(LEFT(I9,4), 6,30)</f>
        <v>45473</v>
      </c>
      <c r="I9" s="187" t="str">
        <f>start</f>
        <v>2024-25</v>
      </c>
      <c r="J9" s="187" t="str">
        <f t="shared" ref="J9:AG9" si="1">LEFT(I9,4)+1&amp;"-"&amp;RIGHT(I9,2)+1</f>
        <v>2025-26</v>
      </c>
      <c r="K9" s="187" t="str">
        <f t="shared" si="1"/>
        <v>2026-27</v>
      </c>
      <c r="L9" s="187" t="str">
        <f t="shared" si="1"/>
        <v>2027-28</v>
      </c>
      <c r="M9" s="187" t="str">
        <f t="shared" si="1"/>
        <v>2028-29</v>
      </c>
      <c r="N9" s="187" t="str">
        <f t="shared" si="1"/>
        <v>2029-30</v>
      </c>
      <c r="O9" s="187" t="str">
        <f t="shared" si="1"/>
        <v>2030-31</v>
      </c>
      <c r="P9" s="187" t="str">
        <f t="shared" si="1"/>
        <v>2031-32</v>
      </c>
      <c r="Q9" s="187" t="str">
        <f t="shared" si="1"/>
        <v>2032-33</v>
      </c>
      <c r="R9" s="187" t="str">
        <f t="shared" si="1"/>
        <v>2033-34</v>
      </c>
      <c r="S9" s="187" t="str">
        <f t="shared" si="1"/>
        <v>2034-35</v>
      </c>
      <c r="T9" s="187" t="str">
        <f t="shared" si="1"/>
        <v>2035-36</v>
      </c>
      <c r="U9" s="187" t="str">
        <f t="shared" si="1"/>
        <v>2036-37</v>
      </c>
      <c r="V9" s="187" t="str">
        <f t="shared" si="1"/>
        <v>2037-38</v>
      </c>
      <c r="W9" s="187" t="str">
        <f t="shared" si="1"/>
        <v>2038-39</v>
      </c>
      <c r="X9" s="187" t="str">
        <f t="shared" si="1"/>
        <v>2039-40</v>
      </c>
      <c r="Y9" s="187" t="str">
        <f t="shared" si="1"/>
        <v>2040-41</v>
      </c>
      <c r="Z9" s="187" t="str">
        <f t="shared" si="1"/>
        <v>2041-42</v>
      </c>
      <c r="AA9" s="187" t="str">
        <f t="shared" si="1"/>
        <v>2042-43</v>
      </c>
      <c r="AB9" s="187" t="str">
        <f t="shared" si="1"/>
        <v>2043-44</v>
      </c>
      <c r="AC9" s="187" t="str">
        <f t="shared" si="1"/>
        <v>2044-45</v>
      </c>
      <c r="AD9" s="187" t="str">
        <f t="shared" si="1"/>
        <v>2045-46</v>
      </c>
      <c r="AE9" s="187" t="str">
        <f t="shared" si="1"/>
        <v>2046-47</v>
      </c>
      <c r="AF9" s="187" t="str">
        <f t="shared" si="1"/>
        <v>2047-48</v>
      </c>
      <c r="AG9" s="187" t="str">
        <f t="shared" si="1"/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0.16659382350908969</v>
      </c>
      <c r="J27" s="172">
        <v>0.61122826967228983</v>
      </c>
      <c r="K27" s="172">
        <v>1.8959117952900659</v>
      </c>
      <c r="L27" s="172">
        <v>4.9066709390379355</v>
      </c>
      <c r="M27" s="172">
        <v>10.741309732332439</v>
      </c>
      <c r="N27" s="172">
        <v>20.45156751387843</v>
      </c>
      <c r="O27" s="172">
        <v>35.230059753816775</v>
      </c>
      <c r="P27" s="172">
        <v>63.187750066886309</v>
      </c>
      <c r="Q27" s="172">
        <v>131.16824966827517</v>
      </c>
      <c r="R27" s="172">
        <v>272.08183219400388</v>
      </c>
      <c r="S27" s="172">
        <v>272.08183219400388</v>
      </c>
      <c r="T27" s="172">
        <v>272.08183219400388</v>
      </c>
      <c r="U27" s="172">
        <v>272.08183219400388</v>
      </c>
      <c r="V27" s="172">
        <v>272.08183219400388</v>
      </c>
      <c r="W27" s="172">
        <v>272.08183219400388</v>
      </c>
      <c r="X27" s="172">
        <v>272.08183219400388</v>
      </c>
      <c r="Y27" s="172">
        <v>272.08183219400388</v>
      </c>
      <c r="Z27" s="172">
        <v>272.08183219400388</v>
      </c>
      <c r="AA27" s="172">
        <v>272.08183219400388</v>
      </c>
      <c r="AB27" s="172">
        <v>272.08183219400388</v>
      </c>
      <c r="AC27" s="172">
        <v>272.08183219400388</v>
      </c>
      <c r="AD27" s="172">
        <v>272.08183219400388</v>
      </c>
      <c r="AE27" s="172">
        <v>272.08183219400388</v>
      </c>
      <c r="AF27" s="172">
        <v>272.08183219400388</v>
      </c>
      <c r="AG27" s="172">
        <v>272.08183219400388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47477.191922584083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7909.4069318581514</v>
      </c>
      <c r="J28" s="302">
        <f t="shared" ref="J28:AG28" si="3">J27*$E$28</f>
        <v>29019.401867740286</v>
      </c>
      <c r="K28" s="302">
        <f t="shared" si="3"/>
        <v>90012.56817327741</v>
      </c>
      <c r="L28" s="302">
        <f t="shared" si="3"/>
        <v>232954.95787366992</v>
      </c>
      <c r="M28" s="302">
        <f t="shared" si="3"/>
        <v>509967.22366186749</v>
      </c>
      <c r="N28" s="302">
        <f t="shared" si="3"/>
        <v>970982.99597409205</v>
      </c>
      <c r="O28" s="302">
        <f t="shared" si="3"/>
        <v>1672624.3083760643</v>
      </c>
      <c r="P28" s="302">
        <f t="shared" si="3"/>
        <v>2999976.9370818366</v>
      </c>
      <c r="Q28" s="302">
        <f t="shared" si="3"/>
        <v>6227500.1636501262</v>
      </c>
      <c r="R28" s="302">
        <f t="shared" si="3"/>
        <v>12917681.365723038</v>
      </c>
      <c r="S28" s="302">
        <f t="shared" si="3"/>
        <v>12917681.365723038</v>
      </c>
      <c r="T28" s="302">
        <f t="shared" si="3"/>
        <v>12917681.365723038</v>
      </c>
      <c r="U28" s="302">
        <f t="shared" si="3"/>
        <v>12917681.365723038</v>
      </c>
      <c r="V28" s="302">
        <f t="shared" si="3"/>
        <v>12917681.365723038</v>
      </c>
      <c r="W28" s="302">
        <f t="shared" si="3"/>
        <v>12917681.365723038</v>
      </c>
      <c r="X28" s="302">
        <f t="shared" si="3"/>
        <v>12917681.365723038</v>
      </c>
      <c r="Y28" s="302">
        <f t="shared" si="3"/>
        <v>12917681.365723038</v>
      </c>
      <c r="Z28" s="302">
        <f t="shared" si="3"/>
        <v>12917681.365723038</v>
      </c>
      <c r="AA28" s="302">
        <f t="shared" si="3"/>
        <v>12917681.365723038</v>
      </c>
      <c r="AB28" s="302">
        <f t="shared" si="3"/>
        <v>12917681.365723038</v>
      </c>
      <c r="AC28" s="302">
        <f t="shared" si="3"/>
        <v>12917681.365723038</v>
      </c>
      <c r="AD28" s="302">
        <f t="shared" si="3"/>
        <v>12917681.365723038</v>
      </c>
      <c r="AE28" s="302">
        <f t="shared" si="3"/>
        <v>12917681.365723038</v>
      </c>
      <c r="AF28" s="302">
        <f t="shared" si="3"/>
        <v>12917681.365723038</v>
      </c>
      <c r="AG28" s="302">
        <f t="shared" si="3"/>
        <v>12917681.365723038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6">
        <f>SUM(I28:I34)</f>
        <v>7909.4069318581514</v>
      </c>
      <c r="J36" s="106">
        <f t="shared" ref="J36:AB36" si="4">SUM(J28:J34)</f>
        <v>29019.401867740286</v>
      </c>
      <c r="K36" s="106">
        <f t="shared" si="4"/>
        <v>90012.56817327741</v>
      </c>
      <c r="L36" s="106">
        <f t="shared" si="4"/>
        <v>232954.95787366992</v>
      </c>
      <c r="M36" s="106">
        <f t="shared" si="4"/>
        <v>509967.22366186749</v>
      </c>
      <c r="N36" s="106">
        <f t="shared" si="4"/>
        <v>970982.99597409205</v>
      </c>
      <c r="O36" s="106">
        <f t="shared" si="4"/>
        <v>1672624.3083760643</v>
      </c>
      <c r="P36" s="106">
        <f t="shared" si="4"/>
        <v>2999976.9370818366</v>
      </c>
      <c r="Q36" s="106">
        <f t="shared" si="4"/>
        <v>6227500.1636501262</v>
      </c>
      <c r="R36" s="106">
        <f t="shared" si="4"/>
        <v>12917681.365723038</v>
      </c>
      <c r="S36" s="106">
        <f t="shared" si="4"/>
        <v>12917681.365723038</v>
      </c>
      <c r="T36" s="106">
        <f t="shared" si="4"/>
        <v>12917681.365723038</v>
      </c>
      <c r="U36" s="106">
        <f t="shared" si="4"/>
        <v>12917681.365723038</v>
      </c>
      <c r="V36" s="106">
        <f t="shared" si="4"/>
        <v>12917681.365723038</v>
      </c>
      <c r="W36" s="106">
        <f t="shared" si="4"/>
        <v>12917681.365723038</v>
      </c>
      <c r="X36" s="106">
        <f t="shared" si="4"/>
        <v>12917681.365723038</v>
      </c>
      <c r="Y36" s="106">
        <f t="shared" si="4"/>
        <v>12917681.365723038</v>
      </c>
      <c r="Z36" s="106">
        <f t="shared" si="4"/>
        <v>12917681.365723038</v>
      </c>
      <c r="AA36" s="106">
        <f t="shared" si="4"/>
        <v>12917681.365723038</v>
      </c>
      <c r="AB36" s="106">
        <f t="shared" si="4"/>
        <v>12917681.365723038</v>
      </c>
      <c r="AC36" s="106">
        <f>SUM(AC28:AC34)</f>
        <v>12917681.365723038</v>
      </c>
      <c r="AD36" s="106">
        <f>SUM(AD28:AD34)</f>
        <v>12917681.365723038</v>
      </c>
      <c r="AE36" s="106">
        <f>SUM(AE28:AE34)</f>
        <v>12917681.365723038</v>
      </c>
      <c r="AF36" s="106">
        <f>SUM(AF28:AF34)</f>
        <v>12917681.365723038</v>
      </c>
      <c r="AG36" s="106">
        <f>SUM(AG28:AG34)</f>
        <v>12917681.365723038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189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242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K15" sqref="K15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Brunswick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Rebuild the C zone substation with transfers from CW and WB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9735575.1425531916</v>
      </c>
      <c r="N14" s="32">
        <v>19471150.285106383</v>
      </c>
      <c r="O14" s="32">
        <v>19471150.285106383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248</v>
      </c>
      <c r="D15"/>
      <c r="E15" s="151">
        <v>50</v>
      </c>
      <c r="G15" s="211">
        <f>input_dollars</f>
        <v>45291</v>
      </c>
      <c r="H15" s="2"/>
      <c r="I15" s="32">
        <v>1050000</v>
      </c>
      <c r="J15" s="32">
        <v>6875000</v>
      </c>
      <c r="K15" s="32">
        <v>7245000</v>
      </c>
      <c r="L15" s="32">
        <v>17499000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249</v>
      </c>
      <c r="D16"/>
      <c r="E16" s="151">
        <v>50</v>
      </c>
      <c r="G16" s="211">
        <f>input_dollars</f>
        <v>45291</v>
      </c>
      <c r="H16" s="2"/>
      <c r="I16" s="32">
        <v>1050000</v>
      </c>
      <c r="J16" s="32">
        <v>6875000</v>
      </c>
      <c r="K16" s="32">
        <v>16905000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2100000</v>
      </c>
      <c r="J17" s="106">
        <f t="shared" si="0"/>
        <v>13750000</v>
      </c>
      <c r="K17" s="106">
        <f t="shared" si="0"/>
        <v>24150000</v>
      </c>
      <c r="L17" s="106">
        <f t="shared" si="0"/>
        <v>17499000</v>
      </c>
      <c r="M17" s="106">
        <f t="shared" si="0"/>
        <v>9735575.1425531916</v>
      </c>
      <c r="N17" s="106">
        <f t="shared" si="0"/>
        <v>19471150.285106383</v>
      </c>
      <c r="O17" s="106">
        <f t="shared" si="0"/>
        <v>19471150.285106383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0.13853703214146154</v>
      </c>
      <c r="J27" s="172">
        <v>0.31342621356199529</v>
      </c>
      <c r="K27" s="172">
        <v>1.864921982369887</v>
      </c>
      <c r="L27" s="172">
        <v>2.6375913719274178</v>
      </c>
      <c r="M27" s="172">
        <v>3.507716995521541</v>
      </c>
      <c r="N27" s="172">
        <v>4.4110947340214715</v>
      </c>
      <c r="O27" s="172">
        <v>5.5881629909531316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47477.191922584083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6577.3492633653696</v>
      </c>
      <c r="J28" s="302">
        <f t="shared" ref="J28:AG28" si="2">J27*$E$28</f>
        <v>14880.596494851678</v>
      </c>
      <c r="K28" s="302">
        <f t="shared" si="2"/>
        <v>88541.258877621091</v>
      </c>
      <c r="L28" s="302">
        <f t="shared" si="2"/>
        <v>125225.43177834987</v>
      </c>
      <c r="M28" s="302">
        <f t="shared" si="2"/>
        <v>166536.55300648621</v>
      </c>
      <c r="N28" s="302">
        <f t="shared" si="2"/>
        <v>209426.39127583738</v>
      </c>
      <c r="O28" s="302">
        <f t="shared" si="2"/>
        <v>265310.28681616334</v>
      </c>
      <c r="P28" s="302">
        <f t="shared" si="2"/>
        <v>0</v>
      </c>
      <c r="Q28" s="302">
        <f t="shared" si="2"/>
        <v>0</v>
      </c>
      <c r="R28" s="302">
        <f t="shared" si="2"/>
        <v>0</v>
      </c>
      <c r="S28" s="302">
        <f t="shared" si="2"/>
        <v>0</v>
      </c>
      <c r="T28" s="302">
        <f t="shared" si="2"/>
        <v>0</v>
      </c>
      <c r="U28" s="302">
        <f t="shared" si="2"/>
        <v>0</v>
      </c>
      <c r="V28" s="302">
        <f t="shared" si="2"/>
        <v>0</v>
      </c>
      <c r="W28" s="302">
        <f t="shared" si="2"/>
        <v>0</v>
      </c>
      <c r="X28" s="302">
        <f t="shared" si="2"/>
        <v>0</v>
      </c>
      <c r="Y28" s="302">
        <f t="shared" si="2"/>
        <v>0</v>
      </c>
      <c r="Z28" s="302">
        <f t="shared" si="2"/>
        <v>0</v>
      </c>
      <c r="AA28" s="302">
        <f t="shared" si="2"/>
        <v>0</v>
      </c>
      <c r="AB28" s="302">
        <f t="shared" si="2"/>
        <v>0</v>
      </c>
      <c r="AC28" s="302">
        <f t="shared" si="2"/>
        <v>0</v>
      </c>
      <c r="AD28" s="302">
        <f t="shared" si="2"/>
        <v>0</v>
      </c>
      <c r="AE28" s="302">
        <f t="shared" si="2"/>
        <v>0</v>
      </c>
      <c r="AF28" s="302">
        <f t="shared" si="2"/>
        <v>0</v>
      </c>
      <c r="AG28" s="302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6577.3492633653696</v>
      </c>
      <c r="J36" s="174">
        <f t="shared" ref="J36:AG36" si="3">SUM(J28:J34)</f>
        <v>14880.596494851678</v>
      </c>
      <c r="K36" s="174">
        <f t="shared" si="3"/>
        <v>88541.258877621091</v>
      </c>
      <c r="L36" s="174">
        <f t="shared" si="3"/>
        <v>125225.43177834987</v>
      </c>
      <c r="M36" s="174">
        <f t="shared" si="3"/>
        <v>166536.55300648621</v>
      </c>
      <c r="N36" s="174">
        <f t="shared" si="3"/>
        <v>209426.39127583738</v>
      </c>
      <c r="O36" s="174">
        <f t="shared" si="3"/>
        <v>265310.28681616334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 t="shared" si="3"/>
        <v>0</v>
      </c>
      <c r="AD36" s="174">
        <f t="shared" si="3"/>
        <v>0</v>
      </c>
      <c r="AE36" s="174">
        <f t="shared" si="3"/>
        <v>0</v>
      </c>
      <c r="AF36" s="174">
        <f t="shared" si="3"/>
        <v>0</v>
      </c>
      <c r="AG36" s="174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1332.0576684927819</v>
      </c>
      <c r="J64" s="135">
        <f>(1-INDEX(Data!$C$9:$C$13, MATCH($A$3, options,0)))*('Option1 (base case)'!J36-J36)</f>
        <v>14138.805372888608</v>
      </c>
      <c r="K64" s="135">
        <f>(1-INDEX(Data!$C$9:$C$13, MATCH($A$3, options,0)))*('Option1 (base case)'!K36-K36)</f>
        <v>1471.3092956563196</v>
      </c>
      <c r="L64" s="135">
        <f>(1-INDEX(Data!$C$9:$C$13, MATCH($A$3, options,0)))*('Option1 (base case)'!L36-L36)</f>
        <v>107729.52609532005</v>
      </c>
      <c r="M64" s="135">
        <f>(1-INDEX(Data!$C$9:$C$13, MATCH($A$3, options,0)))*('Option1 (base case)'!M36-M36)</f>
        <v>343430.67065538128</v>
      </c>
      <c r="N64" s="135">
        <f>(1-INDEX(Data!$C$9:$C$13, MATCH($A$3, options,0)))*('Option1 (base case)'!N36-N36)</f>
        <v>761556.60469825473</v>
      </c>
      <c r="O64" s="135">
        <f>(1-INDEX(Data!$C$9:$C$13, MATCH($A$3, options,0)))*('Option1 (base case)'!O36-O36)</f>
        <v>1407314.0215599011</v>
      </c>
      <c r="P64" s="135">
        <f>(1-INDEX(Data!$C$9:$C$13, MATCH($A$3, options,0)))*('Option1 (base case)'!P36-P36)</f>
        <v>2999976.9370818366</v>
      </c>
      <c r="Q64" s="135">
        <f>(1-INDEX(Data!$C$9:$C$13, MATCH($A$3, options,0)))*('Option1 (base case)'!Q36-Q36)</f>
        <v>6227500.1636501262</v>
      </c>
      <c r="R64" s="135">
        <f>(1-INDEX(Data!$C$9:$C$13, MATCH($A$3, options,0)))*('Option1 (base case)'!R36-R36)</f>
        <v>12917681.365723038</v>
      </c>
      <c r="S64" s="135">
        <f>(1-INDEX(Data!$C$9:$C$13, MATCH($A$3, options,0)))*('Option1 (base case)'!S36-S36)</f>
        <v>12917681.365723038</v>
      </c>
      <c r="T64" s="135">
        <f>(1-INDEX(Data!$C$9:$C$13, MATCH($A$3, options,0)))*('Option1 (base case)'!T36-T36)</f>
        <v>12917681.365723038</v>
      </c>
      <c r="U64" s="135">
        <f>(1-INDEX(Data!$C$9:$C$13, MATCH($A$3, options,0)))*('Option1 (base case)'!U36-U36)</f>
        <v>12917681.365723038</v>
      </c>
      <c r="V64" s="135">
        <f>(1-INDEX(Data!$C$9:$C$13, MATCH($A$3, options,0)))*('Option1 (base case)'!V36-V36)</f>
        <v>12917681.365723038</v>
      </c>
      <c r="W64" s="135">
        <f>(1-INDEX(Data!$C$9:$C$13, MATCH($A$3, options,0)))*('Option1 (base case)'!W36-W36)</f>
        <v>12917681.365723038</v>
      </c>
      <c r="X64" s="135">
        <f>(1-INDEX(Data!$C$9:$C$13, MATCH($A$3, options,0)))*('Option1 (base case)'!X36-X36)</f>
        <v>12917681.365723038</v>
      </c>
      <c r="Y64" s="135">
        <f>(1-INDEX(Data!$C$9:$C$13, MATCH($A$3, options,0)))*('Option1 (base case)'!Y36-Y36)</f>
        <v>12917681.365723038</v>
      </c>
      <c r="Z64" s="135">
        <f>(1-INDEX(Data!$C$9:$C$13, MATCH($A$3, options,0)))*('Option1 (base case)'!Z36-Z36)</f>
        <v>12917681.365723038</v>
      </c>
      <c r="AA64" s="135">
        <f>(1-INDEX(Data!$C$9:$C$13, MATCH($A$3, options,0)))*('Option1 (base case)'!AA36-AA36)</f>
        <v>12917681.365723038</v>
      </c>
      <c r="AB64" s="135">
        <f>(1-INDEX(Data!$C$9:$C$13, MATCH($A$3, options,0)))*('Option1 (base case)'!AB36-AB36)</f>
        <v>12917681.365723038</v>
      </c>
      <c r="AC64" s="135">
        <f>(1-INDEX(Data!$C$9:$C$13, MATCH($A$3, options,0)))*('Option1 (base case)'!AC36-AC36)</f>
        <v>12917681.365723038</v>
      </c>
      <c r="AD64" s="135">
        <f>(1-INDEX(Data!$C$9:$C$13, MATCH($A$3, options,0)))*('Option1 (base case)'!AD36-AD36)</f>
        <v>12917681.365723038</v>
      </c>
      <c r="AE64" s="135">
        <f>(1-INDEX(Data!$C$9:$C$13, MATCH($A$3, options,0)))*('Option1 (base case)'!AE36-AE36)</f>
        <v>12917681.365723038</v>
      </c>
      <c r="AF64" s="135">
        <f>(1-INDEX(Data!$C$9:$C$13, MATCH($A$3, options,0)))*('Option1 (base case)'!AF36-AF36)</f>
        <v>12917681.365723038</v>
      </c>
      <c r="AG64" s="135">
        <f>(1-INDEX(Data!$C$9:$C$13, MATCH($A$3, options,0)))*('Option1 (base case)'!AG36-AG36)</f>
        <v>12917681.365723038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Rebuild C + transfers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-9735575.1425531916</v>
      </c>
      <c r="N67" s="119">
        <f t="shared" si="5"/>
        <v>-19471150.285106383</v>
      </c>
      <c r="O67" s="119">
        <f t="shared" si="5"/>
        <v>-19471150.285106383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BK offload to WB</v>
      </c>
      <c r="D68" s="38"/>
      <c r="F68" s="97"/>
      <c r="G68" s="214">
        <f>input_dollars</f>
        <v>45291</v>
      </c>
      <c r="H68" s="31"/>
      <c r="I68" s="119">
        <f t="shared" ref="I68:AG68" si="6">-I15</f>
        <v>-1050000</v>
      </c>
      <c r="J68" s="119">
        <f t="shared" si="6"/>
        <v>-6875000</v>
      </c>
      <c r="K68" s="119">
        <f t="shared" si="6"/>
        <v>-7245000</v>
      </c>
      <c r="L68" s="119">
        <f t="shared" si="6"/>
        <v>-17499000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F offload to CW</v>
      </c>
      <c r="D69" s="38"/>
      <c r="F69" s="97"/>
      <c r="G69" s="214">
        <f>input_dollars</f>
        <v>45291</v>
      </c>
      <c r="H69" s="31"/>
      <c r="I69" s="119">
        <f t="shared" ref="I69:AG69" si="7">-I16</f>
        <v>-1050000</v>
      </c>
      <c r="J69" s="119">
        <f t="shared" si="7"/>
        <v>-6875000</v>
      </c>
      <c r="K69" s="119">
        <f t="shared" si="7"/>
        <v>-16905000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Rebuild C + transfers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-9735575.1425531916</v>
      </c>
      <c r="N72" s="119" cm="1">
        <f t="array" ref="N72">SUMPRODUCT(($I67:N67))-SUMPRODUCT(($I67:N67)*($I$6:N$6&lt;=(N$6-$E14)))</f>
        <v>-29206725.427659575</v>
      </c>
      <c r="O72" s="119" cm="1">
        <f t="array" ref="O72">SUMPRODUCT(($I67:O67))-SUMPRODUCT(($I67:O67)*($I$6:O$6&lt;=(O$6-$E14)))</f>
        <v>-48677875.712765962</v>
      </c>
      <c r="P72" s="119" cm="1">
        <f t="array" ref="P72">SUMPRODUCT(($I67:P67))-SUMPRODUCT(($I67:P67)*($I$6:P$6&lt;=(P$6-$E14)))</f>
        <v>-48677875.712765962</v>
      </c>
      <c r="Q72" s="119" cm="1">
        <f t="array" ref="Q72">SUMPRODUCT(($I67:Q67))-SUMPRODUCT(($I67:Q67)*($I$6:Q$6&lt;=(Q$6-$E14)))</f>
        <v>-48677875.712765962</v>
      </c>
      <c r="R72" s="119" cm="1">
        <f t="array" ref="R72">SUMPRODUCT(($I67:R67))-SUMPRODUCT(($I67:R67)*($I$6:R$6&lt;=(R$6-$E14)))</f>
        <v>-48677875.712765962</v>
      </c>
      <c r="S72" s="119" cm="1">
        <f t="array" ref="S72">SUMPRODUCT(($I67:S67))-SUMPRODUCT(($I67:S67)*($I$6:S$6&lt;=(S$6-$E14)))</f>
        <v>-48677875.712765962</v>
      </c>
      <c r="T72" s="119" cm="1">
        <f t="array" ref="T72">SUMPRODUCT(($I67:T67))-SUMPRODUCT(($I67:T67)*($I$6:T$6&lt;=(T$6-$E14)))</f>
        <v>-48677875.712765962</v>
      </c>
      <c r="U72" s="119" cm="1">
        <f t="array" ref="U72">SUMPRODUCT(($I67:U67))-SUMPRODUCT(($I67:U67)*($I$6:U$6&lt;=(U$6-$E14)))</f>
        <v>-48677875.712765962</v>
      </c>
      <c r="V72" s="119" cm="1">
        <f t="array" ref="V72">SUMPRODUCT(($I67:V67))-SUMPRODUCT(($I67:V67)*($I$6:V$6&lt;=(V$6-$E14)))</f>
        <v>-48677875.712765962</v>
      </c>
      <c r="W72" s="119" cm="1">
        <f t="array" ref="W72">SUMPRODUCT(($I67:W67))-SUMPRODUCT(($I67:W67)*($I$6:W$6&lt;=(W$6-$E14)))</f>
        <v>-48677875.712765962</v>
      </c>
      <c r="X72" s="119" cm="1">
        <f t="array" ref="X72">SUMPRODUCT(($I67:X67))-SUMPRODUCT(($I67:X67)*($I$6:X$6&lt;=(X$6-$E14)))</f>
        <v>-48677875.712765962</v>
      </c>
      <c r="Y72" s="119" cm="1">
        <f t="array" ref="Y72">SUMPRODUCT(($I67:Y67))-SUMPRODUCT(($I67:Y67)*($I$6:Y$6&lt;=(Y$6-$E14)))</f>
        <v>-48677875.712765962</v>
      </c>
      <c r="Z72" s="119" cm="1">
        <f t="array" ref="Z72">SUMPRODUCT(($I67:Z67))-SUMPRODUCT(($I67:Z67)*($I$6:Z$6&lt;=(Z$6-$E14)))</f>
        <v>-48677875.712765962</v>
      </c>
      <c r="AA72" s="119" cm="1">
        <f t="array" ref="AA72">SUMPRODUCT(($I67:AA67))-SUMPRODUCT(($I67:AA67)*($I$6:AA$6&lt;=(AA$6-$E14)))</f>
        <v>-48677875.712765962</v>
      </c>
      <c r="AB72" s="119" cm="1">
        <f t="array" ref="AB72">SUMPRODUCT(($I67:AB67))-SUMPRODUCT(($I67:AB67)*($I$6:AB$6&lt;=(AB$6-$E14)))</f>
        <v>-48677875.712765962</v>
      </c>
      <c r="AC72" s="119" cm="1">
        <f t="array" ref="AC72">SUMPRODUCT(($I67:AC67))-SUMPRODUCT(($I67:AC67)*($I$6:AC$6&lt;=(AC$6-$E14)))</f>
        <v>-48677875.712765962</v>
      </c>
      <c r="AD72" s="119" cm="1">
        <f t="array" ref="AD72">SUMPRODUCT(($I67:AD67))-SUMPRODUCT(($I67:AD67)*($I$6:AD$6&lt;=(AD$6-$E14)))</f>
        <v>-48677875.712765962</v>
      </c>
      <c r="AE72" s="119" cm="1">
        <f t="array" ref="AE72">SUMPRODUCT(($I67:AE67))-SUMPRODUCT(($I67:AE67)*($I$6:AE$6&lt;=(AE$6-$E14)))</f>
        <v>-48677875.712765962</v>
      </c>
      <c r="AF72" s="119" cm="1">
        <f t="array" ref="AF72">SUMPRODUCT(($I67:AF67))-SUMPRODUCT(($I67:AF67)*($I$6:AF$6&lt;=(AF$6-$E14)))</f>
        <v>-48677875.712765962</v>
      </c>
      <c r="AG72" s="119" cm="1">
        <f t="array" ref="AG72">SUMPRODUCT(($I67:AG67))-SUMPRODUCT(($I67:AG67)*($I$6:AG$6&lt;=(AG$6-$E14)))</f>
        <v>-48677875.712765962</v>
      </c>
    </row>
    <row r="73" spans="1:33" x14ac:dyDescent="0.2">
      <c r="A73" s="8"/>
      <c r="B73" s="8"/>
      <c r="C73" s="4" t="str">
        <f>C15</f>
        <v>BK offload to WB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-1050000</v>
      </c>
      <c r="J73" s="119" cm="1">
        <f t="array" ref="J73">SUMPRODUCT(($I68:J68))-SUMPRODUCT(($I68:J68)*($I$6:J$6&lt;=(J$6-$E15)))</f>
        <v>-7925000</v>
      </c>
      <c r="K73" s="119" cm="1">
        <f t="array" ref="K73">SUMPRODUCT(($I68:K68))-SUMPRODUCT(($I68:K68)*($I$6:K$6&lt;=(K$6-$E15)))</f>
        <v>-15170000</v>
      </c>
      <c r="L73" s="119" cm="1">
        <f t="array" ref="L73">SUMPRODUCT(($I68:L68))-SUMPRODUCT(($I68:L68)*($I$6:L$6&lt;=(L$6-$E15)))</f>
        <v>-32669000</v>
      </c>
      <c r="M73" s="119" cm="1">
        <f t="array" ref="M73">SUMPRODUCT(($I68:M68))-SUMPRODUCT(($I68:M68)*($I$6:M$6&lt;=(M$6-$E15)))</f>
        <v>-32669000</v>
      </c>
      <c r="N73" s="119" cm="1">
        <f t="array" ref="N73">SUMPRODUCT(($I68:N68))-SUMPRODUCT(($I68:N68)*($I$6:N$6&lt;=(N$6-$E15)))</f>
        <v>-32669000</v>
      </c>
      <c r="O73" s="119" cm="1">
        <f t="array" ref="O73">SUMPRODUCT(($I68:O68))-SUMPRODUCT(($I68:O68)*($I$6:O$6&lt;=(O$6-$E15)))</f>
        <v>-32669000</v>
      </c>
      <c r="P73" s="119" cm="1">
        <f t="array" ref="P73">SUMPRODUCT(($I68:P68))-SUMPRODUCT(($I68:P68)*($I$6:P$6&lt;=(P$6-$E15)))</f>
        <v>-32669000</v>
      </c>
      <c r="Q73" s="119" cm="1">
        <f t="array" ref="Q73">SUMPRODUCT(($I68:Q68))-SUMPRODUCT(($I68:Q68)*($I$6:Q$6&lt;=(Q$6-$E15)))</f>
        <v>-32669000</v>
      </c>
      <c r="R73" s="119" cm="1">
        <f t="array" ref="R73">SUMPRODUCT(($I68:R68))-SUMPRODUCT(($I68:R68)*($I$6:R$6&lt;=(R$6-$E15)))</f>
        <v>-32669000</v>
      </c>
      <c r="S73" s="119" cm="1">
        <f t="array" ref="S73">SUMPRODUCT(($I68:S68))-SUMPRODUCT(($I68:S68)*($I$6:S$6&lt;=(S$6-$E15)))</f>
        <v>-32669000</v>
      </c>
      <c r="T73" s="119" cm="1">
        <f t="array" ref="T73">SUMPRODUCT(($I68:T68))-SUMPRODUCT(($I68:T68)*($I$6:T$6&lt;=(T$6-$E15)))</f>
        <v>-32669000</v>
      </c>
      <c r="U73" s="119" cm="1">
        <f t="array" ref="U73">SUMPRODUCT(($I68:U68))-SUMPRODUCT(($I68:U68)*($I$6:U$6&lt;=(U$6-$E15)))</f>
        <v>-32669000</v>
      </c>
      <c r="V73" s="119" cm="1">
        <f t="array" ref="V73">SUMPRODUCT(($I68:V68))-SUMPRODUCT(($I68:V68)*($I$6:V$6&lt;=(V$6-$E15)))</f>
        <v>-32669000</v>
      </c>
      <c r="W73" s="119" cm="1">
        <f t="array" ref="W73">SUMPRODUCT(($I68:W68))-SUMPRODUCT(($I68:W68)*($I$6:W$6&lt;=(W$6-$E15)))</f>
        <v>-32669000</v>
      </c>
      <c r="X73" s="119" cm="1">
        <f t="array" ref="X73">SUMPRODUCT(($I68:X68))-SUMPRODUCT(($I68:X68)*($I$6:X$6&lt;=(X$6-$E15)))</f>
        <v>-32669000</v>
      </c>
      <c r="Y73" s="119" cm="1">
        <f t="array" ref="Y73">SUMPRODUCT(($I68:Y68))-SUMPRODUCT(($I68:Y68)*($I$6:Y$6&lt;=(Y$6-$E15)))</f>
        <v>-32669000</v>
      </c>
      <c r="Z73" s="119" cm="1">
        <f t="array" ref="Z73">SUMPRODUCT(($I68:Z68))-SUMPRODUCT(($I68:Z68)*($I$6:Z$6&lt;=(Z$6-$E15)))</f>
        <v>-32669000</v>
      </c>
      <c r="AA73" s="119" cm="1">
        <f t="array" ref="AA73">SUMPRODUCT(($I68:AA68))-SUMPRODUCT(($I68:AA68)*($I$6:AA$6&lt;=(AA$6-$E15)))</f>
        <v>-32669000</v>
      </c>
      <c r="AB73" s="119" cm="1">
        <f t="array" ref="AB73">SUMPRODUCT(($I68:AB68))-SUMPRODUCT(($I68:AB68)*($I$6:AB$6&lt;=(AB$6-$E15)))</f>
        <v>-32669000</v>
      </c>
      <c r="AC73" s="119" cm="1">
        <f t="array" ref="AC73">SUMPRODUCT(($I68:AC68))-SUMPRODUCT(($I68:AC68)*($I$6:AC$6&lt;=(AC$6-$E15)))</f>
        <v>-32669000</v>
      </c>
      <c r="AD73" s="119" cm="1">
        <f t="array" ref="AD73">SUMPRODUCT(($I68:AD68))-SUMPRODUCT(($I68:AD68)*($I$6:AD$6&lt;=(AD$6-$E15)))</f>
        <v>-32669000</v>
      </c>
      <c r="AE73" s="119" cm="1">
        <f t="array" ref="AE73">SUMPRODUCT(($I68:AE68))-SUMPRODUCT(($I68:AE68)*($I$6:AE$6&lt;=(AE$6-$E15)))</f>
        <v>-32669000</v>
      </c>
      <c r="AF73" s="119" cm="1">
        <f t="array" ref="AF73">SUMPRODUCT(($I68:AF68))-SUMPRODUCT(($I68:AF68)*($I$6:AF$6&lt;=(AF$6-$E15)))</f>
        <v>-32669000</v>
      </c>
      <c r="AG73" s="119" cm="1">
        <f t="array" ref="AG73">SUMPRODUCT(($I68:AG68))-SUMPRODUCT(($I68:AG68)*($I$6:AG$6&lt;=(AG$6-$E15)))</f>
        <v>-32669000</v>
      </c>
    </row>
    <row r="74" spans="1:33" x14ac:dyDescent="0.2">
      <c r="A74" s="8"/>
      <c r="B74" s="8"/>
      <c r="C74" s="4" t="str">
        <f>C16</f>
        <v>F offload to CW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-1050000</v>
      </c>
      <c r="J74" s="119" cm="1">
        <f t="array" ref="J74">SUMPRODUCT(($I69:J69))-SUMPRODUCT(($I69:J69)*($I$6:J$6&lt;=(J$6-$E16)))</f>
        <v>-7925000</v>
      </c>
      <c r="K74" s="119" cm="1">
        <f t="array" ref="K74">SUMPRODUCT(($I69:K69))-SUMPRODUCT(($I69:K69)*($I$6:K$6&lt;=(K$6-$E16)))</f>
        <v>-24830000</v>
      </c>
      <c r="L74" s="119" cm="1">
        <f t="array" ref="L74">SUMPRODUCT(($I69:L69))-SUMPRODUCT(($I69:L69)*($I$6:L$6&lt;=(L$6-$E16)))</f>
        <v>-24830000</v>
      </c>
      <c r="M74" s="119" cm="1">
        <f t="array" ref="M74">SUMPRODUCT(($I69:M69))-SUMPRODUCT(($I69:M69)*($I$6:M$6&lt;=(M$6-$E16)))</f>
        <v>-24830000</v>
      </c>
      <c r="N74" s="119" cm="1">
        <f t="array" ref="N74">SUMPRODUCT(($I69:N69))-SUMPRODUCT(($I69:N69)*($I$6:N$6&lt;=(N$6-$E16)))</f>
        <v>-24830000</v>
      </c>
      <c r="O74" s="119" cm="1">
        <f t="array" ref="O74">SUMPRODUCT(($I69:O69))-SUMPRODUCT(($I69:O69)*($I$6:O$6&lt;=(O$6-$E16)))</f>
        <v>-24830000</v>
      </c>
      <c r="P74" s="119" cm="1">
        <f t="array" ref="P74">SUMPRODUCT(($I69:P69))-SUMPRODUCT(($I69:P69)*($I$6:P$6&lt;=(P$6-$E16)))</f>
        <v>-24830000</v>
      </c>
      <c r="Q74" s="119" cm="1">
        <f t="array" ref="Q74">SUMPRODUCT(($I69:Q69))-SUMPRODUCT(($I69:Q69)*($I$6:Q$6&lt;=(Q$6-$E16)))</f>
        <v>-24830000</v>
      </c>
      <c r="R74" s="119" cm="1">
        <f t="array" ref="R74">SUMPRODUCT(($I69:R69))-SUMPRODUCT(($I69:R69)*($I$6:R$6&lt;=(R$6-$E16)))</f>
        <v>-24830000</v>
      </c>
      <c r="S74" s="119" cm="1">
        <f t="array" ref="S74">SUMPRODUCT(($I69:S69))-SUMPRODUCT(($I69:S69)*($I$6:S$6&lt;=(S$6-$E16)))</f>
        <v>-24830000</v>
      </c>
      <c r="T74" s="119" cm="1">
        <f t="array" ref="T74">SUMPRODUCT(($I69:T69))-SUMPRODUCT(($I69:T69)*($I$6:T$6&lt;=(T$6-$E16)))</f>
        <v>-24830000</v>
      </c>
      <c r="U74" s="119" cm="1">
        <f t="array" ref="U74">SUMPRODUCT(($I69:U69))-SUMPRODUCT(($I69:U69)*($I$6:U$6&lt;=(U$6-$E16)))</f>
        <v>-24830000</v>
      </c>
      <c r="V74" s="119" cm="1">
        <f t="array" ref="V74">SUMPRODUCT(($I69:V69))-SUMPRODUCT(($I69:V69)*($I$6:V$6&lt;=(V$6-$E16)))</f>
        <v>-24830000</v>
      </c>
      <c r="W74" s="119" cm="1">
        <f t="array" ref="W74">SUMPRODUCT(($I69:W69))-SUMPRODUCT(($I69:W69)*($I$6:W$6&lt;=(W$6-$E16)))</f>
        <v>-24830000</v>
      </c>
      <c r="X74" s="119" cm="1">
        <f t="array" ref="X74">SUMPRODUCT(($I69:X69))-SUMPRODUCT(($I69:X69)*($I$6:X$6&lt;=(X$6-$E16)))</f>
        <v>-24830000</v>
      </c>
      <c r="Y74" s="119" cm="1">
        <f t="array" ref="Y74">SUMPRODUCT(($I69:Y69))-SUMPRODUCT(($I69:Y69)*($I$6:Y$6&lt;=(Y$6-$E16)))</f>
        <v>-24830000</v>
      </c>
      <c r="Z74" s="119" cm="1">
        <f t="array" ref="Z74">SUMPRODUCT(($I69:Z69))-SUMPRODUCT(($I69:Z69)*($I$6:Z$6&lt;=(Z$6-$E16)))</f>
        <v>-24830000</v>
      </c>
      <c r="AA74" s="119" cm="1">
        <f t="array" ref="AA74">SUMPRODUCT(($I69:AA69))-SUMPRODUCT(($I69:AA69)*($I$6:AA$6&lt;=(AA$6-$E16)))</f>
        <v>-24830000</v>
      </c>
      <c r="AB74" s="119" cm="1">
        <f t="array" ref="AB74">SUMPRODUCT(($I69:AB69))-SUMPRODUCT(($I69:AB69)*($I$6:AB$6&lt;=(AB$6-$E16)))</f>
        <v>-24830000</v>
      </c>
      <c r="AC74" s="119" cm="1">
        <f t="array" ref="AC74">SUMPRODUCT(($I69:AC69))-SUMPRODUCT(($I69:AC69)*($I$6:AC$6&lt;=(AC$6-$E16)))</f>
        <v>-24830000</v>
      </c>
      <c r="AD74" s="119" cm="1">
        <f t="array" ref="AD74">SUMPRODUCT(($I69:AD69))-SUMPRODUCT(($I69:AD69)*($I$6:AD$6&lt;=(AD$6-$E16)))</f>
        <v>-24830000</v>
      </c>
      <c r="AE74" s="119" cm="1">
        <f t="array" ref="AE74">SUMPRODUCT(($I69:AE69))-SUMPRODUCT(($I69:AE69)*($I$6:AE$6&lt;=(AE$6-$E16)))</f>
        <v>-24830000</v>
      </c>
      <c r="AF74" s="119" cm="1">
        <f t="array" ref="AF74">SUMPRODUCT(($I69:AF69))-SUMPRODUCT(($I69:AF69)*($I$6:AF$6&lt;=(AF$6-$E16)))</f>
        <v>-24830000</v>
      </c>
      <c r="AG74" s="119" cm="1">
        <f t="array" ref="AG74">SUMPRODUCT(($I69:AG69))-SUMPRODUCT(($I69:AG69)*($I$6:AG$6&lt;=(AG$6-$E16)))</f>
        <v>-24830000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Rebuild C + transfers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-415063.68309091672</v>
      </c>
      <c r="O77" s="119">
        <f t="shared" si="8"/>
        <v>-1245191.0492727503</v>
      </c>
      <c r="P77" s="119">
        <f t="shared" si="8"/>
        <v>-2075318.4154545837</v>
      </c>
      <c r="Q77" s="119">
        <f t="shared" si="8"/>
        <v>-2075318.4154545837</v>
      </c>
      <c r="R77" s="119">
        <f t="shared" si="8"/>
        <v>-2075318.4154545837</v>
      </c>
      <c r="S77" s="119">
        <f t="shared" si="8"/>
        <v>-2075318.4154545837</v>
      </c>
      <c r="T77" s="119">
        <f t="shared" si="8"/>
        <v>-2075318.4154545837</v>
      </c>
      <c r="U77" s="119">
        <f t="shared" si="8"/>
        <v>-2075318.4154545837</v>
      </c>
      <c r="V77" s="119">
        <f t="shared" si="8"/>
        <v>-2075318.4154545837</v>
      </c>
      <c r="W77" s="119">
        <f t="shared" si="8"/>
        <v>-2075318.4154545837</v>
      </c>
      <c r="X77" s="119">
        <f t="shared" si="8"/>
        <v>-2075318.4154545837</v>
      </c>
      <c r="Y77" s="119">
        <f t="shared" si="8"/>
        <v>-2075318.4154545837</v>
      </c>
      <c r="Z77" s="119">
        <f t="shared" si="8"/>
        <v>-2075318.4154545837</v>
      </c>
      <c r="AA77" s="119">
        <f t="shared" si="8"/>
        <v>-2075318.4154545837</v>
      </c>
      <c r="AB77" s="119">
        <f t="shared" si="8"/>
        <v>-2075318.4154545837</v>
      </c>
      <c r="AC77" s="119">
        <f t="shared" si="8"/>
        <v>-2075318.4154545837</v>
      </c>
      <c r="AD77" s="119">
        <f t="shared" si="8"/>
        <v>-2075318.4154545837</v>
      </c>
      <c r="AE77" s="119">
        <f t="shared" si="8"/>
        <v>-2075318.4154545837</v>
      </c>
      <c r="AF77" s="119">
        <f t="shared" si="8"/>
        <v>-2075318.4154545837</v>
      </c>
      <c r="AG77" s="119">
        <f t="shared" si="8"/>
        <v>-2075318.4154545837</v>
      </c>
    </row>
    <row r="78" spans="1:33" x14ac:dyDescent="0.2">
      <c r="A78" s="8"/>
      <c r="B78" s="8"/>
      <c r="C78" s="4" t="str">
        <f>$C$76&amp;" - "&amp;C15</f>
        <v>Annualised capex - BK offload to WB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-44765.395044875382</v>
      </c>
      <c r="K78" s="119">
        <f t="shared" si="9"/>
        <v>-337872.14831489278</v>
      </c>
      <c r="L78" s="119">
        <f t="shared" si="9"/>
        <v>-646753.3741245328</v>
      </c>
      <c r="M78" s="119">
        <f t="shared" si="9"/>
        <v>-1392800.6578295559</v>
      </c>
      <c r="N78" s="119">
        <f t="shared" si="9"/>
        <v>-1392800.6578295559</v>
      </c>
      <c r="O78" s="119">
        <f t="shared" si="9"/>
        <v>-1392800.6578295559</v>
      </c>
      <c r="P78" s="119">
        <f t="shared" si="9"/>
        <v>-1392800.6578295559</v>
      </c>
      <c r="Q78" s="119">
        <f t="shared" si="9"/>
        <v>-1392800.6578295559</v>
      </c>
      <c r="R78" s="119">
        <f t="shared" si="9"/>
        <v>-1392800.6578295559</v>
      </c>
      <c r="S78" s="119">
        <f t="shared" si="9"/>
        <v>-1392800.6578295559</v>
      </c>
      <c r="T78" s="119">
        <f t="shared" si="9"/>
        <v>-1392800.6578295559</v>
      </c>
      <c r="U78" s="119">
        <f t="shared" si="9"/>
        <v>-1392800.6578295559</v>
      </c>
      <c r="V78" s="119">
        <f t="shared" si="9"/>
        <v>-1392800.6578295559</v>
      </c>
      <c r="W78" s="119">
        <f t="shared" si="9"/>
        <v>-1392800.6578295559</v>
      </c>
      <c r="X78" s="119">
        <f t="shared" si="9"/>
        <v>-1392800.6578295559</v>
      </c>
      <c r="Y78" s="119">
        <f t="shared" si="9"/>
        <v>-1392800.6578295559</v>
      </c>
      <c r="Z78" s="119">
        <f t="shared" si="9"/>
        <v>-1392800.6578295559</v>
      </c>
      <c r="AA78" s="119">
        <f t="shared" si="9"/>
        <v>-1392800.6578295559</v>
      </c>
      <c r="AB78" s="119">
        <f t="shared" si="9"/>
        <v>-1392800.6578295559</v>
      </c>
      <c r="AC78" s="119">
        <f t="shared" si="9"/>
        <v>-1392800.6578295559</v>
      </c>
      <c r="AD78" s="119">
        <f t="shared" si="9"/>
        <v>-1392800.6578295559</v>
      </c>
      <c r="AE78" s="119">
        <f t="shared" si="9"/>
        <v>-1392800.6578295559</v>
      </c>
      <c r="AF78" s="119">
        <f t="shared" si="9"/>
        <v>-1392800.6578295559</v>
      </c>
      <c r="AG78" s="119">
        <f t="shared" si="9"/>
        <v>-1392800.6578295559</v>
      </c>
    </row>
    <row r="79" spans="1:33" x14ac:dyDescent="0.2">
      <c r="A79" s="8"/>
      <c r="B79" s="8"/>
      <c r="C79" s="4" t="str">
        <f>$C$76&amp;" - "&amp;C16</f>
        <v>Annualised capex - F offload to CW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-44765.395044875382</v>
      </c>
      <c r="K79" s="119">
        <f t="shared" si="10"/>
        <v>-337872.14831489278</v>
      </c>
      <c r="L79" s="119">
        <f t="shared" si="10"/>
        <v>-1058595.0085373863</v>
      </c>
      <c r="M79" s="119">
        <f t="shared" si="10"/>
        <v>-1058595.0085373863</v>
      </c>
      <c r="N79" s="119">
        <f t="shared" si="10"/>
        <v>-1058595.0085373863</v>
      </c>
      <c r="O79" s="119">
        <f t="shared" si="10"/>
        <v>-1058595.0085373863</v>
      </c>
      <c r="P79" s="119">
        <f t="shared" si="10"/>
        <v>-1058595.0085373863</v>
      </c>
      <c r="Q79" s="119">
        <f t="shared" si="10"/>
        <v>-1058595.0085373863</v>
      </c>
      <c r="R79" s="119">
        <f t="shared" si="10"/>
        <v>-1058595.0085373863</v>
      </c>
      <c r="S79" s="119">
        <f t="shared" si="10"/>
        <v>-1058595.0085373863</v>
      </c>
      <c r="T79" s="119">
        <f t="shared" si="10"/>
        <v>-1058595.0085373863</v>
      </c>
      <c r="U79" s="119">
        <f t="shared" si="10"/>
        <v>-1058595.0085373863</v>
      </c>
      <c r="V79" s="119">
        <f t="shared" si="10"/>
        <v>-1058595.0085373863</v>
      </c>
      <c r="W79" s="119">
        <f t="shared" si="10"/>
        <v>-1058595.0085373863</v>
      </c>
      <c r="X79" s="119">
        <f t="shared" si="10"/>
        <v>-1058595.0085373863</v>
      </c>
      <c r="Y79" s="119">
        <f t="shared" si="10"/>
        <v>-1058595.0085373863</v>
      </c>
      <c r="Z79" s="119">
        <f t="shared" si="10"/>
        <v>-1058595.0085373863</v>
      </c>
      <c r="AA79" s="119">
        <f t="shared" si="10"/>
        <v>-1058595.0085373863</v>
      </c>
      <c r="AB79" s="119">
        <f t="shared" si="10"/>
        <v>-1058595.0085373863</v>
      </c>
      <c r="AC79" s="119">
        <f t="shared" si="10"/>
        <v>-1058595.0085373863</v>
      </c>
      <c r="AD79" s="119">
        <f t="shared" si="10"/>
        <v>-1058595.0085373863</v>
      </c>
      <c r="AE79" s="119">
        <f t="shared" si="10"/>
        <v>-1058595.0085373863</v>
      </c>
      <c r="AF79" s="119">
        <f t="shared" si="10"/>
        <v>-1058595.0085373863</v>
      </c>
      <c r="AG79" s="119">
        <f t="shared" si="10"/>
        <v>-1058595.0085373863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-89530.790089750764</v>
      </c>
      <c r="K80" s="180">
        <f t="shared" si="11"/>
        <v>-675744.29662978556</v>
      </c>
      <c r="L80" s="180">
        <f t="shared" si="11"/>
        <v>-1705348.3826619191</v>
      </c>
      <c r="M80" s="180">
        <f t="shared" si="11"/>
        <v>-2451395.6663669422</v>
      </c>
      <c r="N80" s="180">
        <f t="shared" si="11"/>
        <v>-2866459.3494578591</v>
      </c>
      <c r="O80" s="180">
        <f t="shared" si="11"/>
        <v>-3696586.7156396927</v>
      </c>
      <c r="P80" s="180">
        <f t="shared" si="11"/>
        <v>-4526714.0818215264</v>
      </c>
      <c r="Q80" s="180">
        <f t="shared" si="11"/>
        <v>-4526714.0818215264</v>
      </c>
      <c r="R80" s="180">
        <f t="shared" si="11"/>
        <v>-4526714.0818215264</v>
      </c>
      <c r="S80" s="180">
        <f t="shared" si="11"/>
        <v>-4526714.0818215264</v>
      </c>
      <c r="T80" s="180">
        <f t="shared" si="11"/>
        <v>-4526714.0818215264</v>
      </c>
      <c r="U80" s="180">
        <f t="shared" si="11"/>
        <v>-4526714.0818215264</v>
      </c>
      <c r="V80" s="180">
        <f t="shared" si="11"/>
        <v>-4526714.0818215264</v>
      </c>
      <c r="W80" s="180">
        <f t="shared" si="11"/>
        <v>-4526714.0818215264</v>
      </c>
      <c r="X80" s="180">
        <f t="shared" si="11"/>
        <v>-4526714.0818215264</v>
      </c>
      <c r="Y80" s="180">
        <f t="shared" si="11"/>
        <v>-4526714.0818215264</v>
      </c>
      <c r="Z80" s="180">
        <f t="shared" si="11"/>
        <v>-4526714.0818215264</v>
      </c>
      <c r="AA80" s="180">
        <f t="shared" si="11"/>
        <v>-4526714.0818215264</v>
      </c>
      <c r="AB80" s="180">
        <f t="shared" si="11"/>
        <v>-4526714.0818215264</v>
      </c>
      <c r="AC80" s="180">
        <f>SUM(AC77:AC79)</f>
        <v>-4526714.0818215264</v>
      </c>
      <c r="AD80" s="180">
        <f>SUM(AD77:AD79)</f>
        <v>-4526714.0818215264</v>
      </c>
      <c r="AE80" s="180">
        <f>SUM(AE77:AE79)</f>
        <v>-4526714.0818215264</v>
      </c>
      <c r="AF80" s="180">
        <f>SUM(AF77:AF79)</f>
        <v>-4526714.0818215264</v>
      </c>
      <c r="AG80" s="180">
        <f>SUM(AG77:AG79)</f>
        <v>-4526714.0818215264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-89530.790089750764</v>
      </c>
      <c r="K82" s="119">
        <f t="shared" si="13"/>
        <v>-675744.29662978556</v>
      </c>
      <c r="L82" s="119">
        <f t="shared" si="13"/>
        <v>-1705348.3826619191</v>
      </c>
      <c r="M82" s="119">
        <f t="shared" si="13"/>
        <v>-2451395.6663669422</v>
      </c>
      <c r="N82" s="119">
        <f t="shared" si="13"/>
        <v>-2866459.3494578591</v>
      </c>
      <c r="O82" s="119">
        <f t="shared" si="13"/>
        <v>-3696586.7156396927</v>
      </c>
      <c r="P82" s="119">
        <f t="shared" si="13"/>
        <v>-4526714.0818215264</v>
      </c>
      <c r="Q82" s="119">
        <f t="shared" si="13"/>
        <v>-4526714.0818215264</v>
      </c>
      <c r="R82" s="119">
        <f t="shared" si="13"/>
        <v>-4526714.0818215264</v>
      </c>
      <c r="S82" s="119">
        <f t="shared" si="13"/>
        <v>-4526714.0818215264</v>
      </c>
      <c r="T82" s="119">
        <f t="shared" si="13"/>
        <v>-4526714.0818215264</v>
      </c>
      <c r="U82" s="119">
        <f t="shared" si="13"/>
        <v>-4526714.0818215264</v>
      </c>
      <c r="V82" s="119">
        <f t="shared" si="13"/>
        <v>-4526714.0818215264</v>
      </c>
      <c r="W82" s="119">
        <f t="shared" si="13"/>
        <v>-4526714.0818215264</v>
      </c>
      <c r="X82" s="119">
        <f t="shared" si="13"/>
        <v>-4526714.0818215264</v>
      </c>
      <c r="Y82" s="119">
        <f t="shared" si="13"/>
        <v>-4526714.0818215264</v>
      </c>
      <c r="Z82" s="119">
        <f t="shared" si="13"/>
        <v>-4526714.0818215264</v>
      </c>
      <c r="AA82" s="119">
        <f t="shared" si="13"/>
        <v>-4526714.0818215264</v>
      </c>
      <c r="AB82" s="119">
        <f t="shared" si="13"/>
        <v>-4526714.0818215264</v>
      </c>
      <c r="AC82" s="119">
        <f>AC80</f>
        <v>-4526714.0818215264</v>
      </c>
      <c r="AD82" s="119">
        <f>AD80</f>
        <v>-4526714.0818215264</v>
      </c>
      <c r="AE82" s="119">
        <f>AE80</f>
        <v>-4526714.0818215264</v>
      </c>
      <c r="AF82" s="119">
        <f>AF80</f>
        <v>-4526714.0818215264</v>
      </c>
      <c r="AG82" s="119">
        <f>AG80</f>
        <v>-4526714.0818215264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2"/>
        <v>45291</v>
      </c>
      <c r="H84" s="31"/>
      <c r="I84" s="31">
        <f>I64</f>
        <v>1332.0576684927819</v>
      </c>
      <c r="J84" s="31">
        <f t="shared" ref="J84:AB84" si="15">J64</f>
        <v>14138.805372888608</v>
      </c>
      <c r="K84" s="31">
        <f t="shared" si="15"/>
        <v>1471.3092956563196</v>
      </c>
      <c r="L84" s="31">
        <f t="shared" si="15"/>
        <v>107729.52609532005</v>
      </c>
      <c r="M84" s="31">
        <f t="shared" si="15"/>
        <v>343430.67065538128</v>
      </c>
      <c r="N84" s="31">
        <f t="shared" si="15"/>
        <v>761556.60469825473</v>
      </c>
      <c r="O84" s="31">
        <f t="shared" si="15"/>
        <v>1407314.0215599011</v>
      </c>
      <c r="P84" s="31">
        <f t="shared" si="15"/>
        <v>2999976.9370818366</v>
      </c>
      <c r="Q84" s="31">
        <f t="shared" si="15"/>
        <v>6227500.1636501262</v>
      </c>
      <c r="R84" s="31">
        <f t="shared" si="15"/>
        <v>12917681.365723038</v>
      </c>
      <c r="S84" s="31">
        <f t="shared" si="15"/>
        <v>12917681.365723038</v>
      </c>
      <c r="T84" s="31">
        <f t="shared" si="15"/>
        <v>12917681.365723038</v>
      </c>
      <c r="U84" s="31">
        <f t="shared" si="15"/>
        <v>12917681.365723038</v>
      </c>
      <c r="V84" s="31">
        <f t="shared" si="15"/>
        <v>12917681.365723038</v>
      </c>
      <c r="W84" s="31">
        <f t="shared" si="15"/>
        <v>12917681.365723038</v>
      </c>
      <c r="X84" s="31">
        <f t="shared" si="15"/>
        <v>12917681.365723038</v>
      </c>
      <c r="Y84" s="31">
        <f t="shared" si="15"/>
        <v>12917681.365723038</v>
      </c>
      <c r="Z84" s="31">
        <f t="shared" si="15"/>
        <v>12917681.365723038</v>
      </c>
      <c r="AA84" s="31">
        <f t="shared" si="15"/>
        <v>12917681.365723038</v>
      </c>
      <c r="AB84" s="31">
        <f t="shared" si="15"/>
        <v>12917681.365723038</v>
      </c>
      <c r="AC84" s="31">
        <f>AC64</f>
        <v>12917681.365723038</v>
      </c>
      <c r="AD84" s="31">
        <f>AD64</f>
        <v>12917681.365723038</v>
      </c>
      <c r="AE84" s="31">
        <f>AE64</f>
        <v>12917681.365723038</v>
      </c>
      <c r="AF84" s="31">
        <f>AF64</f>
        <v>12917681.365723038</v>
      </c>
      <c r="AG84" s="31">
        <f>AG64</f>
        <v>12917681.365723038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189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1332.0576684927819</v>
      </c>
      <c r="J87" s="183">
        <f t="shared" si="17"/>
        <v>-75391.984716862149</v>
      </c>
      <c r="K87" s="183">
        <f t="shared" si="17"/>
        <v>-674272.98733412928</v>
      </c>
      <c r="L87" s="183">
        <f t="shared" si="17"/>
        <v>-1597618.8565665991</v>
      </c>
      <c r="M87" s="183">
        <f t="shared" si="17"/>
        <v>-2107964.9957115608</v>
      </c>
      <c r="N87" s="183">
        <f t="shared" si="17"/>
        <v>-2104902.7447596043</v>
      </c>
      <c r="O87" s="183">
        <f t="shared" si="17"/>
        <v>-2289272.6940797917</v>
      </c>
      <c r="P87" s="183">
        <f t="shared" si="17"/>
        <v>-1526737.1447396898</v>
      </c>
      <c r="Q87" s="183">
        <f t="shared" si="17"/>
        <v>1700786.0818285998</v>
      </c>
      <c r="R87" s="183">
        <f t="shared" si="17"/>
        <v>8390967.2839015126</v>
      </c>
      <c r="S87" s="183">
        <f t="shared" si="17"/>
        <v>8390967.2839015126</v>
      </c>
      <c r="T87" s="183">
        <f t="shared" si="17"/>
        <v>8390967.2839015126</v>
      </c>
      <c r="U87" s="183">
        <f t="shared" si="17"/>
        <v>8390967.2839015126</v>
      </c>
      <c r="V87" s="183">
        <f t="shared" si="17"/>
        <v>8390967.2839015126</v>
      </c>
      <c r="W87" s="183">
        <f t="shared" si="17"/>
        <v>8390967.2839015126</v>
      </c>
      <c r="X87" s="183">
        <f t="shared" si="17"/>
        <v>8390967.2839015126</v>
      </c>
      <c r="Y87" s="183">
        <f t="shared" si="17"/>
        <v>8390967.2839015126</v>
      </c>
      <c r="Z87" s="183">
        <f t="shared" si="17"/>
        <v>8390967.2839015126</v>
      </c>
      <c r="AA87" s="183">
        <f t="shared" si="17"/>
        <v>8390967.2839015126</v>
      </c>
      <c r="AB87" s="183">
        <f t="shared" si="17"/>
        <v>8390967.2839015126</v>
      </c>
      <c r="AC87" s="183">
        <f>SUM(AC82:AC86)</f>
        <v>8390967.2839015126</v>
      </c>
      <c r="AD87" s="183">
        <f>SUM(AD82:AD86)</f>
        <v>8390967.2839015126</v>
      </c>
      <c r="AE87" s="183">
        <f>SUM(AE82:AE86)</f>
        <v>8390967.2839015126</v>
      </c>
      <c r="AF87" s="183">
        <f>SUM(AF82:AF86)</f>
        <v>8390967.2839015126</v>
      </c>
      <c r="AG87" s="183">
        <f>SUM(AG82:AG86)</f>
        <v>8390967.2839015126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194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1332.0576684927819</v>
      </c>
      <c r="J106" s="31">
        <f t="shared" ref="J106:AG106" si="18">J87</f>
        <v>-75391.984716862149</v>
      </c>
      <c r="K106" s="31">
        <f t="shared" si="18"/>
        <v>-674272.98733412928</v>
      </c>
      <c r="L106" s="31">
        <f t="shared" si="18"/>
        <v>-1597618.8565665991</v>
      </c>
      <c r="M106" s="31">
        <f t="shared" si="18"/>
        <v>-2107964.9957115608</v>
      </c>
      <c r="N106" s="31">
        <f t="shared" si="18"/>
        <v>-2104902.7447596043</v>
      </c>
      <c r="O106" s="31">
        <f t="shared" si="18"/>
        <v>-2289272.6940797917</v>
      </c>
      <c r="P106" s="31">
        <f t="shared" si="18"/>
        <v>-1526737.1447396898</v>
      </c>
      <c r="Q106" s="31">
        <f t="shared" si="18"/>
        <v>1700786.0818285998</v>
      </c>
      <c r="R106" s="31">
        <f t="shared" si="18"/>
        <v>8390967.2839015126</v>
      </c>
      <c r="S106" s="31">
        <f t="shared" si="18"/>
        <v>8390967.2839015126</v>
      </c>
      <c r="T106" s="31">
        <f t="shared" si="18"/>
        <v>8390967.2839015126</v>
      </c>
      <c r="U106" s="31">
        <f t="shared" si="18"/>
        <v>8390967.2839015126</v>
      </c>
      <c r="V106" s="31">
        <f t="shared" si="18"/>
        <v>8390967.2839015126</v>
      </c>
      <c r="W106" s="31">
        <f t="shared" si="18"/>
        <v>8390967.2839015126</v>
      </c>
      <c r="X106" s="31">
        <f t="shared" si="18"/>
        <v>8390967.2839015126</v>
      </c>
      <c r="Y106" s="31">
        <f t="shared" si="18"/>
        <v>8390967.2839015126</v>
      </c>
      <c r="Z106" s="31">
        <f t="shared" si="18"/>
        <v>8390967.2839015126</v>
      </c>
      <c r="AA106" s="31">
        <f t="shared" si="18"/>
        <v>8390967.2839015126</v>
      </c>
      <c r="AB106" s="31">
        <f t="shared" si="18"/>
        <v>8390967.2839015126</v>
      </c>
      <c r="AC106" s="31">
        <f t="shared" si="18"/>
        <v>8390967.2839015126</v>
      </c>
      <c r="AD106" s="31">
        <f t="shared" si="18"/>
        <v>8390967.2839015126</v>
      </c>
      <c r="AE106" s="31">
        <f t="shared" si="18"/>
        <v>8390967.2839015126</v>
      </c>
      <c r="AF106" s="31">
        <f t="shared" si="18"/>
        <v>8390967.2839015126</v>
      </c>
      <c r="AG106" s="31">
        <f t="shared" si="18"/>
        <v>8390967.2839015126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-89530.790089750764</v>
      </c>
      <c r="K107" s="31">
        <f t="shared" si="19"/>
        <v>-675744.29662978556</v>
      </c>
      <c r="L107" s="31">
        <f t="shared" si="19"/>
        <v>-1705348.3826619191</v>
      </c>
      <c r="M107" s="31">
        <f t="shared" si="19"/>
        <v>-2451395.6663669422</v>
      </c>
      <c r="N107" s="31">
        <f t="shared" si="19"/>
        <v>-2866459.3494578591</v>
      </c>
      <c r="O107" s="31">
        <f t="shared" si="19"/>
        <v>-3696586.7156396927</v>
      </c>
      <c r="P107" s="31">
        <f t="shared" si="19"/>
        <v>-4526714.0818215264</v>
      </c>
      <c r="Q107" s="31">
        <f t="shared" si="19"/>
        <v>-4526714.0818215264</v>
      </c>
      <c r="R107" s="31">
        <f t="shared" si="19"/>
        <v>-4526714.0818215264</v>
      </c>
      <c r="S107" s="31">
        <f t="shared" si="19"/>
        <v>-4526714.0818215264</v>
      </c>
      <c r="T107" s="31">
        <f t="shared" si="19"/>
        <v>-4526714.0818215264</v>
      </c>
      <c r="U107" s="31">
        <f t="shared" si="19"/>
        <v>-4526714.0818215264</v>
      </c>
      <c r="V107" s="31">
        <f t="shared" si="19"/>
        <v>-4526714.0818215264</v>
      </c>
      <c r="W107" s="31">
        <f t="shared" si="19"/>
        <v>-4526714.0818215264</v>
      </c>
      <c r="X107" s="31">
        <f t="shared" si="19"/>
        <v>-4526714.0818215264</v>
      </c>
      <c r="Y107" s="31">
        <f t="shared" si="19"/>
        <v>-4526714.0818215264</v>
      </c>
      <c r="Z107" s="31">
        <f t="shared" si="19"/>
        <v>-4526714.0818215264</v>
      </c>
      <c r="AA107" s="31">
        <f t="shared" si="19"/>
        <v>-4526714.0818215264</v>
      </c>
      <c r="AB107" s="31">
        <f t="shared" si="19"/>
        <v>-4526714.0818215264</v>
      </c>
      <c r="AC107" s="31">
        <f t="shared" si="19"/>
        <v>-4526714.0818215264</v>
      </c>
      <c r="AD107" s="31">
        <f t="shared" si="19"/>
        <v>-4526714.0818215264</v>
      </c>
      <c r="AE107" s="31">
        <f t="shared" si="19"/>
        <v>-4526714.0818215264</v>
      </c>
      <c r="AF107" s="31">
        <f t="shared" si="19"/>
        <v>-4526714.0818215264</v>
      </c>
      <c r="AG107" s="31">
        <f t="shared" si="19"/>
        <v>-4526714.0818215264</v>
      </c>
    </row>
    <row r="108" spans="1:43" x14ac:dyDescent="0.2">
      <c r="C108" s="1" t="s">
        <v>242</v>
      </c>
      <c r="D108" s="257"/>
      <c r="E108" s="38"/>
      <c r="I108" s="31">
        <f>SUM(I84:I85)</f>
        <v>1332.0576684927819</v>
      </c>
      <c r="J108" s="31">
        <f t="shared" ref="J108:AG108" si="20">SUM(J84:J85)</f>
        <v>14138.805372888608</v>
      </c>
      <c r="K108" s="31">
        <f t="shared" si="20"/>
        <v>1471.3092956563196</v>
      </c>
      <c r="L108" s="31">
        <f t="shared" si="20"/>
        <v>107729.52609532005</v>
      </c>
      <c r="M108" s="31">
        <f t="shared" si="20"/>
        <v>343430.67065538128</v>
      </c>
      <c r="N108" s="31">
        <f t="shared" si="20"/>
        <v>761556.60469825473</v>
      </c>
      <c r="O108" s="31">
        <f t="shared" si="20"/>
        <v>1407314.0215599011</v>
      </c>
      <c r="P108" s="31">
        <f t="shared" si="20"/>
        <v>2999976.9370818366</v>
      </c>
      <c r="Q108" s="31">
        <f t="shared" si="20"/>
        <v>6227500.1636501262</v>
      </c>
      <c r="R108" s="31">
        <f t="shared" si="20"/>
        <v>12917681.365723038</v>
      </c>
      <c r="S108" s="31">
        <f t="shared" si="20"/>
        <v>12917681.365723038</v>
      </c>
      <c r="T108" s="31">
        <f t="shared" si="20"/>
        <v>12917681.365723038</v>
      </c>
      <c r="U108" s="31">
        <f t="shared" si="20"/>
        <v>12917681.365723038</v>
      </c>
      <c r="V108" s="31">
        <f t="shared" si="20"/>
        <v>12917681.365723038</v>
      </c>
      <c r="W108" s="31">
        <f t="shared" si="20"/>
        <v>12917681.365723038</v>
      </c>
      <c r="X108" s="31">
        <f t="shared" si="20"/>
        <v>12917681.365723038</v>
      </c>
      <c r="Y108" s="31">
        <f t="shared" si="20"/>
        <v>12917681.365723038</v>
      </c>
      <c r="Z108" s="31">
        <f t="shared" si="20"/>
        <v>12917681.365723038</v>
      </c>
      <c r="AA108" s="31">
        <f t="shared" si="20"/>
        <v>12917681.365723038</v>
      </c>
      <c r="AB108" s="31">
        <f t="shared" si="20"/>
        <v>12917681.365723038</v>
      </c>
      <c r="AC108" s="31">
        <f t="shared" si="20"/>
        <v>12917681.365723038</v>
      </c>
      <c r="AD108" s="31">
        <f t="shared" si="20"/>
        <v>12917681.365723038</v>
      </c>
      <c r="AE108" s="31">
        <f t="shared" si="20"/>
        <v>12917681.365723038</v>
      </c>
      <c r="AF108" s="31">
        <f t="shared" si="20"/>
        <v>12917681.365723038</v>
      </c>
      <c r="AG108" s="31">
        <f t="shared" si="20"/>
        <v>12917681.365723038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1332.0576684927819</v>
      </c>
      <c r="J110" s="31" cm="1">
        <f t="array" ref="J110">J$106+IF($C110&lt;&gt;0,SUMPRODUCT((J$107:J$108)*TRANSPOSE(($D110:$E110))),0)</f>
        <v>-84345.06372583723</v>
      </c>
      <c r="K110" s="31" cm="1">
        <f t="array" ref="K110">K$106+IF($C110&lt;&gt;0,SUMPRODUCT((K$107:K$108)*TRANSPOSE(($D110:$E110))),0)</f>
        <v>-741847.41699710779</v>
      </c>
      <c r="L110" s="31" cm="1">
        <f t="array" ref="L110">L$106+IF($C110&lt;&gt;0,SUMPRODUCT((L$107:L$108)*TRANSPOSE(($D110:$E110))),0)</f>
        <v>-1768153.6948327911</v>
      </c>
      <c r="M110" s="31" cm="1">
        <f t="array" ref="M110">M$106+IF($C110&lt;&gt;0,SUMPRODUCT((M$107:M$108)*TRANSPOSE(($D110:$E110))),0)</f>
        <v>-2353104.562348255</v>
      </c>
      <c r="N110" s="31" cm="1">
        <f t="array" ref="N110">N$106+IF($C110&lt;&gt;0,SUMPRODUCT((N$107:N$108)*TRANSPOSE(($D110:$E110))),0)</f>
        <v>-2391548.6797053902</v>
      </c>
      <c r="O110" s="31" cm="1">
        <f t="array" ref="O110">O$106+IF($C110&lt;&gt;0,SUMPRODUCT((O$107:O$108)*TRANSPOSE(($D110:$E110))),0)</f>
        <v>-2658931.3656437611</v>
      </c>
      <c r="P110" s="31" cm="1">
        <f t="array" ref="P110">P$106+IF($C110&lt;&gt;0,SUMPRODUCT((P$107:P$108)*TRANSPOSE(($D110:$E110))),0)</f>
        <v>-1979408.5529218423</v>
      </c>
      <c r="Q110" s="31" cm="1">
        <f t="array" ref="Q110">Q$106+IF($C110&lt;&gt;0,SUMPRODUCT((Q$107:Q$108)*TRANSPOSE(($D110:$E110))),0)</f>
        <v>1248114.6736464472</v>
      </c>
      <c r="R110" s="31" cm="1">
        <f t="array" ref="R110">R$106+IF($C110&lt;&gt;0,SUMPRODUCT((R$107:R$108)*TRANSPOSE(($D110:$E110))),0)</f>
        <v>7938295.8757193601</v>
      </c>
      <c r="S110" s="31" cm="1">
        <f t="array" ref="S110">S$106+IF($C110&lt;&gt;0,SUMPRODUCT((S$107:S$108)*TRANSPOSE(($D110:$E110))),0)</f>
        <v>7938295.8757193601</v>
      </c>
      <c r="T110" s="31" cm="1">
        <f t="array" ref="T110">T$106+IF($C110&lt;&gt;0,SUMPRODUCT((T$107:T$108)*TRANSPOSE(($D110:$E110))),0)</f>
        <v>7938295.8757193601</v>
      </c>
      <c r="U110" s="31" cm="1">
        <f t="array" ref="U110">U$106+IF($C110&lt;&gt;0,SUMPRODUCT((U$107:U$108)*TRANSPOSE(($D110:$E110))),0)</f>
        <v>7938295.8757193601</v>
      </c>
      <c r="V110" s="31" cm="1">
        <f t="array" ref="V110">V$106+IF($C110&lt;&gt;0,SUMPRODUCT((V$107:V$108)*TRANSPOSE(($D110:$E110))),0)</f>
        <v>7938295.8757193601</v>
      </c>
      <c r="W110" s="31" cm="1">
        <f t="array" ref="W110">W$106+IF($C110&lt;&gt;0,SUMPRODUCT((W$107:W$108)*TRANSPOSE(($D110:$E110))),0)</f>
        <v>7938295.8757193601</v>
      </c>
      <c r="X110" s="31" cm="1">
        <f t="array" ref="X110">X$106+IF($C110&lt;&gt;0,SUMPRODUCT((X$107:X$108)*TRANSPOSE(($D110:$E110))),0)</f>
        <v>7938295.8757193601</v>
      </c>
      <c r="Y110" s="31" cm="1">
        <f t="array" ref="Y110">Y$106+IF($C110&lt;&gt;0,SUMPRODUCT((Y$107:Y$108)*TRANSPOSE(($D110:$E110))),0)</f>
        <v>7938295.8757193601</v>
      </c>
      <c r="Z110" s="31" cm="1">
        <f t="array" ref="Z110">Z$106+IF($C110&lt;&gt;0,SUMPRODUCT((Z$107:Z$108)*TRANSPOSE(($D110:$E110))),0)</f>
        <v>7938295.8757193601</v>
      </c>
      <c r="AA110" s="31" cm="1">
        <f t="array" ref="AA110">AA$106+IF($C110&lt;&gt;0,SUMPRODUCT((AA$107:AA$108)*TRANSPOSE(($D110:$E110))),0)</f>
        <v>7938295.8757193601</v>
      </c>
      <c r="AB110" s="31" cm="1">
        <f t="array" ref="AB110">AB$106+IF($C110&lt;&gt;0,SUMPRODUCT((AB$107:AB$108)*TRANSPOSE(($D110:$E110))),0)</f>
        <v>7938295.8757193601</v>
      </c>
      <c r="AC110" s="31" cm="1">
        <f t="array" ref="AC110">AC$106+IF($C110&lt;&gt;0,SUMPRODUCT((AC$107:AC$108)*TRANSPOSE(($D110:$E110))),0)</f>
        <v>7938295.8757193601</v>
      </c>
      <c r="AD110" s="31" cm="1">
        <f t="array" ref="AD110">AD$106+IF($C110&lt;&gt;0,SUMPRODUCT((AD$107:AD$108)*TRANSPOSE(($D110:$E110))),0)</f>
        <v>7938295.8757193601</v>
      </c>
      <c r="AE110" s="31" cm="1">
        <f t="array" ref="AE110">AE$106+IF($C110&lt;&gt;0,SUMPRODUCT((AE$107:AE$108)*TRANSPOSE(($D110:$E110))),0)</f>
        <v>7938295.8757193601</v>
      </c>
      <c r="AF110" s="31" cm="1">
        <f t="array" ref="AF110">AF$106+IF($C110&lt;&gt;0,SUMPRODUCT((AF$107:AF$108)*TRANSPOSE(($D110:$E110))),0)</f>
        <v>7938295.8757193601</v>
      </c>
      <c r="AG110" s="31" cm="1">
        <f t="array" ref="AG110">AG$106+IF($C110&lt;&gt;0,SUMPRODUCT((AG$107:AG$108)*TRANSPOSE(($D110:$E110))),0)</f>
        <v>7938295.8757193601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1332.0576684927819</v>
      </c>
      <c r="J111" s="31" cm="1">
        <f t="array" ref="J111">J$106+IF($C111&lt;&gt;0,SUMPRODUCT((J$107:J$108)*TRANSPOSE(($D111:$E111))),0)</f>
        <v>-66438.905707887068</v>
      </c>
      <c r="K111" s="31" cm="1">
        <f t="array" ref="K111">K$106+IF($C111&lt;&gt;0,SUMPRODUCT((K$107:K$108)*TRANSPOSE(($D111:$E111))),0)</f>
        <v>-606698.55767115077</v>
      </c>
      <c r="L111" s="31" cm="1">
        <f t="array" ref="L111">L$106+IF($C111&lt;&gt;0,SUMPRODUCT((L$107:L$108)*TRANSPOSE(($D111:$E111))),0)</f>
        <v>-1427084.0183004071</v>
      </c>
      <c r="M111" s="31" cm="1">
        <f t="array" ref="M111">M$106+IF($C111&lt;&gt;0,SUMPRODUCT((M$107:M$108)*TRANSPOSE(($D111:$E111))),0)</f>
        <v>-1862825.4290748667</v>
      </c>
      <c r="N111" s="31" cm="1">
        <f t="array" ref="N111">N$106+IF($C111&lt;&gt;0,SUMPRODUCT((N$107:N$108)*TRANSPOSE(($D111:$E111))),0)</f>
        <v>-1818256.8098138184</v>
      </c>
      <c r="O111" s="31" cm="1">
        <f t="array" ref="O111">O$106+IF($C111&lt;&gt;0,SUMPRODUCT((O$107:O$108)*TRANSPOSE(($D111:$E111))),0)</f>
        <v>-1919614.0225158224</v>
      </c>
      <c r="P111" s="31" cm="1">
        <f t="array" ref="P111">P$106+IF($C111&lt;&gt;0,SUMPRODUCT((P$107:P$108)*TRANSPOSE(($D111:$E111))),0)</f>
        <v>-1074065.7365575372</v>
      </c>
      <c r="Q111" s="31" cm="1">
        <f t="array" ref="Q111">Q$106+IF($C111&lt;&gt;0,SUMPRODUCT((Q$107:Q$108)*TRANSPOSE(($D111:$E111))),0)</f>
        <v>2153457.4900107523</v>
      </c>
      <c r="R111" s="31" cm="1">
        <f t="array" ref="R111">R$106+IF($C111&lt;&gt;0,SUMPRODUCT((R$107:R$108)*TRANSPOSE(($D111:$E111))),0)</f>
        <v>8843638.6920836661</v>
      </c>
      <c r="S111" s="31" cm="1">
        <f t="array" ref="S111">S$106+IF($C111&lt;&gt;0,SUMPRODUCT((S$107:S$108)*TRANSPOSE(($D111:$E111))),0)</f>
        <v>8843638.6920836661</v>
      </c>
      <c r="T111" s="31" cm="1">
        <f t="array" ref="T111">T$106+IF($C111&lt;&gt;0,SUMPRODUCT((T$107:T$108)*TRANSPOSE(($D111:$E111))),0)</f>
        <v>8843638.6920836661</v>
      </c>
      <c r="U111" s="31" cm="1">
        <f t="array" ref="U111">U$106+IF($C111&lt;&gt;0,SUMPRODUCT((U$107:U$108)*TRANSPOSE(($D111:$E111))),0)</f>
        <v>8843638.6920836661</v>
      </c>
      <c r="V111" s="31" cm="1">
        <f t="array" ref="V111">V$106+IF($C111&lt;&gt;0,SUMPRODUCT((V$107:V$108)*TRANSPOSE(($D111:$E111))),0)</f>
        <v>8843638.6920836661</v>
      </c>
      <c r="W111" s="31" cm="1">
        <f t="array" ref="W111">W$106+IF($C111&lt;&gt;0,SUMPRODUCT((W$107:W$108)*TRANSPOSE(($D111:$E111))),0)</f>
        <v>8843638.6920836661</v>
      </c>
      <c r="X111" s="31" cm="1">
        <f t="array" ref="X111">X$106+IF($C111&lt;&gt;0,SUMPRODUCT((X$107:X$108)*TRANSPOSE(($D111:$E111))),0)</f>
        <v>8843638.6920836661</v>
      </c>
      <c r="Y111" s="31" cm="1">
        <f t="array" ref="Y111">Y$106+IF($C111&lt;&gt;0,SUMPRODUCT((Y$107:Y$108)*TRANSPOSE(($D111:$E111))),0)</f>
        <v>8843638.6920836661</v>
      </c>
      <c r="Z111" s="31" cm="1">
        <f t="array" ref="Z111">Z$106+IF($C111&lt;&gt;0,SUMPRODUCT((Z$107:Z$108)*TRANSPOSE(($D111:$E111))),0)</f>
        <v>8843638.6920836661</v>
      </c>
      <c r="AA111" s="31" cm="1">
        <f t="array" ref="AA111">AA$106+IF($C111&lt;&gt;0,SUMPRODUCT((AA$107:AA$108)*TRANSPOSE(($D111:$E111))),0)</f>
        <v>8843638.6920836661</v>
      </c>
      <c r="AB111" s="31" cm="1">
        <f t="array" ref="AB111">AB$106+IF($C111&lt;&gt;0,SUMPRODUCT((AB$107:AB$108)*TRANSPOSE(($D111:$E111))),0)</f>
        <v>8843638.6920836661</v>
      </c>
      <c r="AC111" s="31" cm="1">
        <f t="array" ref="AC111">AC$106+IF($C111&lt;&gt;0,SUMPRODUCT((AC$107:AC$108)*TRANSPOSE(($D111:$E111))),0)</f>
        <v>8843638.6920836661</v>
      </c>
      <c r="AD111" s="31" cm="1">
        <f t="array" ref="AD111">AD$106+IF($C111&lt;&gt;0,SUMPRODUCT((AD$107:AD$108)*TRANSPOSE(($D111:$E111))),0)</f>
        <v>8843638.6920836661</v>
      </c>
      <c r="AE111" s="31" cm="1">
        <f t="array" ref="AE111">AE$106+IF($C111&lt;&gt;0,SUMPRODUCT((AE$107:AE$108)*TRANSPOSE(($D111:$E111))),0)</f>
        <v>8843638.6920836661</v>
      </c>
      <c r="AF111" s="31" cm="1">
        <f t="array" ref="AF111">AF$106+IF($C111&lt;&gt;0,SUMPRODUCT((AF$107:AF$108)*TRANSPOSE(($D111:$E111))),0)</f>
        <v>8843638.6920836661</v>
      </c>
      <c r="AG111" s="31" cm="1">
        <f t="array" ref="AG111">AG$106+IF($C111&lt;&gt;0,SUMPRODUCT((AG$107:AG$108)*TRANSPOSE(($D111:$E111))),0)</f>
        <v>8843638.6920836661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1465.2634353420601</v>
      </c>
      <c r="J112" s="31" cm="1">
        <f t="array" ref="J112">J$106+IF($C112&lt;&gt;0,SUMPRODUCT((J$107:J$108)*TRANSPOSE(($D112:$E112))),0)</f>
        <v>-73978.104179573289</v>
      </c>
      <c r="K112" s="31" cm="1">
        <f t="array" ref="K112">K$106+IF($C112&lt;&gt;0,SUMPRODUCT((K$107:K$108)*TRANSPOSE(($D112:$E112))),0)</f>
        <v>-674125.85640456364</v>
      </c>
      <c r="L112" s="31" cm="1">
        <f t="array" ref="L112">L$106+IF($C112&lt;&gt;0,SUMPRODUCT((L$107:L$108)*TRANSPOSE(($D112:$E112))),0)</f>
        <v>-1586845.9039570671</v>
      </c>
      <c r="M112" s="31" cm="1">
        <f t="array" ref="M112">M$106+IF($C112&lt;&gt;0,SUMPRODUCT((M$107:M$108)*TRANSPOSE(($D112:$E112))),0)</f>
        <v>-2073621.9286460227</v>
      </c>
      <c r="N112" s="31" cm="1">
        <f t="array" ref="N112">N$106+IF($C112&lt;&gt;0,SUMPRODUCT((N$107:N$108)*TRANSPOSE(($D112:$E112))),0)</f>
        <v>-2028747.084289779</v>
      </c>
      <c r="O112" s="31" cm="1">
        <f t="array" ref="O112">O$106+IF($C112&lt;&gt;0,SUMPRODUCT((O$107:O$108)*TRANSPOSE(($D112:$E112))),0)</f>
        <v>-2148541.2919238014</v>
      </c>
      <c r="P112" s="31" cm="1">
        <f t="array" ref="P112">P$106+IF($C112&lt;&gt;0,SUMPRODUCT((P$107:P$108)*TRANSPOSE(($D112:$E112))),0)</f>
        <v>-1226739.4510315061</v>
      </c>
      <c r="Q112" s="31" cm="1">
        <f t="array" ref="Q112">Q$106+IF($C112&lt;&gt;0,SUMPRODUCT((Q$107:Q$108)*TRANSPOSE(($D112:$E112))),0)</f>
        <v>2323536.0981936124</v>
      </c>
      <c r="R112" s="31" cm="1">
        <f t="array" ref="R112">R$106+IF($C112&lt;&gt;0,SUMPRODUCT((R$107:R$108)*TRANSPOSE(($D112:$E112))),0)</f>
        <v>9682735.4204738159</v>
      </c>
      <c r="S112" s="31" cm="1">
        <f t="array" ref="S112">S$106+IF($C112&lt;&gt;0,SUMPRODUCT((S$107:S$108)*TRANSPOSE(($D112:$E112))),0)</f>
        <v>9682735.4204738159</v>
      </c>
      <c r="T112" s="31" cm="1">
        <f t="array" ref="T112">T$106+IF($C112&lt;&gt;0,SUMPRODUCT((T$107:T$108)*TRANSPOSE(($D112:$E112))),0)</f>
        <v>9682735.4204738159</v>
      </c>
      <c r="U112" s="31" cm="1">
        <f t="array" ref="U112">U$106+IF($C112&lt;&gt;0,SUMPRODUCT((U$107:U$108)*TRANSPOSE(($D112:$E112))),0)</f>
        <v>9682735.4204738159</v>
      </c>
      <c r="V112" s="31" cm="1">
        <f t="array" ref="V112">V$106+IF($C112&lt;&gt;0,SUMPRODUCT((V$107:V$108)*TRANSPOSE(($D112:$E112))),0)</f>
        <v>9682735.4204738159</v>
      </c>
      <c r="W112" s="31" cm="1">
        <f t="array" ref="W112">W$106+IF($C112&lt;&gt;0,SUMPRODUCT((W$107:W$108)*TRANSPOSE(($D112:$E112))),0)</f>
        <v>9682735.4204738159</v>
      </c>
      <c r="X112" s="31" cm="1">
        <f t="array" ref="X112">X$106+IF($C112&lt;&gt;0,SUMPRODUCT((X$107:X$108)*TRANSPOSE(($D112:$E112))),0)</f>
        <v>9682735.4204738159</v>
      </c>
      <c r="Y112" s="31" cm="1">
        <f t="array" ref="Y112">Y$106+IF($C112&lt;&gt;0,SUMPRODUCT((Y$107:Y$108)*TRANSPOSE(($D112:$E112))),0)</f>
        <v>9682735.4204738159</v>
      </c>
      <c r="Z112" s="31" cm="1">
        <f t="array" ref="Z112">Z$106+IF($C112&lt;&gt;0,SUMPRODUCT((Z$107:Z$108)*TRANSPOSE(($D112:$E112))),0)</f>
        <v>9682735.4204738159</v>
      </c>
      <c r="AA112" s="31" cm="1">
        <f t="array" ref="AA112">AA$106+IF($C112&lt;&gt;0,SUMPRODUCT((AA$107:AA$108)*TRANSPOSE(($D112:$E112))),0)</f>
        <v>9682735.4204738159</v>
      </c>
      <c r="AB112" s="31" cm="1">
        <f t="array" ref="AB112">AB$106+IF($C112&lt;&gt;0,SUMPRODUCT((AB$107:AB$108)*TRANSPOSE(($D112:$E112))),0)</f>
        <v>9682735.4204738159</v>
      </c>
      <c r="AC112" s="31" cm="1">
        <f t="array" ref="AC112">AC$106+IF($C112&lt;&gt;0,SUMPRODUCT((AC$107:AC$108)*TRANSPOSE(($D112:$E112))),0)</f>
        <v>9682735.4204738159</v>
      </c>
      <c r="AD112" s="31" cm="1">
        <f t="array" ref="AD112">AD$106+IF($C112&lt;&gt;0,SUMPRODUCT((AD$107:AD$108)*TRANSPOSE(($D112:$E112))),0)</f>
        <v>9682735.4204738159</v>
      </c>
      <c r="AE112" s="31" cm="1">
        <f t="array" ref="AE112">AE$106+IF($C112&lt;&gt;0,SUMPRODUCT((AE$107:AE$108)*TRANSPOSE(($D112:$E112))),0)</f>
        <v>9682735.4204738159</v>
      </c>
      <c r="AF112" s="31" cm="1">
        <f t="array" ref="AF112">AF$106+IF($C112&lt;&gt;0,SUMPRODUCT((AF$107:AF$108)*TRANSPOSE(($D112:$E112))),0)</f>
        <v>9682735.4204738159</v>
      </c>
      <c r="AG112" s="31" cm="1">
        <f t="array" ref="AG112">AG$106+IF($C112&lt;&gt;0,SUMPRODUCT((AG$107:AG$108)*TRANSPOSE(($D112:$E112))),0)</f>
        <v>9682735.4204738159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1198.8519016435037</v>
      </c>
      <c r="J113" s="31" cm="1">
        <f t="array" ref="J113">J$106+IF($C113&lt;&gt;0,SUMPRODUCT((J$107:J$108)*TRANSPOSE(($D113:$E113))),0)</f>
        <v>-76805.865254151009</v>
      </c>
      <c r="K113" s="31" cm="1">
        <f t="array" ref="K113">K$106+IF($C113&lt;&gt;0,SUMPRODUCT((K$107:K$108)*TRANSPOSE(($D113:$E113))),0)</f>
        <v>-674420.11826369492</v>
      </c>
      <c r="L113" s="31" cm="1">
        <f t="array" ref="L113">L$106+IF($C113&lt;&gt;0,SUMPRODUCT((L$107:L$108)*TRANSPOSE(($D113:$E113))),0)</f>
        <v>-1608391.8091761312</v>
      </c>
      <c r="M113" s="31" cm="1">
        <f t="array" ref="M113">M$106+IF($C113&lt;&gt;0,SUMPRODUCT((M$107:M$108)*TRANSPOSE(($D113:$E113))),0)</f>
        <v>-2142308.0627770987</v>
      </c>
      <c r="N113" s="31" cm="1">
        <f t="array" ref="N113">N$106+IF($C113&lt;&gt;0,SUMPRODUCT((N$107:N$108)*TRANSPOSE(($D113:$E113))),0)</f>
        <v>-2181058.4052294297</v>
      </c>
      <c r="O113" s="31" cm="1">
        <f t="array" ref="O113">O$106+IF($C113&lt;&gt;0,SUMPRODUCT((O$107:O$108)*TRANSPOSE(($D113:$E113))),0)</f>
        <v>-2430004.0962357819</v>
      </c>
      <c r="P113" s="31" cm="1">
        <f t="array" ref="P113">P$106+IF($C113&lt;&gt;0,SUMPRODUCT((P$107:P$108)*TRANSPOSE(($D113:$E113))),0)</f>
        <v>-1826734.8384478735</v>
      </c>
      <c r="Q113" s="31" cm="1">
        <f t="array" ref="Q113">Q$106+IF($C113&lt;&gt;0,SUMPRODUCT((Q$107:Q$108)*TRANSPOSE(($D113:$E113))),0)</f>
        <v>1078036.0654635872</v>
      </c>
      <c r="R113" s="31" cm="1">
        <f t="array" ref="R113">R$106+IF($C113&lt;&gt;0,SUMPRODUCT((R$107:R$108)*TRANSPOSE(($D113:$E113))),0)</f>
        <v>7099199.1473292084</v>
      </c>
      <c r="S113" s="31" cm="1">
        <f t="array" ref="S113">S$106+IF($C113&lt;&gt;0,SUMPRODUCT((S$107:S$108)*TRANSPOSE(($D113:$E113))),0)</f>
        <v>7099199.1473292084</v>
      </c>
      <c r="T113" s="31" cm="1">
        <f t="array" ref="T113">T$106+IF($C113&lt;&gt;0,SUMPRODUCT((T$107:T$108)*TRANSPOSE(($D113:$E113))),0)</f>
        <v>7099199.1473292084</v>
      </c>
      <c r="U113" s="31" cm="1">
        <f t="array" ref="U113">U$106+IF($C113&lt;&gt;0,SUMPRODUCT((U$107:U$108)*TRANSPOSE(($D113:$E113))),0)</f>
        <v>7099199.1473292084</v>
      </c>
      <c r="V113" s="31" cm="1">
        <f t="array" ref="V113">V$106+IF($C113&lt;&gt;0,SUMPRODUCT((V$107:V$108)*TRANSPOSE(($D113:$E113))),0)</f>
        <v>7099199.1473292084</v>
      </c>
      <c r="W113" s="31" cm="1">
        <f t="array" ref="W113">W$106+IF($C113&lt;&gt;0,SUMPRODUCT((W$107:W$108)*TRANSPOSE(($D113:$E113))),0)</f>
        <v>7099199.1473292084</v>
      </c>
      <c r="X113" s="31" cm="1">
        <f t="array" ref="X113">X$106+IF($C113&lt;&gt;0,SUMPRODUCT((X$107:X$108)*TRANSPOSE(($D113:$E113))),0)</f>
        <v>7099199.1473292084</v>
      </c>
      <c r="Y113" s="31" cm="1">
        <f t="array" ref="Y113">Y$106+IF($C113&lt;&gt;0,SUMPRODUCT((Y$107:Y$108)*TRANSPOSE(($D113:$E113))),0)</f>
        <v>7099199.1473292084</v>
      </c>
      <c r="Z113" s="31" cm="1">
        <f t="array" ref="Z113">Z$106+IF($C113&lt;&gt;0,SUMPRODUCT((Z$107:Z$108)*TRANSPOSE(($D113:$E113))),0)</f>
        <v>7099199.1473292084</v>
      </c>
      <c r="AA113" s="31" cm="1">
        <f t="array" ref="AA113">AA$106+IF($C113&lt;&gt;0,SUMPRODUCT((AA$107:AA$108)*TRANSPOSE(($D113:$E113))),0)</f>
        <v>7099199.1473292084</v>
      </c>
      <c r="AB113" s="31" cm="1">
        <f t="array" ref="AB113">AB$106+IF($C113&lt;&gt;0,SUMPRODUCT((AB$107:AB$108)*TRANSPOSE(($D113:$E113))),0)</f>
        <v>7099199.1473292084</v>
      </c>
      <c r="AC113" s="31" cm="1">
        <f t="array" ref="AC113">AC$106+IF($C113&lt;&gt;0,SUMPRODUCT((AC$107:AC$108)*TRANSPOSE(($D113:$E113))),0)</f>
        <v>7099199.1473292084</v>
      </c>
      <c r="AD113" s="31" cm="1">
        <f t="array" ref="AD113">AD$106+IF($C113&lt;&gt;0,SUMPRODUCT((AD$107:AD$108)*TRANSPOSE(($D113:$E113))),0)</f>
        <v>7099199.1473292084</v>
      </c>
      <c r="AE113" s="31" cm="1">
        <f t="array" ref="AE113">AE$106+IF($C113&lt;&gt;0,SUMPRODUCT((AE$107:AE$108)*TRANSPOSE(($D113:$E113))),0)</f>
        <v>7099199.1473292084</v>
      </c>
      <c r="AF113" s="31" cm="1">
        <f t="array" ref="AF113">AF$106+IF($C113&lt;&gt;0,SUMPRODUCT((AF$107:AF$108)*TRANSPOSE(($D113:$E113))),0)</f>
        <v>7099199.1473292084</v>
      </c>
      <c r="AG113" s="31" cm="1">
        <f t="array" ref="AG113">AG$106+IF($C113&lt;&gt;0,SUMPRODUCT((AG$107:AG$108)*TRANSPOSE(($D113:$E113))),0)</f>
        <v>7099199.1473292084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1198.8519016435037</v>
      </c>
      <c r="J114" s="31" cm="1">
        <f t="array" ref="J114">J$106+IF($C114&lt;&gt;0,SUMPRODUCT((J$107:J$108)*TRANSPOSE(($D114:$E114))),0)</f>
        <v>-85758.94426312609</v>
      </c>
      <c r="K114" s="31" cm="1">
        <f t="array" ref="K114">K$106+IF($C114&lt;&gt;0,SUMPRODUCT((K$107:K$108)*TRANSPOSE(($D114:$E114))),0)</f>
        <v>-741994.54792667343</v>
      </c>
      <c r="L114" s="31" cm="1">
        <f t="array" ref="L114">L$106+IF($C114&lt;&gt;0,SUMPRODUCT((L$107:L$108)*TRANSPOSE(($D114:$E114))),0)</f>
        <v>-1778926.6474423232</v>
      </c>
      <c r="M114" s="31" cm="1">
        <f t="array" ref="M114">M$106+IF($C114&lt;&gt;0,SUMPRODUCT((M$107:M$108)*TRANSPOSE(($D114:$E114))),0)</f>
        <v>-2387447.6294137933</v>
      </c>
      <c r="N114" s="31" cm="1">
        <f t="array" ref="N114">N$106+IF($C114&lt;&gt;0,SUMPRODUCT((N$107:N$108)*TRANSPOSE(($D114:$E114))),0)</f>
        <v>-2467704.3401752156</v>
      </c>
      <c r="O114" s="31" cm="1">
        <f t="array" ref="O114">O$106+IF($C114&lt;&gt;0,SUMPRODUCT((O$107:O$108)*TRANSPOSE(($D114:$E114))),0)</f>
        <v>-2799662.7677997509</v>
      </c>
      <c r="P114" s="31" cm="1">
        <f t="array" ref="P114">P$106+IF($C114&lt;&gt;0,SUMPRODUCT((P$107:P$108)*TRANSPOSE(($D114:$E114))),0)</f>
        <v>-2279406.246630026</v>
      </c>
      <c r="Q114" s="31" cm="1">
        <f t="array" ref="Q114">Q$106+IF($C114&lt;&gt;0,SUMPRODUCT((Q$107:Q$108)*TRANSPOSE(($D114:$E114))),0)</f>
        <v>625364.65728143463</v>
      </c>
      <c r="R114" s="31" cm="1">
        <f t="array" ref="R114">R$106+IF($C114&lt;&gt;0,SUMPRODUCT((R$107:R$108)*TRANSPOSE(($D114:$E114))),0)</f>
        <v>6646527.7391470559</v>
      </c>
      <c r="S114" s="31" cm="1">
        <f t="array" ref="S114">S$106+IF($C114&lt;&gt;0,SUMPRODUCT((S$107:S$108)*TRANSPOSE(($D114:$E114))),0)</f>
        <v>6646527.7391470559</v>
      </c>
      <c r="T114" s="31" cm="1">
        <f t="array" ref="T114">T$106+IF($C114&lt;&gt;0,SUMPRODUCT((T$107:T$108)*TRANSPOSE(($D114:$E114))),0)</f>
        <v>6646527.7391470559</v>
      </c>
      <c r="U114" s="31" cm="1">
        <f t="array" ref="U114">U$106+IF($C114&lt;&gt;0,SUMPRODUCT((U$107:U$108)*TRANSPOSE(($D114:$E114))),0)</f>
        <v>6646527.7391470559</v>
      </c>
      <c r="V114" s="31" cm="1">
        <f t="array" ref="V114">V$106+IF($C114&lt;&gt;0,SUMPRODUCT((V$107:V$108)*TRANSPOSE(($D114:$E114))),0)</f>
        <v>6646527.7391470559</v>
      </c>
      <c r="W114" s="31" cm="1">
        <f t="array" ref="W114">W$106+IF($C114&lt;&gt;0,SUMPRODUCT((W$107:W$108)*TRANSPOSE(($D114:$E114))),0)</f>
        <v>6646527.7391470559</v>
      </c>
      <c r="X114" s="31" cm="1">
        <f t="array" ref="X114">X$106+IF($C114&lt;&gt;0,SUMPRODUCT((X$107:X$108)*TRANSPOSE(($D114:$E114))),0)</f>
        <v>6646527.7391470559</v>
      </c>
      <c r="Y114" s="31" cm="1">
        <f t="array" ref="Y114">Y$106+IF($C114&lt;&gt;0,SUMPRODUCT((Y$107:Y$108)*TRANSPOSE(($D114:$E114))),0)</f>
        <v>6646527.7391470559</v>
      </c>
      <c r="Z114" s="31" cm="1">
        <f t="array" ref="Z114">Z$106+IF($C114&lt;&gt;0,SUMPRODUCT((Z$107:Z$108)*TRANSPOSE(($D114:$E114))),0)</f>
        <v>6646527.7391470559</v>
      </c>
      <c r="AA114" s="31" cm="1">
        <f t="array" ref="AA114">AA$106+IF($C114&lt;&gt;0,SUMPRODUCT((AA$107:AA$108)*TRANSPOSE(($D114:$E114))),0)</f>
        <v>6646527.7391470559</v>
      </c>
      <c r="AB114" s="31" cm="1">
        <f t="array" ref="AB114">AB$106+IF($C114&lt;&gt;0,SUMPRODUCT((AB$107:AB$108)*TRANSPOSE(($D114:$E114))),0)</f>
        <v>6646527.7391470559</v>
      </c>
      <c r="AC114" s="31" cm="1">
        <f t="array" ref="AC114">AC$106+IF($C114&lt;&gt;0,SUMPRODUCT((AC$107:AC$108)*TRANSPOSE(($D114:$E114))),0)</f>
        <v>6646527.7391470559</v>
      </c>
      <c r="AD114" s="31" cm="1">
        <f t="array" ref="AD114">AD$106+IF($C114&lt;&gt;0,SUMPRODUCT((AD$107:AD$108)*TRANSPOSE(($D114:$E114))),0)</f>
        <v>6646527.7391470559</v>
      </c>
      <c r="AE114" s="31" cm="1">
        <f t="array" ref="AE114">AE$106+IF($C114&lt;&gt;0,SUMPRODUCT((AE$107:AE$108)*TRANSPOSE(($D114:$E114))),0)</f>
        <v>6646527.7391470559</v>
      </c>
      <c r="AF114" s="31" cm="1">
        <f t="array" ref="AF114">AF$106+IF($C114&lt;&gt;0,SUMPRODUCT((AF$107:AF$108)*TRANSPOSE(($D114:$E114))),0)</f>
        <v>6646527.7391470559</v>
      </c>
      <c r="AG114" s="31" cm="1">
        <f t="array" ref="AG114">AG$106+IF($C114&lt;&gt;0,SUMPRODUCT((AG$107:AG$108)*TRANSPOSE(($D114:$E114))),0)</f>
        <v>6646527.7391470559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1332.0576684927819</v>
      </c>
      <c r="J115" s="31" cm="1">
        <f t="array" ref="J115">J$106+IF($C115&lt;&gt;0,SUMPRODUCT((J$107:J$108)*TRANSPOSE(($D115:$E115))),0)</f>
        <v>-75391.984716862149</v>
      </c>
      <c r="K115" s="31" cm="1">
        <f t="array" ref="K115">K$106+IF($C115&lt;&gt;0,SUMPRODUCT((K$107:K$108)*TRANSPOSE(($D115:$E115))),0)</f>
        <v>-674272.98733412928</v>
      </c>
      <c r="L115" s="31" cm="1">
        <f t="array" ref="L115">L$106+IF($C115&lt;&gt;0,SUMPRODUCT((L$107:L$108)*TRANSPOSE(($D115:$E115))),0)</f>
        <v>-1597618.8565665991</v>
      </c>
      <c r="M115" s="31" cm="1">
        <f t="array" ref="M115">M$106+IF($C115&lt;&gt;0,SUMPRODUCT((M$107:M$108)*TRANSPOSE(($D115:$E115))),0)</f>
        <v>-2107964.9957115608</v>
      </c>
      <c r="N115" s="31" cm="1">
        <f t="array" ref="N115">N$106+IF($C115&lt;&gt;0,SUMPRODUCT((N$107:N$108)*TRANSPOSE(($D115:$E115))),0)</f>
        <v>-2104902.7447596043</v>
      </c>
      <c r="O115" s="31" cm="1">
        <f t="array" ref="O115">O$106+IF($C115&lt;&gt;0,SUMPRODUCT((O$107:O$108)*TRANSPOSE(($D115:$E115))),0)</f>
        <v>-2289272.6940797917</v>
      </c>
      <c r="P115" s="31" cm="1">
        <f t="array" ref="P115">P$106+IF($C115&lt;&gt;0,SUMPRODUCT((P$107:P$108)*TRANSPOSE(($D115:$E115))),0)</f>
        <v>-1526737.1447396898</v>
      </c>
      <c r="Q115" s="31" cm="1">
        <f t="array" ref="Q115">Q$106+IF($C115&lt;&gt;0,SUMPRODUCT((Q$107:Q$108)*TRANSPOSE(($D115:$E115))),0)</f>
        <v>1700786.0818285998</v>
      </c>
      <c r="R115" s="31" cm="1">
        <f t="array" ref="R115">R$106+IF($C115&lt;&gt;0,SUMPRODUCT((R$107:R$108)*TRANSPOSE(($D115:$E115))),0)</f>
        <v>8390967.2839015126</v>
      </c>
      <c r="S115" s="31" cm="1">
        <f t="array" ref="S115">S$106+IF($C115&lt;&gt;0,SUMPRODUCT((S$107:S$108)*TRANSPOSE(($D115:$E115))),0)</f>
        <v>8390967.2839015126</v>
      </c>
      <c r="T115" s="31" cm="1">
        <f t="array" ref="T115">T$106+IF($C115&lt;&gt;0,SUMPRODUCT((T$107:T$108)*TRANSPOSE(($D115:$E115))),0)</f>
        <v>8390967.2839015126</v>
      </c>
      <c r="U115" s="31" cm="1">
        <f t="array" ref="U115">U$106+IF($C115&lt;&gt;0,SUMPRODUCT((U$107:U$108)*TRANSPOSE(($D115:$E115))),0)</f>
        <v>8390967.2839015126</v>
      </c>
      <c r="V115" s="31" cm="1">
        <f t="array" ref="V115">V$106+IF($C115&lt;&gt;0,SUMPRODUCT((V$107:V$108)*TRANSPOSE(($D115:$E115))),0)</f>
        <v>8390967.2839015126</v>
      </c>
      <c r="W115" s="31" cm="1">
        <f t="array" ref="W115">W$106+IF($C115&lt;&gt;0,SUMPRODUCT((W$107:W$108)*TRANSPOSE(($D115:$E115))),0)</f>
        <v>8390967.2839015126</v>
      </c>
      <c r="X115" s="31" cm="1">
        <f t="array" ref="X115">X$106+IF($C115&lt;&gt;0,SUMPRODUCT((X$107:X$108)*TRANSPOSE(($D115:$E115))),0)</f>
        <v>8390967.2839015126</v>
      </c>
      <c r="Y115" s="31" cm="1">
        <f t="array" ref="Y115">Y$106+IF($C115&lt;&gt;0,SUMPRODUCT((Y$107:Y$108)*TRANSPOSE(($D115:$E115))),0)</f>
        <v>8390967.2839015126</v>
      </c>
      <c r="Z115" s="31" cm="1">
        <f t="array" ref="Z115">Z$106+IF($C115&lt;&gt;0,SUMPRODUCT((Z$107:Z$108)*TRANSPOSE(($D115:$E115))),0)</f>
        <v>8390967.2839015126</v>
      </c>
      <c r="AA115" s="31" cm="1">
        <f t="array" ref="AA115">AA$106+IF($C115&lt;&gt;0,SUMPRODUCT((AA$107:AA$108)*TRANSPOSE(($D115:$E115))),0)</f>
        <v>8390967.2839015126</v>
      </c>
      <c r="AB115" s="31" cm="1">
        <f t="array" ref="AB115">AB$106+IF($C115&lt;&gt;0,SUMPRODUCT((AB$107:AB$108)*TRANSPOSE(($D115:$E115))),0)</f>
        <v>8390967.2839015126</v>
      </c>
      <c r="AC115" s="31" cm="1">
        <f t="array" ref="AC115">AC$106+IF($C115&lt;&gt;0,SUMPRODUCT((AC$107:AC$108)*TRANSPOSE(($D115:$E115))),0)</f>
        <v>8390967.2839015126</v>
      </c>
      <c r="AD115" s="31" cm="1">
        <f t="array" ref="AD115">AD$106+IF($C115&lt;&gt;0,SUMPRODUCT((AD$107:AD$108)*TRANSPOSE(($D115:$E115))),0)</f>
        <v>8390967.2839015126</v>
      </c>
      <c r="AE115" s="31" cm="1">
        <f t="array" ref="AE115">AE$106+IF($C115&lt;&gt;0,SUMPRODUCT((AE$107:AE$108)*TRANSPOSE(($D115:$E115))),0)</f>
        <v>8390967.2839015126</v>
      </c>
      <c r="AF115" s="31" cm="1">
        <f t="array" ref="AF115">AF$106+IF($C115&lt;&gt;0,SUMPRODUCT((AF$107:AF$108)*TRANSPOSE(($D115:$E115))),0)</f>
        <v>8390967.2839015126</v>
      </c>
      <c r="AG115" s="31" cm="1">
        <f t="array" ref="AG115">AG$106+IF($C115&lt;&gt;0,SUMPRODUCT((AG$107:AG$108)*TRANSPOSE(($D115:$E115))),0)</f>
        <v>8390967.2839015126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1332.0576684927819</v>
      </c>
      <c r="J116" s="31" cm="1">
        <f t="array" ref="J116">J$106+IF($C116&lt;&gt;0,SUMPRODUCT((J$107:J$108)*TRANSPOSE(($D116:$E116))),0)</f>
        <v>-75391.984716862149</v>
      </c>
      <c r="K116" s="31" cm="1">
        <f t="array" ref="K116">K$106+IF($C116&lt;&gt;0,SUMPRODUCT((K$107:K$108)*TRANSPOSE(($D116:$E116))),0)</f>
        <v>-674272.98733412928</v>
      </c>
      <c r="L116" s="31" cm="1">
        <f t="array" ref="L116">L$106+IF($C116&lt;&gt;0,SUMPRODUCT((L$107:L$108)*TRANSPOSE(($D116:$E116))),0)</f>
        <v>-1597618.8565665991</v>
      </c>
      <c r="M116" s="31" cm="1">
        <f t="array" ref="M116">M$106+IF($C116&lt;&gt;0,SUMPRODUCT((M$107:M$108)*TRANSPOSE(($D116:$E116))),0)</f>
        <v>-2107964.9957115608</v>
      </c>
      <c r="N116" s="31" cm="1">
        <f t="array" ref="N116">N$106+IF($C116&lt;&gt;0,SUMPRODUCT((N$107:N$108)*TRANSPOSE(($D116:$E116))),0)</f>
        <v>-2104902.7447596043</v>
      </c>
      <c r="O116" s="31" cm="1">
        <f t="array" ref="O116">O$106+IF($C116&lt;&gt;0,SUMPRODUCT((O$107:O$108)*TRANSPOSE(($D116:$E116))),0)</f>
        <v>-2289272.6940797917</v>
      </c>
      <c r="P116" s="31" cm="1">
        <f t="array" ref="P116">P$106+IF($C116&lt;&gt;0,SUMPRODUCT((P$107:P$108)*TRANSPOSE(($D116:$E116))),0)</f>
        <v>-1526737.1447396898</v>
      </c>
      <c r="Q116" s="31" cm="1">
        <f t="array" ref="Q116">Q$106+IF($C116&lt;&gt;0,SUMPRODUCT((Q$107:Q$108)*TRANSPOSE(($D116:$E116))),0)</f>
        <v>1700786.0818285998</v>
      </c>
      <c r="R116" s="31" cm="1">
        <f t="array" ref="R116">R$106+IF($C116&lt;&gt;0,SUMPRODUCT((R$107:R$108)*TRANSPOSE(($D116:$E116))),0)</f>
        <v>8390967.2839015126</v>
      </c>
      <c r="S116" s="31" cm="1">
        <f t="array" ref="S116">S$106+IF($C116&lt;&gt;0,SUMPRODUCT((S$107:S$108)*TRANSPOSE(($D116:$E116))),0)</f>
        <v>8390967.2839015126</v>
      </c>
      <c r="T116" s="31" cm="1">
        <f t="array" ref="T116">T$106+IF($C116&lt;&gt;0,SUMPRODUCT((T$107:T$108)*TRANSPOSE(($D116:$E116))),0)</f>
        <v>8390967.2839015126</v>
      </c>
      <c r="U116" s="31" cm="1">
        <f t="array" ref="U116">U$106+IF($C116&lt;&gt;0,SUMPRODUCT((U$107:U$108)*TRANSPOSE(($D116:$E116))),0)</f>
        <v>8390967.2839015126</v>
      </c>
      <c r="V116" s="31" cm="1">
        <f t="array" ref="V116">V$106+IF($C116&lt;&gt;0,SUMPRODUCT((V$107:V$108)*TRANSPOSE(($D116:$E116))),0)</f>
        <v>8390967.2839015126</v>
      </c>
      <c r="W116" s="31" cm="1">
        <f t="array" ref="W116">W$106+IF($C116&lt;&gt;0,SUMPRODUCT((W$107:W$108)*TRANSPOSE(($D116:$E116))),0)</f>
        <v>8390967.2839015126</v>
      </c>
      <c r="X116" s="31" cm="1">
        <f t="array" ref="X116">X$106+IF($C116&lt;&gt;0,SUMPRODUCT((X$107:X$108)*TRANSPOSE(($D116:$E116))),0)</f>
        <v>8390967.2839015126</v>
      </c>
      <c r="Y116" s="31" cm="1">
        <f t="array" ref="Y116">Y$106+IF($C116&lt;&gt;0,SUMPRODUCT((Y$107:Y$108)*TRANSPOSE(($D116:$E116))),0)</f>
        <v>8390967.2839015126</v>
      </c>
      <c r="Z116" s="31" cm="1">
        <f t="array" ref="Z116">Z$106+IF($C116&lt;&gt;0,SUMPRODUCT((Z$107:Z$108)*TRANSPOSE(($D116:$E116))),0)</f>
        <v>8390967.2839015126</v>
      </c>
      <c r="AA116" s="31" cm="1">
        <f t="array" ref="AA116">AA$106+IF($C116&lt;&gt;0,SUMPRODUCT((AA$107:AA$108)*TRANSPOSE(($D116:$E116))),0)</f>
        <v>8390967.2839015126</v>
      </c>
      <c r="AB116" s="31" cm="1">
        <f t="array" ref="AB116">AB$106+IF($C116&lt;&gt;0,SUMPRODUCT((AB$107:AB$108)*TRANSPOSE(($D116:$E116))),0)</f>
        <v>8390967.2839015126</v>
      </c>
      <c r="AC116" s="31" cm="1">
        <f t="array" ref="AC116">AC$106+IF($C116&lt;&gt;0,SUMPRODUCT((AC$107:AC$108)*TRANSPOSE(($D116:$E116))),0)</f>
        <v>8390967.2839015126</v>
      </c>
      <c r="AD116" s="31" cm="1">
        <f t="array" ref="AD116">AD$106+IF($C116&lt;&gt;0,SUMPRODUCT((AD$107:AD$108)*TRANSPOSE(($D116:$E116))),0)</f>
        <v>8390967.2839015126</v>
      </c>
      <c r="AE116" s="31" cm="1">
        <f t="array" ref="AE116">AE$106+IF($C116&lt;&gt;0,SUMPRODUCT((AE$107:AE$108)*TRANSPOSE(($D116:$E116))),0)</f>
        <v>8390967.2839015126</v>
      </c>
      <c r="AF116" s="31" cm="1">
        <f t="array" ref="AF116">AF$106+IF($C116&lt;&gt;0,SUMPRODUCT((AF$107:AF$108)*TRANSPOSE(($D116:$E116))),0)</f>
        <v>8390967.2839015126</v>
      </c>
      <c r="AG116" s="31" cm="1">
        <f t="array" ref="AG116">AG$106+IF($C116&lt;&gt;0,SUMPRODUCT((AG$107:AG$108)*TRANSPOSE(($D116:$E116))),0)</f>
        <v>8390967.2839015126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1332.0576684927819</v>
      </c>
      <c r="J117" s="31" cm="1">
        <f t="array" ref="J117">J$106+IF($C117&lt;&gt;0,SUMPRODUCT((J$107:J$108)*TRANSPOSE(($D117:$E117))),0)</f>
        <v>-75391.984716862149</v>
      </c>
      <c r="K117" s="31" cm="1">
        <f t="array" ref="K117">K$106+IF($C117&lt;&gt;0,SUMPRODUCT((K$107:K$108)*TRANSPOSE(($D117:$E117))),0)</f>
        <v>-674272.98733412928</v>
      </c>
      <c r="L117" s="31" cm="1">
        <f t="array" ref="L117">L$106+IF($C117&lt;&gt;0,SUMPRODUCT((L$107:L$108)*TRANSPOSE(($D117:$E117))),0)</f>
        <v>-1597618.8565665991</v>
      </c>
      <c r="M117" s="31" cm="1">
        <f t="array" ref="M117">M$106+IF($C117&lt;&gt;0,SUMPRODUCT((M$107:M$108)*TRANSPOSE(($D117:$E117))),0)</f>
        <v>-2107964.9957115608</v>
      </c>
      <c r="N117" s="31" cm="1">
        <f t="array" ref="N117">N$106+IF($C117&lt;&gt;0,SUMPRODUCT((N$107:N$108)*TRANSPOSE(($D117:$E117))),0)</f>
        <v>-2104902.7447596043</v>
      </c>
      <c r="O117" s="31" cm="1">
        <f t="array" ref="O117">O$106+IF($C117&lt;&gt;0,SUMPRODUCT((O$107:O$108)*TRANSPOSE(($D117:$E117))),0)</f>
        <v>-2289272.6940797917</v>
      </c>
      <c r="P117" s="31" cm="1">
        <f t="array" ref="P117">P$106+IF($C117&lt;&gt;0,SUMPRODUCT((P$107:P$108)*TRANSPOSE(($D117:$E117))),0)</f>
        <v>-1526737.1447396898</v>
      </c>
      <c r="Q117" s="31" cm="1">
        <f t="array" ref="Q117">Q$106+IF($C117&lt;&gt;0,SUMPRODUCT((Q$107:Q$108)*TRANSPOSE(($D117:$E117))),0)</f>
        <v>1700786.0818285998</v>
      </c>
      <c r="R117" s="31" cm="1">
        <f t="array" ref="R117">R$106+IF($C117&lt;&gt;0,SUMPRODUCT((R$107:R$108)*TRANSPOSE(($D117:$E117))),0)</f>
        <v>8390967.2839015126</v>
      </c>
      <c r="S117" s="31" cm="1">
        <f t="array" ref="S117">S$106+IF($C117&lt;&gt;0,SUMPRODUCT((S$107:S$108)*TRANSPOSE(($D117:$E117))),0)</f>
        <v>8390967.2839015126</v>
      </c>
      <c r="T117" s="31" cm="1">
        <f t="array" ref="T117">T$106+IF($C117&lt;&gt;0,SUMPRODUCT((T$107:T$108)*TRANSPOSE(($D117:$E117))),0)</f>
        <v>8390967.2839015126</v>
      </c>
      <c r="U117" s="31" cm="1">
        <f t="array" ref="U117">U$106+IF($C117&lt;&gt;0,SUMPRODUCT((U$107:U$108)*TRANSPOSE(($D117:$E117))),0)</f>
        <v>8390967.2839015126</v>
      </c>
      <c r="V117" s="31" cm="1">
        <f t="array" ref="V117">V$106+IF($C117&lt;&gt;0,SUMPRODUCT((V$107:V$108)*TRANSPOSE(($D117:$E117))),0)</f>
        <v>8390967.2839015126</v>
      </c>
      <c r="W117" s="31" cm="1">
        <f t="array" ref="W117">W$106+IF($C117&lt;&gt;0,SUMPRODUCT((W$107:W$108)*TRANSPOSE(($D117:$E117))),0)</f>
        <v>8390967.2839015126</v>
      </c>
      <c r="X117" s="31" cm="1">
        <f t="array" ref="X117">X$106+IF($C117&lt;&gt;0,SUMPRODUCT((X$107:X$108)*TRANSPOSE(($D117:$E117))),0)</f>
        <v>8390967.2839015126</v>
      </c>
      <c r="Y117" s="31" cm="1">
        <f t="array" ref="Y117">Y$106+IF($C117&lt;&gt;0,SUMPRODUCT((Y$107:Y$108)*TRANSPOSE(($D117:$E117))),0)</f>
        <v>8390967.2839015126</v>
      </c>
      <c r="Z117" s="31" cm="1">
        <f t="array" ref="Z117">Z$106+IF($C117&lt;&gt;0,SUMPRODUCT((Z$107:Z$108)*TRANSPOSE(($D117:$E117))),0)</f>
        <v>8390967.2839015126</v>
      </c>
      <c r="AA117" s="31" cm="1">
        <f t="array" ref="AA117">AA$106+IF($C117&lt;&gt;0,SUMPRODUCT((AA$107:AA$108)*TRANSPOSE(($D117:$E117))),0)</f>
        <v>8390967.2839015126</v>
      </c>
      <c r="AB117" s="31" cm="1">
        <f t="array" ref="AB117">AB$106+IF($C117&lt;&gt;0,SUMPRODUCT((AB$107:AB$108)*TRANSPOSE(($D117:$E117))),0)</f>
        <v>8390967.2839015126</v>
      </c>
      <c r="AC117" s="31" cm="1">
        <f t="array" ref="AC117">AC$106+IF($C117&lt;&gt;0,SUMPRODUCT((AC$107:AC$108)*TRANSPOSE(($D117:$E117))),0)</f>
        <v>8390967.2839015126</v>
      </c>
      <c r="AD117" s="31" cm="1">
        <f t="array" ref="AD117">AD$106+IF($C117&lt;&gt;0,SUMPRODUCT((AD$107:AD$108)*TRANSPOSE(($D117:$E117))),0)</f>
        <v>8390967.2839015126</v>
      </c>
      <c r="AE117" s="31" cm="1">
        <f t="array" ref="AE117">AE$106+IF($C117&lt;&gt;0,SUMPRODUCT((AE$107:AE$108)*TRANSPOSE(($D117:$E117))),0)</f>
        <v>8390967.2839015126</v>
      </c>
      <c r="AF117" s="31" cm="1">
        <f t="array" ref="AF117">AF$106+IF($C117&lt;&gt;0,SUMPRODUCT((AF$107:AF$108)*TRANSPOSE(($D117:$E117))),0)</f>
        <v>8390967.2839015126</v>
      </c>
      <c r="AG117" s="31" cm="1">
        <f t="array" ref="AG117">AG$106+IF($C117&lt;&gt;0,SUMPRODUCT((AG$107:AG$108)*TRANSPOSE(($D117:$E117))),0)</f>
        <v>8390967.2839015126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K14" sqref="K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Brunswick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New third transformer at CW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250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5460000</v>
      </c>
      <c r="O14" s="32">
        <v>5460000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248</v>
      </c>
      <c r="D15"/>
      <c r="E15" s="151">
        <v>50</v>
      </c>
      <c r="G15" s="211">
        <f>input_dollars</f>
        <v>45291</v>
      </c>
      <c r="H15" s="2"/>
      <c r="I15" s="32">
        <v>1050000</v>
      </c>
      <c r="J15" s="32">
        <v>6875000</v>
      </c>
      <c r="K15" s="32">
        <v>7245000</v>
      </c>
      <c r="L15" s="32">
        <v>17499000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249</v>
      </c>
      <c r="D16"/>
      <c r="E16" s="151">
        <v>50</v>
      </c>
      <c r="G16" s="211">
        <f>input_dollars</f>
        <v>45291</v>
      </c>
      <c r="H16" s="2"/>
      <c r="I16" s="32">
        <v>1050000</v>
      </c>
      <c r="J16" s="32">
        <v>6875000</v>
      </c>
      <c r="K16" s="32">
        <v>16905000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2100000</v>
      </c>
      <c r="J17" s="106">
        <f t="shared" si="0"/>
        <v>13750000</v>
      </c>
      <c r="K17" s="106">
        <f t="shared" si="0"/>
        <v>24150000</v>
      </c>
      <c r="L17" s="106">
        <f t="shared" si="0"/>
        <v>17499000</v>
      </c>
      <c r="M17" s="106">
        <f t="shared" si="0"/>
        <v>0</v>
      </c>
      <c r="N17" s="106">
        <f t="shared" si="0"/>
        <v>5460000</v>
      </c>
      <c r="O17" s="106">
        <f t="shared" si="0"/>
        <v>5460000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0.13853703214146154</v>
      </c>
      <c r="J27" s="172">
        <v>0.31342621356199529</v>
      </c>
      <c r="K27" s="172">
        <v>2.2243955127242145</v>
      </c>
      <c r="L27" s="172">
        <v>2.6375913719274178</v>
      </c>
      <c r="M27" s="172">
        <v>3.507716995521541</v>
      </c>
      <c r="N27" s="172">
        <v>4.4110947340214715</v>
      </c>
      <c r="O27" s="172">
        <v>5.5881629909531316</v>
      </c>
      <c r="P27" s="172">
        <v>0.27652502424505893</v>
      </c>
      <c r="Q27" s="172">
        <v>0.38408638915317983</v>
      </c>
      <c r="R27" s="172">
        <v>0.459691337586287</v>
      </c>
      <c r="S27" s="172">
        <v>0.4669456403821422</v>
      </c>
      <c r="T27" s="172">
        <v>0.4669456403821422</v>
      </c>
      <c r="U27" s="172">
        <v>0.4669456403821422</v>
      </c>
      <c r="V27" s="172">
        <v>0.4669456403821422</v>
      </c>
      <c r="W27" s="172">
        <v>0.4669456403821422</v>
      </c>
      <c r="X27" s="172">
        <v>0.4669456403821422</v>
      </c>
      <c r="Y27" s="172">
        <v>0.4669456403821422</v>
      </c>
      <c r="Z27" s="172">
        <v>0.4669456403821422</v>
      </c>
      <c r="AA27" s="172">
        <v>0.4669456403821422</v>
      </c>
      <c r="AB27" s="172">
        <v>0.4669456403821422</v>
      </c>
      <c r="AC27" s="172">
        <v>0.4669456403821422</v>
      </c>
      <c r="AD27" s="172">
        <v>0.4669456403821422</v>
      </c>
      <c r="AE27" s="172">
        <v>0.4669456403821422</v>
      </c>
      <c r="AF27" s="172">
        <v>0.4669456403821422</v>
      </c>
      <c r="AG27" s="172">
        <v>0.4669456403821422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47477.191922584083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6577.3492633653696</v>
      </c>
      <c r="J28" s="302">
        <f t="shared" ref="J28:AG28" si="2">J27*$E$28</f>
        <v>14880.596494851678</v>
      </c>
      <c r="K28" s="302">
        <f t="shared" si="2"/>
        <v>105608.05266934236</v>
      </c>
      <c r="L28" s="302">
        <f t="shared" si="2"/>
        <v>125225.43177834987</v>
      </c>
      <c r="M28" s="302">
        <f t="shared" si="2"/>
        <v>166536.55300648621</v>
      </c>
      <c r="N28" s="302">
        <f t="shared" si="2"/>
        <v>209426.39127583738</v>
      </c>
      <c r="O28" s="302">
        <f t="shared" si="2"/>
        <v>265310.28681616334</v>
      </c>
      <c r="P28" s="302">
        <f t="shared" si="2"/>
        <v>13128.631647479879</v>
      </c>
      <c r="Q28" s="302">
        <f t="shared" si="2"/>
        <v>18235.343212677835</v>
      </c>
      <c r="R28" s="302">
        <f t="shared" si="2"/>
        <v>21824.853859733539</v>
      </c>
      <c r="S28" s="302">
        <f t="shared" si="2"/>
        <v>22169.267785836895</v>
      </c>
      <c r="T28" s="302">
        <f t="shared" si="2"/>
        <v>22169.267785836895</v>
      </c>
      <c r="U28" s="302">
        <f t="shared" si="2"/>
        <v>22169.267785836895</v>
      </c>
      <c r="V28" s="302">
        <f t="shared" si="2"/>
        <v>22169.267785836895</v>
      </c>
      <c r="W28" s="302">
        <f t="shared" si="2"/>
        <v>22169.267785836895</v>
      </c>
      <c r="X28" s="302">
        <f t="shared" si="2"/>
        <v>22169.267785836895</v>
      </c>
      <c r="Y28" s="302">
        <f t="shared" si="2"/>
        <v>22169.267785836895</v>
      </c>
      <c r="Z28" s="302">
        <f t="shared" si="2"/>
        <v>22169.267785836895</v>
      </c>
      <c r="AA28" s="302">
        <f t="shared" si="2"/>
        <v>22169.267785836895</v>
      </c>
      <c r="AB28" s="302">
        <f t="shared" si="2"/>
        <v>22169.267785836895</v>
      </c>
      <c r="AC28" s="302">
        <f t="shared" si="2"/>
        <v>22169.267785836895</v>
      </c>
      <c r="AD28" s="302">
        <f t="shared" si="2"/>
        <v>22169.267785836895</v>
      </c>
      <c r="AE28" s="302">
        <f t="shared" si="2"/>
        <v>22169.267785836895</v>
      </c>
      <c r="AF28" s="302">
        <f t="shared" si="2"/>
        <v>22169.267785836895</v>
      </c>
      <c r="AG28" s="302">
        <f t="shared" si="2"/>
        <v>22169.267785836895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6577.3492633653696</v>
      </c>
      <c r="J36" s="174">
        <f t="shared" ref="J36:AB36" si="3">SUM(J28:J34)</f>
        <v>14880.596494851678</v>
      </c>
      <c r="K36" s="174">
        <f t="shared" si="3"/>
        <v>105608.05266934236</v>
      </c>
      <c r="L36" s="174">
        <f t="shared" si="3"/>
        <v>125225.43177834987</v>
      </c>
      <c r="M36" s="174">
        <f t="shared" si="3"/>
        <v>166536.55300648621</v>
      </c>
      <c r="N36" s="174">
        <f t="shared" si="3"/>
        <v>209426.39127583738</v>
      </c>
      <c r="O36" s="174">
        <f t="shared" si="3"/>
        <v>265310.28681616334</v>
      </c>
      <c r="P36" s="174">
        <f t="shared" si="3"/>
        <v>13128.631647479879</v>
      </c>
      <c r="Q36" s="174">
        <f t="shared" si="3"/>
        <v>18235.343212677835</v>
      </c>
      <c r="R36" s="174">
        <f t="shared" si="3"/>
        <v>21824.853859733539</v>
      </c>
      <c r="S36" s="174">
        <f t="shared" si="3"/>
        <v>22169.267785836895</v>
      </c>
      <c r="T36" s="174">
        <f t="shared" si="3"/>
        <v>22169.267785836895</v>
      </c>
      <c r="U36" s="174">
        <f t="shared" si="3"/>
        <v>22169.267785836895</v>
      </c>
      <c r="V36" s="174">
        <f t="shared" si="3"/>
        <v>22169.267785836895</v>
      </c>
      <c r="W36" s="174">
        <f t="shared" si="3"/>
        <v>22169.267785836895</v>
      </c>
      <c r="X36" s="174">
        <f t="shared" si="3"/>
        <v>22169.267785836895</v>
      </c>
      <c r="Y36" s="174">
        <f t="shared" si="3"/>
        <v>22169.267785836895</v>
      </c>
      <c r="Z36" s="174">
        <f t="shared" si="3"/>
        <v>22169.267785836895</v>
      </c>
      <c r="AA36" s="174">
        <f t="shared" si="3"/>
        <v>22169.267785836895</v>
      </c>
      <c r="AB36" s="174">
        <f t="shared" si="3"/>
        <v>22169.267785836895</v>
      </c>
      <c r="AC36" s="174">
        <f>SUM(AC28:AC34)</f>
        <v>22169.267785836895</v>
      </c>
      <c r="AD36" s="174">
        <f>SUM(AD28:AD34)</f>
        <v>22169.267785836895</v>
      </c>
      <c r="AE36" s="174">
        <f>SUM(AE28:AE34)</f>
        <v>22169.267785836895</v>
      </c>
      <c r="AF36" s="174">
        <f>SUM(AF28:AF34)</f>
        <v>22169.267785836895</v>
      </c>
      <c r="AG36" s="174">
        <f>SUM(AG28:AG34)</f>
        <v>22169.267785836895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1332.0576684927819</v>
      </c>
      <c r="J64" s="135">
        <f>(1-INDEX(Data!$C$9:$C$13, MATCH($A$3, options,0)))*('Option1 (base case)'!J36-J36)</f>
        <v>14138.805372888608</v>
      </c>
      <c r="K64" s="135">
        <f>(1-INDEX(Data!$C$9:$C$13, MATCH($A$3, options,0)))*('Option1 (base case)'!K36-K36)</f>
        <v>-15595.48449606495</v>
      </c>
      <c r="L64" s="135">
        <f>(1-INDEX(Data!$C$9:$C$13, MATCH($A$3, options,0)))*('Option1 (base case)'!L36-L36)</f>
        <v>107729.52609532005</v>
      </c>
      <c r="M64" s="135">
        <f>(1-INDEX(Data!$C$9:$C$13, MATCH($A$3, options,0)))*('Option1 (base case)'!M36-M36)</f>
        <v>343430.67065538128</v>
      </c>
      <c r="N64" s="135">
        <f>(1-INDEX(Data!$C$9:$C$13, MATCH($A$3, options,0)))*('Option1 (base case)'!N36-N36)</f>
        <v>761556.60469825473</v>
      </c>
      <c r="O64" s="135">
        <f>(1-INDEX(Data!$C$9:$C$13, MATCH($A$3, options,0)))*('Option1 (base case)'!O36-O36)</f>
        <v>1407314.0215599011</v>
      </c>
      <c r="P64" s="135">
        <f>(1-INDEX(Data!$C$9:$C$13, MATCH($A$3, options,0)))*('Option1 (base case)'!P36-P36)</f>
        <v>2986848.3054343569</v>
      </c>
      <c r="Q64" s="135">
        <f>(1-INDEX(Data!$C$9:$C$13, MATCH($A$3, options,0)))*('Option1 (base case)'!Q36-Q36)</f>
        <v>6209264.8204374481</v>
      </c>
      <c r="R64" s="135">
        <f>(1-INDEX(Data!$C$9:$C$13, MATCH($A$3, options,0)))*('Option1 (base case)'!R36-R36)</f>
        <v>12895856.511863304</v>
      </c>
      <c r="S64" s="135">
        <f>(1-INDEX(Data!$C$9:$C$13, MATCH($A$3, options,0)))*('Option1 (base case)'!S36-S36)</f>
        <v>12895512.097937202</v>
      </c>
      <c r="T64" s="135">
        <f>(1-INDEX(Data!$C$9:$C$13, MATCH($A$3, options,0)))*('Option1 (base case)'!T36-T36)</f>
        <v>12895512.097937202</v>
      </c>
      <c r="U64" s="135">
        <f>(1-INDEX(Data!$C$9:$C$13, MATCH($A$3, options,0)))*('Option1 (base case)'!U36-U36)</f>
        <v>12895512.097937202</v>
      </c>
      <c r="V64" s="135">
        <f>(1-INDEX(Data!$C$9:$C$13, MATCH($A$3, options,0)))*('Option1 (base case)'!V36-V36)</f>
        <v>12895512.097937202</v>
      </c>
      <c r="W64" s="135">
        <f>(1-INDEX(Data!$C$9:$C$13, MATCH($A$3, options,0)))*('Option1 (base case)'!W36-W36)</f>
        <v>12895512.097937202</v>
      </c>
      <c r="X64" s="135">
        <f>(1-INDEX(Data!$C$9:$C$13, MATCH($A$3, options,0)))*('Option1 (base case)'!X36-X36)</f>
        <v>12895512.097937202</v>
      </c>
      <c r="Y64" s="135">
        <f>(1-INDEX(Data!$C$9:$C$13, MATCH($A$3, options,0)))*('Option1 (base case)'!Y36-Y36)</f>
        <v>12895512.097937202</v>
      </c>
      <c r="Z64" s="135">
        <f>(1-INDEX(Data!$C$9:$C$13, MATCH($A$3, options,0)))*('Option1 (base case)'!Z36-Z36)</f>
        <v>12895512.097937202</v>
      </c>
      <c r="AA64" s="135">
        <f>(1-INDEX(Data!$C$9:$C$13, MATCH($A$3, options,0)))*('Option1 (base case)'!AA36-AA36)</f>
        <v>12895512.097937202</v>
      </c>
      <c r="AB64" s="135">
        <f>(1-INDEX(Data!$C$9:$C$13, MATCH($A$3, options,0)))*('Option1 (base case)'!AB36-AB36)</f>
        <v>12895512.097937202</v>
      </c>
      <c r="AC64" s="135">
        <f>(1-INDEX(Data!$C$9:$C$13, MATCH($A$3, options,0)))*('Option1 (base case)'!AC36-AC36)</f>
        <v>12895512.097937202</v>
      </c>
      <c r="AD64" s="135">
        <f>(1-INDEX(Data!$C$9:$C$13, MATCH($A$3, options,0)))*('Option1 (base case)'!AD36-AD36)</f>
        <v>12895512.097937202</v>
      </c>
      <c r="AE64" s="135">
        <f>(1-INDEX(Data!$C$9:$C$13, MATCH($A$3, options,0)))*('Option1 (base case)'!AE36-AE36)</f>
        <v>12895512.097937202</v>
      </c>
      <c r="AF64" s="135">
        <f>(1-INDEX(Data!$C$9:$C$13, MATCH($A$3, options,0)))*('Option1 (base case)'!AF36-AF36)</f>
        <v>12895512.097937202</v>
      </c>
      <c r="AG64" s="135">
        <f>(1-INDEX(Data!$C$9:$C$13, MATCH($A$3, options,0)))*('Option1 (base case)'!AG36-AG36)</f>
        <v>12895512.097937202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3rd Tx at CW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-5460000</v>
      </c>
      <c r="O67" s="119">
        <f t="shared" si="5"/>
        <v>-5460000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BK offload to WB</v>
      </c>
      <c r="D68" s="38"/>
      <c r="F68" s="97"/>
      <c r="G68" s="214">
        <f>input_dollars</f>
        <v>45291</v>
      </c>
      <c r="H68" s="31"/>
      <c r="I68" s="119">
        <f t="shared" ref="I68:AG68" si="6">-I15</f>
        <v>-1050000</v>
      </c>
      <c r="J68" s="119">
        <f t="shared" si="6"/>
        <v>-6875000</v>
      </c>
      <c r="K68" s="119">
        <f t="shared" si="6"/>
        <v>-7245000</v>
      </c>
      <c r="L68" s="119">
        <f t="shared" si="6"/>
        <v>-17499000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F offload to CW</v>
      </c>
      <c r="D69" s="38"/>
      <c r="F69" s="97"/>
      <c r="G69" s="214">
        <f>input_dollars</f>
        <v>45291</v>
      </c>
      <c r="H69" s="31"/>
      <c r="I69" s="119">
        <f t="shared" ref="I69:AG69" si="7">-I16</f>
        <v>-1050000</v>
      </c>
      <c r="J69" s="119">
        <f t="shared" si="7"/>
        <v>-6875000</v>
      </c>
      <c r="K69" s="119">
        <f t="shared" si="7"/>
        <v>-16905000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3rd Tx at CW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-5460000</v>
      </c>
      <c r="O72" s="119" cm="1">
        <f t="array" ref="O72">SUMPRODUCT(($I67:O67))-SUMPRODUCT(($I67:O67)*($I$6:O$6&lt;=(O$6-$E14)))</f>
        <v>-10920000</v>
      </c>
      <c r="P72" s="119" cm="1">
        <f t="array" ref="P72">SUMPRODUCT(($I67:P67))-SUMPRODUCT(($I67:P67)*($I$6:P$6&lt;=(P$6-$E14)))</f>
        <v>-10920000</v>
      </c>
      <c r="Q72" s="119" cm="1">
        <f t="array" ref="Q72">SUMPRODUCT(($I67:Q67))-SUMPRODUCT(($I67:Q67)*($I$6:Q$6&lt;=(Q$6-$E14)))</f>
        <v>-10920000</v>
      </c>
      <c r="R72" s="119" cm="1">
        <f t="array" ref="R72">SUMPRODUCT(($I67:R67))-SUMPRODUCT(($I67:R67)*($I$6:R$6&lt;=(R$6-$E14)))</f>
        <v>-10920000</v>
      </c>
      <c r="S72" s="119" cm="1">
        <f t="array" ref="S72">SUMPRODUCT(($I67:S67))-SUMPRODUCT(($I67:S67)*($I$6:S$6&lt;=(S$6-$E14)))</f>
        <v>-10920000</v>
      </c>
      <c r="T72" s="119" cm="1">
        <f t="array" ref="T72">SUMPRODUCT(($I67:T67))-SUMPRODUCT(($I67:T67)*($I$6:T$6&lt;=(T$6-$E14)))</f>
        <v>-10920000</v>
      </c>
      <c r="U72" s="119" cm="1">
        <f t="array" ref="U72">SUMPRODUCT(($I67:U67))-SUMPRODUCT(($I67:U67)*($I$6:U$6&lt;=(U$6-$E14)))</f>
        <v>-10920000</v>
      </c>
      <c r="V72" s="119" cm="1">
        <f t="array" ref="V72">SUMPRODUCT(($I67:V67))-SUMPRODUCT(($I67:V67)*($I$6:V$6&lt;=(V$6-$E14)))</f>
        <v>-10920000</v>
      </c>
      <c r="W72" s="119" cm="1">
        <f t="array" ref="W72">SUMPRODUCT(($I67:W67))-SUMPRODUCT(($I67:W67)*($I$6:W$6&lt;=(W$6-$E14)))</f>
        <v>-10920000</v>
      </c>
      <c r="X72" s="119" cm="1">
        <f t="array" ref="X72">SUMPRODUCT(($I67:X67))-SUMPRODUCT(($I67:X67)*($I$6:X$6&lt;=(X$6-$E14)))</f>
        <v>-10920000</v>
      </c>
      <c r="Y72" s="119" cm="1">
        <f t="array" ref="Y72">SUMPRODUCT(($I67:Y67))-SUMPRODUCT(($I67:Y67)*($I$6:Y$6&lt;=(Y$6-$E14)))</f>
        <v>-10920000</v>
      </c>
      <c r="Z72" s="119" cm="1">
        <f t="array" ref="Z72">SUMPRODUCT(($I67:Z67))-SUMPRODUCT(($I67:Z67)*($I$6:Z$6&lt;=(Z$6-$E14)))</f>
        <v>-10920000</v>
      </c>
      <c r="AA72" s="119" cm="1">
        <f t="array" ref="AA72">SUMPRODUCT(($I67:AA67))-SUMPRODUCT(($I67:AA67)*($I$6:AA$6&lt;=(AA$6-$E14)))</f>
        <v>-10920000</v>
      </c>
      <c r="AB72" s="119" cm="1">
        <f t="array" ref="AB72">SUMPRODUCT(($I67:AB67))-SUMPRODUCT(($I67:AB67)*($I$6:AB$6&lt;=(AB$6-$E14)))</f>
        <v>-10920000</v>
      </c>
      <c r="AC72" s="119" cm="1">
        <f t="array" ref="AC72">SUMPRODUCT(($I67:AC67))-SUMPRODUCT(($I67:AC67)*($I$6:AC$6&lt;=(AC$6-$E14)))</f>
        <v>-10920000</v>
      </c>
      <c r="AD72" s="119" cm="1">
        <f t="array" ref="AD72">SUMPRODUCT(($I67:AD67))-SUMPRODUCT(($I67:AD67)*($I$6:AD$6&lt;=(AD$6-$E14)))</f>
        <v>-10920000</v>
      </c>
      <c r="AE72" s="119" cm="1">
        <f t="array" ref="AE72">SUMPRODUCT(($I67:AE67))-SUMPRODUCT(($I67:AE67)*($I$6:AE$6&lt;=(AE$6-$E14)))</f>
        <v>-10920000</v>
      </c>
      <c r="AF72" s="119" cm="1">
        <f t="array" ref="AF72">SUMPRODUCT(($I67:AF67))-SUMPRODUCT(($I67:AF67)*($I$6:AF$6&lt;=(AF$6-$E14)))</f>
        <v>-10920000</v>
      </c>
      <c r="AG72" s="119" cm="1">
        <f t="array" ref="AG72">SUMPRODUCT(($I67:AG67))-SUMPRODUCT(($I67:AG67)*($I$6:AG$6&lt;=(AG$6-$E14)))</f>
        <v>-10920000</v>
      </c>
      <c r="AH72"/>
    </row>
    <row r="73" spans="1:34" x14ac:dyDescent="0.2">
      <c r="A73" s="8"/>
      <c r="B73" s="8"/>
      <c r="C73" s="4" t="str">
        <f>C15</f>
        <v>BK offload to WB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-1050000</v>
      </c>
      <c r="J73" s="119" cm="1">
        <f t="array" ref="J73">SUMPRODUCT(($I68:J68))-SUMPRODUCT(($I68:J68)*($I$6:J$6&lt;=(J$6-$E15)))</f>
        <v>-7925000</v>
      </c>
      <c r="K73" s="119" cm="1">
        <f t="array" ref="K73">SUMPRODUCT(($I68:K68))-SUMPRODUCT(($I68:K68)*($I$6:K$6&lt;=(K$6-$E15)))</f>
        <v>-15170000</v>
      </c>
      <c r="L73" s="119" cm="1">
        <f t="array" ref="L73">SUMPRODUCT(($I68:L68))-SUMPRODUCT(($I68:L68)*($I$6:L$6&lt;=(L$6-$E15)))</f>
        <v>-32669000</v>
      </c>
      <c r="M73" s="119" cm="1">
        <f t="array" ref="M73">SUMPRODUCT(($I68:M68))-SUMPRODUCT(($I68:M68)*($I$6:M$6&lt;=(M$6-$E15)))</f>
        <v>-32669000</v>
      </c>
      <c r="N73" s="119" cm="1">
        <f t="array" ref="N73">SUMPRODUCT(($I68:N68))-SUMPRODUCT(($I68:N68)*($I$6:N$6&lt;=(N$6-$E15)))</f>
        <v>-32669000</v>
      </c>
      <c r="O73" s="119" cm="1">
        <f t="array" ref="O73">SUMPRODUCT(($I68:O68))-SUMPRODUCT(($I68:O68)*($I$6:O$6&lt;=(O$6-$E15)))</f>
        <v>-32669000</v>
      </c>
      <c r="P73" s="119" cm="1">
        <f t="array" ref="P73">SUMPRODUCT(($I68:P68))-SUMPRODUCT(($I68:P68)*($I$6:P$6&lt;=(P$6-$E15)))</f>
        <v>-32669000</v>
      </c>
      <c r="Q73" s="119" cm="1">
        <f t="array" ref="Q73">SUMPRODUCT(($I68:Q68))-SUMPRODUCT(($I68:Q68)*($I$6:Q$6&lt;=(Q$6-$E15)))</f>
        <v>-32669000</v>
      </c>
      <c r="R73" s="119" cm="1">
        <f t="array" ref="R73">SUMPRODUCT(($I68:R68))-SUMPRODUCT(($I68:R68)*($I$6:R$6&lt;=(R$6-$E15)))</f>
        <v>-32669000</v>
      </c>
      <c r="S73" s="119" cm="1">
        <f t="array" ref="S73">SUMPRODUCT(($I68:S68))-SUMPRODUCT(($I68:S68)*($I$6:S$6&lt;=(S$6-$E15)))</f>
        <v>-32669000</v>
      </c>
      <c r="T73" s="119" cm="1">
        <f t="array" ref="T73">SUMPRODUCT(($I68:T68))-SUMPRODUCT(($I68:T68)*($I$6:T$6&lt;=(T$6-$E15)))</f>
        <v>-32669000</v>
      </c>
      <c r="U73" s="119" cm="1">
        <f t="array" ref="U73">SUMPRODUCT(($I68:U68))-SUMPRODUCT(($I68:U68)*($I$6:U$6&lt;=(U$6-$E15)))</f>
        <v>-32669000</v>
      </c>
      <c r="V73" s="119" cm="1">
        <f t="array" ref="V73">SUMPRODUCT(($I68:V68))-SUMPRODUCT(($I68:V68)*($I$6:V$6&lt;=(V$6-$E15)))</f>
        <v>-32669000</v>
      </c>
      <c r="W73" s="119" cm="1">
        <f t="array" ref="W73">SUMPRODUCT(($I68:W68))-SUMPRODUCT(($I68:W68)*($I$6:W$6&lt;=(W$6-$E15)))</f>
        <v>-32669000</v>
      </c>
      <c r="X73" s="119" cm="1">
        <f t="array" ref="X73">SUMPRODUCT(($I68:X68))-SUMPRODUCT(($I68:X68)*($I$6:X$6&lt;=(X$6-$E15)))</f>
        <v>-32669000</v>
      </c>
      <c r="Y73" s="119" cm="1">
        <f t="array" ref="Y73">SUMPRODUCT(($I68:Y68))-SUMPRODUCT(($I68:Y68)*($I$6:Y$6&lt;=(Y$6-$E15)))</f>
        <v>-32669000</v>
      </c>
      <c r="Z73" s="119" cm="1">
        <f t="array" ref="Z73">SUMPRODUCT(($I68:Z68))-SUMPRODUCT(($I68:Z68)*($I$6:Z$6&lt;=(Z$6-$E15)))</f>
        <v>-32669000</v>
      </c>
      <c r="AA73" s="119" cm="1">
        <f t="array" ref="AA73">SUMPRODUCT(($I68:AA68))-SUMPRODUCT(($I68:AA68)*($I$6:AA$6&lt;=(AA$6-$E15)))</f>
        <v>-32669000</v>
      </c>
      <c r="AB73" s="119" cm="1">
        <f t="array" ref="AB73">SUMPRODUCT(($I68:AB68))-SUMPRODUCT(($I68:AB68)*($I$6:AB$6&lt;=(AB$6-$E15)))</f>
        <v>-32669000</v>
      </c>
      <c r="AC73" s="119" cm="1">
        <f t="array" ref="AC73">SUMPRODUCT(($I68:AC68))-SUMPRODUCT(($I68:AC68)*($I$6:AC$6&lt;=(AC$6-$E15)))</f>
        <v>-32669000</v>
      </c>
      <c r="AD73" s="119" cm="1">
        <f t="array" ref="AD73">SUMPRODUCT(($I68:AD68))-SUMPRODUCT(($I68:AD68)*($I$6:AD$6&lt;=(AD$6-$E15)))</f>
        <v>-32669000</v>
      </c>
      <c r="AE73" s="119" cm="1">
        <f t="array" ref="AE73">SUMPRODUCT(($I68:AE68))-SUMPRODUCT(($I68:AE68)*($I$6:AE$6&lt;=(AE$6-$E15)))</f>
        <v>-32669000</v>
      </c>
      <c r="AF73" s="119" cm="1">
        <f t="array" ref="AF73">SUMPRODUCT(($I68:AF68))-SUMPRODUCT(($I68:AF68)*($I$6:AF$6&lt;=(AF$6-$E15)))</f>
        <v>-32669000</v>
      </c>
      <c r="AG73" s="119" cm="1">
        <f t="array" ref="AG73">SUMPRODUCT(($I68:AG68))-SUMPRODUCT(($I68:AG68)*($I$6:AG$6&lt;=(AG$6-$E15)))</f>
        <v>-32669000</v>
      </c>
      <c r="AH73"/>
    </row>
    <row r="74" spans="1:34" x14ac:dyDescent="0.2">
      <c r="A74" s="8"/>
      <c r="B74" s="8"/>
      <c r="C74" s="4" t="str">
        <f>C16</f>
        <v>F offload to CW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-1050000</v>
      </c>
      <c r="J74" s="119" cm="1">
        <f t="array" ref="J74">SUMPRODUCT(($I69:J69))-SUMPRODUCT(($I69:J69)*($I$6:J$6&lt;=(J$6-$E16)))</f>
        <v>-7925000</v>
      </c>
      <c r="K74" s="119" cm="1">
        <f t="array" ref="K74">SUMPRODUCT(($I69:K69))-SUMPRODUCT(($I69:K69)*($I$6:K$6&lt;=(K$6-$E16)))</f>
        <v>-24830000</v>
      </c>
      <c r="L74" s="119" cm="1">
        <f t="array" ref="L74">SUMPRODUCT(($I69:L69))-SUMPRODUCT(($I69:L69)*($I$6:L$6&lt;=(L$6-$E16)))</f>
        <v>-24830000</v>
      </c>
      <c r="M74" s="119" cm="1">
        <f t="array" ref="M74">SUMPRODUCT(($I69:M69))-SUMPRODUCT(($I69:M69)*($I$6:M$6&lt;=(M$6-$E16)))</f>
        <v>-24830000</v>
      </c>
      <c r="N74" s="119" cm="1">
        <f t="array" ref="N74">SUMPRODUCT(($I69:N69))-SUMPRODUCT(($I69:N69)*($I$6:N$6&lt;=(N$6-$E16)))</f>
        <v>-24830000</v>
      </c>
      <c r="O74" s="119" cm="1">
        <f t="array" ref="O74">SUMPRODUCT(($I69:O69))-SUMPRODUCT(($I69:O69)*($I$6:O$6&lt;=(O$6-$E16)))</f>
        <v>-24830000</v>
      </c>
      <c r="P74" s="119" cm="1">
        <f t="array" ref="P74">SUMPRODUCT(($I69:P69))-SUMPRODUCT(($I69:P69)*($I$6:P$6&lt;=(P$6-$E16)))</f>
        <v>-24830000</v>
      </c>
      <c r="Q74" s="119" cm="1">
        <f t="array" ref="Q74">SUMPRODUCT(($I69:Q69))-SUMPRODUCT(($I69:Q69)*($I$6:Q$6&lt;=(Q$6-$E16)))</f>
        <v>-24830000</v>
      </c>
      <c r="R74" s="119" cm="1">
        <f t="array" ref="R74">SUMPRODUCT(($I69:R69))-SUMPRODUCT(($I69:R69)*($I$6:R$6&lt;=(R$6-$E16)))</f>
        <v>-24830000</v>
      </c>
      <c r="S74" s="119" cm="1">
        <f t="array" ref="S74">SUMPRODUCT(($I69:S69))-SUMPRODUCT(($I69:S69)*($I$6:S$6&lt;=(S$6-$E16)))</f>
        <v>-24830000</v>
      </c>
      <c r="T74" s="119" cm="1">
        <f t="array" ref="T74">SUMPRODUCT(($I69:T69))-SUMPRODUCT(($I69:T69)*($I$6:T$6&lt;=(T$6-$E16)))</f>
        <v>-24830000</v>
      </c>
      <c r="U74" s="119" cm="1">
        <f t="array" ref="U74">SUMPRODUCT(($I69:U69))-SUMPRODUCT(($I69:U69)*($I$6:U$6&lt;=(U$6-$E16)))</f>
        <v>-24830000</v>
      </c>
      <c r="V74" s="119" cm="1">
        <f t="array" ref="V74">SUMPRODUCT(($I69:V69))-SUMPRODUCT(($I69:V69)*($I$6:V$6&lt;=(V$6-$E16)))</f>
        <v>-24830000</v>
      </c>
      <c r="W74" s="119" cm="1">
        <f t="array" ref="W74">SUMPRODUCT(($I69:W69))-SUMPRODUCT(($I69:W69)*($I$6:W$6&lt;=(W$6-$E16)))</f>
        <v>-24830000</v>
      </c>
      <c r="X74" s="119" cm="1">
        <f t="array" ref="X74">SUMPRODUCT(($I69:X69))-SUMPRODUCT(($I69:X69)*($I$6:X$6&lt;=(X$6-$E16)))</f>
        <v>-24830000</v>
      </c>
      <c r="Y74" s="119" cm="1">
        <f t="array" ref="Y74">SUMPRODUCT(($I69:Y69))-SUMPRODUCT(($I69:Y69)*($I$6:Y$6&lt;=(Y$6-$E16)))</f>
        <v>-24830000</v>
      </c>
      <c r="Z74" s="119" cm="1">
        <f t="array" ref="Z74">SUMPRODUCT(($I69:Z69))-SUMPRODUCT(($I69:Z69)*($I$6:Z$6&lt;=(Z$6-$E16)))</f>
        <v>-24830000</v>
      </c>
      <c r="AA74" s="119" cm="1">
        <f t="array" ref="AA74">SUMPRODUCT(($I69:AA69))-SUMPRODUCT(($I69:AA69)*($I$6:AA$6&lt;=(AA$6-$E16)))</f>
        <v>-24830000</v>
      </c>
      <c r="AB74" s="119" cm="1">
        <f t="array" ref="AB74">SUMPRODUCT(($I69:AB69))-SUMPRODUCT(($I69:AB69)*($I$6:AB$6&lt;=(AB$6-$E16)))</f>
        <v>-24830000</v>
      </c>
      <c r="AC74" s="119" cm="1">
        <f t="array" ref="AC74">SUMPRODUCT(($I69:AC69))-SUMPRODUCT(($I69:AC69)*($I$6:AC$6&lt;=(AC$6-$E16)))</f>
        <v>-24830000</v>
      </c>
      <c r="AD74" s="119" cm="1">
        <f t="array" ref="AD74">SUMPRODUCT(($I69:AD69))-SUMPRODUCT(($I69:AD69)*($I$6:AD$6&lt;=(AD$6-$E16)))</f>
        <v>-24830000</v>
      </c>
      <c r="AE74" s="119" cm="1">
        <f t="array" ref="AE74">SUMPRODUCT(($I69:AE69))-SUMPRODUCT(($I69:AE69)*($I$6:AE$6&lt;=(AE$6-$E16)))</f>
        <v>-24830000</v>
      </c>
      <c r="AF74" s="119" cm="1">
        <f t="array" ref="AF74">SUMPRODUCT(($I69:AF69))-SUMPRODUCT(($I69:AF69)*($I$6:AF$6&lt;=(AF$6-$E16)))</f>
        <v>-24830000</v>
      </c>
      <c r="AG74" s="119" cm="1">
        <f t="array" ref="AG74">SUMPRODUCT(($I69:AG69))-SUMPRODUCT(($I69:AG69)*($I$6:AG$6&lt;=(AG$6-$E16)))</f>
        <v>-24830000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- 3rd Tx at CW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-232780.05423335198</v>
      </c>
      <c r="P77" s="119">
        <f t="shared" si="8"/>
        <v>-465560.10846670397</v>
      </c>
      <c r="Q77" s="119">
        <f t="shared" si="8"/>
        <v>-465560.10846670397</v>
      </c>
      <c r="R77" s="119">
        <f t="shared" si="8"/>
        <v>-465560.10846670397</v>
      </c>
      <c r="S77" s="119">
        <f t="shared" si="8"/>
        <v>-465560.10846670397</v>
      </c>
      <c r="T77" s="119">
        <f t="shared" si="8"/>
        <v>-465560.10846670397</v>
      </c>
      <c r="U77" s="119">
        <f t="shared" si="8"/>
        <v>-465560.10846670397</v>
      </c>
      <c r="V77" s="119">
        <f t="shared" si="8"/>
        <v>-465560.10846670397</v>
      </c>
      <c r="W77" s="119">
        <f t="shared" si="8"/>
        <v>-465560.10846670397</v>
      </c>
      <c r="X77" s="119">
        <f t="shared" si="8"/>
        <v>-465560.10846670397</v>
      </c>
      <c r="Y77" s="119">
        <f t="shared" si="8"/>
        <v>-465560.10846670397</v>
      </c>
      <c r="Z77" s="119">
        <f t="shared" si="8"/>
        <v>-465560.10846670397</v>
      </c>
      <c r="AA77" s="119">
        <f t="shared" si="8"/>
        <v>-465560.10846670397</v>
      </c>
      <c r="AB77" s="119">
        <f t="shared" si="8"/>
        <v>-465560.10846670397</v>
      </c>
      <c r="AC77" s="119">
        <f t="shared" si="8"/>
        <v>-465560.10846670397</v>
      </c>
      <c r="AD77" s="119">
        <f t="shared" si="8"/>
        <v>-465560.10846670397</v>
      </c>
      <c r="AE77" s="119">
        <f t="shared" si="8"/>
        <v>-465560.10846670397</v>
      </c>
      <c r="AF77" s="119">
        <f t="shared" si="8"/>
        <v>-465560.10846670397</v>
      </c>
      <c r="AG77" s="119">
        <f t="shared" si="8"/>
        <v>-465560.10846670397</v>
      </c>
      <c r="AH77"/>
    </row>
    <row r="78" spans="1:34" x14ac:dyDescent="0.2">
      <c r="A78" s="8"/>
      <c r="B78" s="8"/>
      <c r="C78" s="4" t="str">
        <f>$C$76&amp;" - "&amp;C15</f>
        <v>Annualised capex - BK offload to WB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-44765.395044875382</v>
      </c>
      <c r="K78" s="119">
        <f t="shared" si="9"/>
        <v>-337872.14831489278</v>
      </c>
      <c r="L78" s="119">
        <f t="shared" si="9"/>
        <v>-646753.3741245328</v>
      </c>
      <c r="M78" s="119">
        <f t="shared" si="9"/>
        <v>-1392800.6578295559</v>
      </c>
      <c r="N78" s="119">
        <f t="shared" si="9"/>
        <v>-1392800.6578295559</v>
      </c>
      <c r="O78" s="119">
        <f t="shared" si="9"/>
        <v>-1392800.6578295559</v>
      </c>
      <c r="P78" s="119">
        <f t="shared" si="9"/>
        <v>-1392800.6578295559</v>
      </c>
      <c r="Q78" s="119">
        <f t="shared" si="9"/>
        <v>-1392800.6578295559</v>
      </c>
      <c r="R78" s="119">
        <f t="shared" si="9"/>
        <v>-1392800.6578295559</v>
      </c>
      <c r="S78" s="119">
        <f t="shared" si="9"/>
        <v>-1392800.6578295559</v>
      </c>
      <c r="T78" s="119">
        <f t="shared" si="9"/>
        <v>-1392800.6578295559</v>
      </c>
      <c r="U78" s="119">
        <f t="shared" si="9"/>
        <v>-1392800.6578295559</v>
      </c>
      <c r="V78" s="119">
        <f t="shared" si="9"/>
        <v>-1392800.6578295559</v>
      </c>
      <c r="W78" s="119">
        <f t="shared" si="9"/>
        <v>-1392800.6578295559</v>
      </c>
      <c r="X78" s="119">
        <f t="shared" si="9"/>
        <v>-1392800.6578295559</v>
      </c>
      <c r="Y78" s="119">
        <f t="shared" si="9"/>
        <v>-1392800.6578295559</v>
      </c>
      <c r="Z78" s="119">
        <f t="shared" si="9"/>
        <v>-1392800.6578295559</v>
      </c>
      <c r="AA78" s="119">
        <f t="shared" si="9"/>
        <v>-1392800.6578295559</v>
      </c>
      <c r="AB78" s="119">
        <f t="shared" si="9"/>
        <v>-1392800.6578295559</v>
      </c>
      <c r="AC78" s="119">
        <f t="shared" si="9"/>
        <v>-1392800.6578295559</v>
      </c>
      <c r="AD78" s="119">
        <f t="shared" si="9"/>
        <v>-1392800.6578295559</v>
      </c>
      <c r="AE78" s="119">
        <f t="shared" si="9"/>
        <v>-1392800.6578295559</v>
      </c>
      <c r="AF78" s="119">
        <f t="shared" si="9"/>
        <v>-1392800.6578295559</v>
      </c>
      <c r="AG78" s="119">
        <f t="shared" si="9"/>
        <v>-1392800.6578295559</v>
      </c>
      <c r="AH78"/>
    </row>
    <row r="79" spans="1:34" x14ac:dyDescent="0.2">
      <c r="A79" s="8"/>
      <c r="B79" s="8"/>
      <c r="C79" s="4" t="str">
        <f>$C$76&amp;" - "&amp;C16</f>
        <v>Annualised capex - F offload to CW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-44765.395044875382</v>
      </c>
      <c r="K79" s="119">
        <f t="shared" si="10"/>
        <v>-337872.14831489278</v>
      </c>
      <c r="L79" s="119">
        <f t="shared" si="10"/>
        <v>-1058595.0085373863</v>
      </c>
      <c r="M79" s="119">
        <f t="shared" si="10"/>
        <v>-1058595.0085373863</v>
      </c>
      <c r="N79" s="119">
        <f t="shared" si="10"/>
        <v>-1058595.0085373863</v>
      </c>
      <c r="O79" s="119">
        <f t="shared" si="10"/>
        <v>-1058595.0085373863</v>
      </c>
      <c r="P79" s="119">
        <f t="shared" si="10"/>
        <v>-1058595.0085373863</v>
      </c>
      <c r="Q79" s="119">
        <f t="shared" si="10"/>
        <v>-1058595.0085373863</v>
      </c>
      <c r="R79" s="119">
        <f t="shared" si="10"/>
        <v>-1058595.0085373863</v>
      </c>
      <c r="S79" s="119">
        <f t="shared" si="10"/>
        <v>-1058595.0085373863</v>
      </c>
      <c r="T79" s="119">
        <f t="shared" si="10"/>
        <v>-1058595.0085373863</v>
      </c>
      <c r="U79" s="119">
        <f t="shared" si="10"/>
        <v>-1058595.0085373863</v>
      </c>
      <c r="V79" s="119">
        <f t="shared" si="10"/>
        <v>-1058595.0085373863</v>
      </c>
      <c r="W79" s="119">
        <f t="shared" si="10"/>
        <v>-1058595.0085373863</v>
      </c>
      <c r="X79" s="119">
        <f t="shared" si="10"/>
        <v>-1058595.0085373863</v>
      </c>
      <c r="Y79" s="119">
        <f t="shared" si="10"/>
        <v>-1058595.0085373863</v>
      </c>
      <c r="Z79" s="119">
        <f t="shared" si="10"/>
        <v>-1058595.0085373863</v>
      </c>
      <c r="AA79" s="119">
        <f t="shared" si="10"/>
        <v>-1058595.0085373863</v>
      </c>
      <c r="AB79" s="119">
        <f t="shared" si="10"/>
        <v>-1058595.0085373863</v>
      </c>
      <c r="AC79" s="119">
        <f t="shared" si="10"/>
        <v>-1058595.0085373863</v>
      </c>
      <c r="AD79" s="119">
        <f t="shared" si="10"/>
        <v>-1058595.0085373863</v>
      </c>
      <c r="AE79" s="119">
        <f t="shared" si="10"/>
        <v>-1058595.0085373863</v>
      </c>
      <c r="AF79" s="119">
        <f t="shared" si="10"/>
        <v>-1058595.0085373863</v>
      </c>
      <c r="AG79" s="119">
        <f t="shared" si="10"/>
        <v>-1058595.0085373863</v>
      </c>
      <c r="AH79"/>
    </row>
    <row r="80" spans="1:34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-89530.790089750764</v>
      </c>
      <c r="K80" s="180">
        <f t="shared" si="11"/>
        <v>-675744.29662978556</v>
      </c>
      <c r="L80" s="180">
        <f t="shared" si="11"/>
        <v>-1705348.3826619191</v>
      </c>
      <c r="M80" s="180">
        <f t="shared" si="11"/>
        <v>-2451395.6663669422</v>
      </c>
      <c r="N80" s="180">
        <f t="shared" si="11"/>
        <v>-2451395.6663669422</v>
      </c>
      <c r="O80" s="180">
        <f t="shared" si="11"/>
        <v>-2684175.7206002939</v>
      </c>
      <c r="P80" s="180">
        <f t="shared" si="11"/>
        <v>-2916955.7748336461</v>
      </c>
      <c r="Q80" s="180">
        <f t="shared" si="11"/>
        <v>-2916955.7748336461</v>
      </c>
      <c r="R80" s="180">
        <f t="shared" si="11"/>
        <v>-2916955.7748336461</v>
      </c>
      <c r="S80" s="180">
        <f t="shared" si="11"/>
        <v>-2916955.7748336461</v>
      </c>
      <c r="T80" s="180">
        <f t="shared" si="11"/>
        <v>-2916955.7748336461</v>
      </c>
      <c r="U80" s="180">
        <f t="shared" si="11"/>
        <v>-2916955.7748336461</v>
      </c>
      <c r="V80" s="180">
        <f t="shared" si="11"/>
        <v>-2916955.7748336461</v>
      </c>
      <c r="W80" s="180">
        <f t="shared" si="11"/>
        <v>-2916955.7748336461</v>
      </c>
      <c r="X80" s="180">
        <f t="shared" si="11"/>
        <v>-2916955.7748336461</v>
      </c>
      <c r="Y80" s="180">
        <f t="shared" si="11"/>
        <v>-2916955.7748336461</v>
      </c>
      <c r="Z80" s="180">
        <f t="shared" si="11"/>
        <v>-2916955.7748336461</v>
      </c>
      <c r="AA80" s="180">
        <f t="shared" si="11"/>
        <v>-2916955.7748336461</v>
      </c>
      <c r="AB80" s="180">
        <f t="shared" si="11"/>
        <v>-2916955.7748336461</v>
      </c>
      <c r="AC80" s="180">
        <f>SUM(AC77:AC79)</f>
        <v>-2916955.7748336461</v>
      </c>
      <c r="AD80" s="180">
        <f>SUM(AD77:AD79)</f>
        <v>-2916955.7748336461</v>
      </c>
      <c r="AE80" s="180">
        <f>SUM(AE77:AE79)</f>
        <v>-2916955.7748336461</v>
      </c>
      <c r="AF80" s="180">
        <f>SUM(AF77:AF79)</f>
        <v>-2916955.7748336461</v>
      </c>
      <c r="AG80" s="180">
        <f>SUM(AG77:AG79)</f>
        <v>-2916955.7748336461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-89530.790089750764</v>
      </c>
      <c r="K82" s="119">
        <f t="shared" si="13"/>
        <v>-675744.29662978556</v>
      </c>
      <c r="L82" s="119">
        <f t="shared" si="13"/>
        <v>-1705348.3826619191</v>
      </c>
      <c r="M82" s="119">
        <f t="shared" si="13"/>
        <v>-2451395.6663669422</v>
      </c>
      <c r="N82" s="119">
        <f t="shared" si="13"/>
        <v>-2451395.6663669422</v>
      </c>
      <c r="O82" s="119">
        <f t="shared" si="13"/>
        <v>-2684175.7206002939</v>
      </c>
      <c r="P82" s="119">
        <f t="shared" si="13"/>
        <v>-2916955.7748336461</v>
      </c>
      <c r="Q82" s="119">
        <f t="shared" si="13"/>
        <v>-2916955.7748336461</v>
      </c>
      <c r="R82" s="119">
        <f t="shared" si="13"/>
        <v>-2916955.7748336461</v>
      </c>
      <c r="S82" s="119">
        <f t="shared" si="13"/>
        <v>-2916955.7748336461</v>
      </c>
      <c r="T82" s="119">
        <f t="shared" si="13"/>
        <v>-2916955.7748336461</v>
      </c>
      <c r="U82" s="119">
        <f t="shared" si="13"/>
        <v>-2916955.7748336461</v>
      </c>
      <c r="V82" s="119">
        <f t="shared" si="13"/>
        <v>-2916955.7748336461</v>
      </c>
      <c r="W82" s="119">
        <f t="shared" si="13"/>
        <v>-2916955.7748336461</v>
      </c>
      <c r="X82" s="119">
        <f t="shared" si="13"/>
        <v>-2916955.7748336461</v>
      </c>
      <c r="Y82" s="119">
        <f t="shared" si="13"/>
        <v>-2916955.7748336461</v>
      </c>
      <c r="Z82" s="119">
        <f t="shared" si="13"/>
        <v>-2916955.7748336461</v>
      </c>
      <c r="AA82" s="119">
        <f t="shared" si="13"/>
        <v>-2916955.7748336461</v>
      </c>
      <c r="AB82" s="119">
        <f t="shared" si="13"/>
        <v>-2916955.7748336461</v>
      </c>
      <c r="AC82" s="119">
        <f>AC80</f>
        <v>-2916955.7748336461</v>
      </c>
      <c r="AD82" s="119">
        <f>AD80</f>
        <v>-2916955.7748336461</v>
      </c>
      <c r="AE82" s="119">
        <f>AE80</f>
        <v>-2916955.7748336461</v>
      </c>
      <c r="AF82" s="119">
        <f>AF80</f>
        <v>-2916955.7748336461</v>
      </c>
      <c r="AG82" s="119">
        <f>AG80</f>
        <v>-2916955.7748336461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4">
        <f t="shared" si="12"/>
        <v>45291</v>
      </c>
      <c r="H84" s="31"/>
      <c r="I84" s="31">
        <f t="shared" ref="I84:AG84" si="15">I64</f>
        <v>1332.0576684927819</v>
      </c>
      <c r="J84" s="31">
        <f t="shared" si="15"/>
        <v>14138.805372888608</v>
      </c>
      <c r="K84" s="31">
        <f t="shared" si="15"/>
        <v>-15595.48449606495</v>
      </c>
      <c r="L84" s="31">
        <f t="shared" si="15"/>
        <v>107729.52609532005</v>
      </c>
      <c r="M84" s="31">
        <f t="shared" si="15"/>
        <v>343430.67065538128</v>
      </c>
      <c r="N84" s="31">
        <f t="shared" si="15"/>
        <v>761556.60469825473</v>
      </c>
      <c r="O84" s="31">
        <f t="shared" si="15"/>
        <v>1407314.0215599011</v>
      </c>
      <c r="P84" s="31">
        <f t="shared" si="15"/>
        <v>2986848.3054343569</v>
      </c>
      <c r="Q84" s="31">
        <f t="shared" si="15"/>
        <v>6209264.8204374481</v>
      </c>
      <c r="R84" s="31">
        <f t="shared" si="15"/>
        <v>12895856.511863304</v>
      </c>
      <c r="S84" s="31">
        <f t="shared" si="15"/>
        <v>12895512.097937202</v>
      </c>
      <c r="T84" s="31">
        <f t="shared" si="15"/>
        <v>12895512.097937202</v>
      </c>
      <c r="U84" s="31">
        <f t="shared" si="15"/>
        <v>12895512.097937202</v>
      </c>
      <c r="V84" s="31">
        <f t="shared" si="15"/>
        <v>12895512.097937202</v>
      </c>
      <c r="W84" s="31">
        <f t="shared" si="15"/>
        <v>12895512.097937202</v>
      </c>
      <c r="X84" s="31">
        <f t="shared" si="15"/>
        <v>12895512.097937202</v>
      </c>
      <c r="Y84" s="31">
        <f t="shared" si="15"/>
        <v>12895512.097937202</v>
      </c>
      <c r="Z84" s="31">
        <f t="shared" si="15"/>
        <v>12895512.097937202</v>
      </c>
      <c r="AA84" s="31">
        <f t="shared" si="15"/>
        <v>12895512.097937202</v>
      </c>
      <c r="AB84" s="31">
        <f t="shared" si="15"/>
        <v>12895512.097937202</v>
      </c>
      <c r="AC84" s="31">
        <f t="shared" si="15"/>
        <v>12895512.097937202</v>
      </c>
      <c r="AD84" s="31">
        <f t="shared" si="15"/>
        <v>12895512.097937202</v>
      </c>
      <c r="AE84" s="31">
        <f t="shared" si="15"/>
        <v>12895512.097937202</v>
      </c>
      <c r="AF84" s="31">
        <f t="shared" si="15"/>
        <v>12895512.097937202</v>
      </c>
      <c r="AG84" s="31">
        <f t="shared" si="15"/>
        <v>12895512.097937202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189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1332.0576684927819</v>
      </c>
      <c r="J87" s="183">
        <f t="shared" si="17"/>
        <v>-75391.984716862149</v>
      </c>
      <c r="K87" s="183">
        <f t="shared" si="17"/>
        <v>-691339.78112585051</v>
      </c>
      <c r="L87" s="183">
        <f t="shared" si="17"/>
        <v>-1597618.8565665991</v>
      </c>
      <c r="M87" s="183">
        <f t="shared" si="17"/>
        <v>-2107964.9957115608</v>
      </c>
      <c r="N87" s="183">
        <f t="shared" si="17"/>
        <v>-1689839.0616686875</v>
      </c>
      <c r="O87" s="183">
        <f t="shared" si="17"/>
        <v>-1276861.6990403929</v>
      </c>
      <c r="P87" s="183">
        <f t="shared" si="17"/>
        <v>69892.530600710772</v>
      </c>
      <c r="Q87" s="183">
        <f t="shared" si="17"/>
        <v>3292309.045603802</v>
      </c>
      <c r="R87" s="183">
        <f t="shared" si="17"/>
        <v>9978900.7370296586</v>
      </c>
      <c r="S87" s="183">
        <f t="shared" si="17"/>
        <v>9978556.3231035564</v>
      </c>
      <c r="T87" s="183">
        <f t="shared" si="17"/>
        <v>9978556.3231035564</v>
      </c>
      <c r="U87" s="183">
        <f t="shared" si="17"/>
        <v>9978556.3231035564</v>
      </c>
      <c r="V87" s="183">
        <f t="shared" si="17"/>
        <v>9978556.3231035564</v>
      </c>
      <c r="W87" s="183">
        <f t="shared" si="17"/>
        <v>9978556.3231035564</v>
      </c>
      <c r="X87" s="183">
        <f t="shared" si="17"/>
        <v>9978556.3231035564</v>
      </c>
      <c r="Y87" s="183">
        <f t="shared" si="17"/>
        <v>9978556.3231035564</v>
      </c>
      <c r="Z87" s="183">
        <f t="shared" si="17"/>
        <v>9978556.3231035564</v>
      </c>
      <c r="AA87" s="183">
        <f t="shared" si="17"/>
        <v>9978556.3231035564</v>
      </c>
      <c r="AB87" s="183">
        <f t="shared" si="17"/>
        <v>9978556.3231035564</v>
      </c>
      <c r="AC87" s="183">
        <f>SUM(AC82:AC86)</f>
        <v>9978556.3231035564</v>
      </c>
      <c r="AD87" s="183">
        <f>SUM(AD82:AD86)</f>
        <v>9978556.3231035564</v>
      </c>
      <c r="AE87" s="183">
        <f>SUM(AE82:AE86)</f>
        <v>9978556.3231035564</v>
      </c>
      <c r="AF87" s="183">
        <f>SUM(AF82:AF86)</f>
        <v>9978556.3231035564</v>
      </c>
      <c r="AG87" s="183">
        <f>SUM(AG82:AG86)</f>
        <v>9978556.3231035564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194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1332.0576684927819</v>
      </c>
      <c r="J106" s="31">
        <f t="shared" ref="J106:AG106" si="18">J87</f>
        <v>-75391.984716862149</v>
      </c>
      <c r="K106" s="31">
        <f t="shared" si="18"/>
        <v>-691339.78112585051</v>
      </c>
      <c r="L106" s="31">
        <f t="shared" si="18"/>
        <v>-1597618.8565665991</v>
      </c>
      <c r="M106" s="31">
        <f t="shared" si="18"/>
        <v>-2107964.9957115608</v>
      </c>
      <c r="N106" s="31">
        <f t="shared" si="18"/>
        <v>-1689839.0616686875</v>
      </c>
      <c r="O106" s="31">
        <f t="shared" si="18"/>
        <v>-1276861.6990403929</v>
      </c>
      <c r="P106" s="31">
        <f t="shared" si="18"/>
        <v>69892.530600710772</v>
      </c>
      <c r="Q106" s="31">
        <f t="shared" si="18"/>
        <v>3292309.045603802</v>
      </c>
      <c r="R106" s="31">
        <f t="shared" si="18"/>
        <v>9978900.7370296586</v>
      </c>
      <c r="S106" s="31">
        <f t="shared" si="18"/>
        <v>9978556.3231035564</v>
      </c>
      <c r="T106" s="31">
        <f t="shared" si="18"/>
        <v>9978556.3231035564</v>
      </c>
      <c r="U106" s="31">
        <f t="shared" si="18"/>
        <v>9978556.3231035564</v>
      </c>
      <c r="V106" s="31">
        <f t="shared" si="18"/>
        <v>9978556.3231035564</v>
      </c>
      <c r="W106" s="31">
        <f t="shared" si="18"/>
        <v>9978556.3231035564</v>
      </c>
      <c r="X106" s="31">
        <f t="shared" si="18"/>
        <v>9978556.3231035564</v>
      </c>
      <c r="Y106" s="31">
        <f t="shared" si="18"/>
        <v>9978556.3231035564</v>
      </c>
      <c r="Z106" s="31">
        <f t="shared" si="18"/>
        <v>9978556.3231035564</v>
      </c>
      <c r="AA106" s="31">
        <f t="shared" si="18"/>
        <v>9978556.3231035564</v>
      </c>
      <c r="AB106" s="31">
        <f t="shared" si="18"/>
        <v>9978556.3231035564</v>
      </c>
      <c r="AC106" s="31">
        <f t="shared" si="18"/>
        <v>9978556.3231035564</v>
      </c>
      <c r="AD106" s="31">
        <f t="shared" si="18"/>
        <v>9978556.3231035564</v>
      </c>
      <c r="AE106" s="31">
        <f t="shared" si="18"/>
        <v>9978556.3231035564</v>
      </c>
      <c r="AF106" s="31">
        <f t="shared" si="18"/>
        <v>9978556.3231035564</v>
      </c>
      <c r="AG106" s="31">
        <f t="shared" si="18"/>
        <v>9978556.3231035564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-89530.790089750764</v>
      </c>
      <c r="K107" s="31">
        <f t="shared" si="19"/>
        <v>-675744.29662978556</v>
      </c>
      <c r="L107" s="31">
        <f t="shared" si="19"/>
        <v>-1705348.3826619191</v>
      </c>
      <c r="M107" s="31">
        <f t="shared" si="19"/>
        <v>-2451395.6663669422</v>
      </c>
      <c r="N107" s="31">
        <f t="shared" si="19"/>
        <v>-2451395.6663669422</v>
      </c>
      <c r="O107" s="31">
        <f t="shared" si="19"/>
        <v>-2684175.7206002939</v>
      </c>
      <c r="P107" s="31">
        <f t="shared" si="19"/>
        <v>-2916955.7748336461</v>
      </c>
      <c r="Q107" s="31">
        <f t="shared" si="19"/>
        <v>-2916955.7748336461</v>
      </c>
      <c r="R107" s="31">
        <f t="shared" si="19"/>
        <v>-2916955.7748336461</v>
      </c>
      <c r="S107" s="31">
        <f t="shared" si="19"/>
        <v>-2916955.7748336461</v>
      </c>
      <c r="T107" s="31">
        <f t="shared" si="19"/>
        <v>-2916955.7748336461</v>
      </c>
      <c r="U107" s="31">
        <f t="shared" si="19"/>
        <v>-2916955.7748336461</v>
      </c>
      <c r="V107" s="31">
        <f t="shared" si="19"/>
        <v>-2916955.7748336461</v>
      </c>
      <c r="W107" s="31">
        <f t="shared" si="19"/>
        <v>-2916955.7748336461</v>
      </c>
      <c r="X107" s="31">
        <f t="shared" si="19"/>
        <v>-2916955.7748336461</v>
      </c>
      <c r="Y107" s="31">
        <f t="shared" si="19"/>
        <v>-2916955.7748336461</v>
      </c>
      <c r="Z107" s="31">
        <f t="shared" si="19"/>
        <v>-2916955.7748336461</v>
      </c>
      <c r="AA107" s="31">
        <f t="shared" si="19"/>
        <v>-2916955.7748336461</v>
      </c>
      <c r="AB107" s="31">
        <f t="shared" si="19"/>
        <v>-2916955.7748336461</v>
      </c>
      <c r="AC107" s="31">
        <f t="shared" si="19"/>
        <v>-2916955.7748336461</v>
      </c>
      <c r="AD107" s="31">
        <f t="shared" si="19"/>
        <v>-2916955.7748336461</v>
      </c>
      <c r="AE107" s="31">
        <f t="shared" si="19"/>
        <v>-2916955.7748336461</v>
      </c>
      <c r="AF107" s="31">
        <f t="shared" si="19"/>
        <v>-2916955.7748336461</v>
      </c>
      <c r="AG107" s="31">
        <f t="shared" si="19"/>
        <v>-2916955.7748336461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1332.0576684927819</v>
      </c>
      <c r="J108" s="31">
        <f t="shared" ref="J108:AG108" si="20">SUM(J84:J85)</f>
        <v>14138.805372888608</v>
      </c>
      <c r="K108" s="31">
        <f t="shared" si="20"/>
        <v>-15595.48449606495</v>
      </c>
      <c r="L108" s="31">
        <f t="shared" si="20"/>
        <v>107729.52609532005</v>
      </c>
      <c r="M108" s="31">
        <f t="shared" si="20"/>
        <v>343430.67065538128</v>
      </c>
      <c r="N108" s="31">
        <f t="shared" si="20"/>
        <v>761556.60469825473</v>
      </c>
      <c r="O108" s="31">
        <f t="shared" si="20"/>
        <v>1407314.0215599011</v>
      </c>
      <c r="P108" s="31">
        <f t="shared" si="20"/>
        <v>2986848.3054343569</v>
      </c>
      <c r="Q108" s="31">
        <f t="shared" si="20"/>
        <v>6209264.8204374481</v>
      </c>
      <c r="R108" s="31">
        <f t="shared" si="20"/>
        <v>12895856.511863304</v>
      </c>
      <c r="S108" s="31">
        <f t="shared" si="20"/>
        <v>12895512.097937202</v>
      </c>
      <c r="T108" s="31">
        <f t="shared" si="20"/>
        <v>12895512.097937202</v>
      </c>
      <c r="U108" s="31">
        <f t="shared" si="20"/>
        <v>12895512.097937202</v>
      </c>
      <c r="V108" s="31">
        <f t="shared" si="20"/>
        <v>12895512.097937202</v>
      </c>
      <c r="W108" s="31">
        <f t="shared" si="20"/>
        <v>12895512.097937202</v>
      </c>
      <c r="X108" s="31">
        <f t="shared" si="20"/>
        <v>12895512.097937202</v>
      </c>
      <c r="Y108" s="31">
        <f t="shared" si="20"/>
        <v>12895512.097937202</v>
      </c>
      <c r="Z108" s="31">
        <f t="shared" si="20"/>
        <v>12895512.097937202</v>
      </c>
      <c r="AA108" s="31">
        <f t="shared" si="20"/>
        <v>12895512.097937202</v>
      </c>
      <c r="AB108" s="31">
        <f t="shared" si="20"/>
        <v>12895512.097937202</v>
      </c>
      <c r="AC108" s="31">
        <f t="shared" si="20"/>
        <v>12895512.097937202</v>
      </c>
      <c r="AD108" s="31">
        <f t="shared" si="20"/>
        <v>12895512.097937202</v>
      </c>
      <c r="AE108" s="31">
        <f t="shared" si="20"/>
        <v>12895512.097937202</v>
      </c>
      <c r="AF108" s="31">
        <f t="shared" si="20"/>
        <v>12895512.097937202</v>
      </c>
      <c r="AG108" s="31">
        <f t="shared" si="20"/>
        <v>12895512.097937202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1332.0576684927819</v>
      </c>
      <c r="J110" s="31" cm="1">
        <f t="array" ref="J110">J$106+IF($C110&lt;&gt;0,SUMPRODUCT((J$107:J$108)*TRANSPOSE(($D110:$E110))),0)</f>
        <v>-84345.06372583723</v>
      </c>
      <c r="K110" s="31" cm="1">
        <f t="array" ref="K110">K$106+IF($C110&lt;&gt;0,SUMPRODUCT((K$107:K$108)*TRANSPOSE(($D110:$E110))),0)</f>
        <v>-758914.21078882902</v>
      </c>
      <c r="L110" s="31" cm="1">
        <f t="array" ref="L110">L$106+IF($C110&lt;&gt;0,SUMPRODUCT((L$107:L$108)*TRANSPOSE(($D110:$E110))),0)</f>
        <v>-1768153.6948327911</v>
      </c>
      <c r="M110" s="31" cm="1">
        <f t="array" ref="M110">M$106+IF($C110&lt;&gt;0,SUMPRODUCT((M$107:M$108)*TRANSPOSE(($D110:$E110))),0)</f>
        <v>-2353104.562348255</v>
      </c>
      <c r="N110" s="31" cm="1">
        <f t="array" ref="N110">N$106+IF($C110&lt;&gt;0,SUMPRODUCT((N$107:N$108)*TRANSPOSE(($D110:$E110))),0)</f>
        <v>-1934978.6283053816</v>
      </c>
      <c r="O110" s="31" cm="1">
        <f t="array" ref="O110">O$106+IF($C110&lt;&gt;0,SUMPRODUCT((O$107:O$108)*TRANSPOSE(($D110:$E110))),0)</f>
        <v>-1545279.2711004224</v>
      </c>
      <c r="P110" s="31" cm="1">
        <f t="array" ref="P110">P$106+IF($C110&lt;&gt;0,SUMPRODUCT((P$107:P$108)*TRANSPOSE(($D110:$E110))),0)</f>
        <v>-221803.04688265384</v>
      </c>
      <c r="Q110" s="31" cm="1">
        <f t="array" ref="Q110">Q$106+IF($C110&lt;&gt;0,SUMPRODUCT((Q$107:Q$108)*TRANSPOSE(($D110:$E110))),0)</f>
        <v>3000613.4681204371</v>
      </c>
      <c r="R110" s="31" cm="1">
        <f t="array" ref="R110">R$106+IF($C110&lt;&gt;0,SUMPRODUCT((R$107:R$108)*TRANSPOSE(($D110:$E110))),0)</f>
        <v>9687205.1595462933</v>
      </c>
      <c r="S110" s="31" cm="1">
        <f t="array" ref="S110">S$106+IF($C110&lt;&gt;0,SUMPRODUCT((S$107:S$108)*TRANSPOSE(($D110:$E110))),0)</f>
        <v>9686860.7456201911</v>
      </c>
      <c r="T110" s="31" cm="1">
        <f t="array" ref="T110">T$106+IF($C110&lt;&gt;0,SUMPRODUCT((T$107:T$108)*TRANSPOSE(($D110:$E110))),0)</f>
        <v>9686860.7456201911</v>
      </c>
      <c r="U110" s="31" cm="1">
        <f t="array" ref="U110">U$106+IF($C110&lt;&gt;0,SUMPRODUCT((U$107:U$108)*TRANSPOSE(($D110:$E110))),0)</f>
        <v>9686860.7456201911</v>
      </c>
      <c r="V110" s="31" cm="1">
        <f t="array" ref="V110">V$106+IF($C110&lt;&gt;0,SUMPRODUCT((V$107:V$108)*TRANSPOSE(($D110:$E110))),0)</f>
        <v>9686860.7456201911</v>
      </c>
      <c r="W110" s="31" cm="1">
        <f t="array" ref="W110">W$106+IF($C110&lt;&gt;0,SUMPRODUCT((W$107:W$108)*TRANSPOSE(($D110:$E110))),0)</f>
        <v>9686860.7456201911</v>
      </c>
      <c r="X110" s="31" cm="1">
        <f t="array" ref="X110">X$106+IF($C110&lt;&gt;0,SUMPRODUCT((X$107:X$108)*TRANSPOSE(($D110:$E110))),0)</f>
        <v>9686860.7456201911</v>
      </c>
      <c r="Y110" s="31" cm="1">
        <f t="array" ref="Y110">Y$106+IF($C110&lt;&gt;0,SUMPRODUCT((Y$107:Y$108)*TRANSPOSE(($D110:$E110))),0)</f>
        <v>9686860.7456201911</v>
      </c>
      <c r="Z110" s="31" cm="1">
        <f t="array" ref="Z110">Z$106+IF($C110&lt;&gt;0,SUMPRODUCT((Z$107:Z$108)*TRANSPOSE(($D110:$E110))),0)</f>
        <v>9686860.7456201911</v>
      </c>
      <c r="AA110" s="31" cm="1">
        <f t="array" ref="AA110">AA$106+IF($C110&lt;&gt;0,SUMPRODUCT((AA$107:AA$108)*TRANSPOSE(($D110:$E110))),0)</f>
        <v>9686860.7456201911</v>
      </c>
      <c r="AB110" s="31" cm="1">
        <f t="array" ref="AB110">AB$106+IF($C110&lt;&gt;0,SUMPRODUCT((AB$107:AB$108)*TRANSPOSE(($D110:$E110))),0)</f>
        <v>9686860.7456201911</v>
      </c>
      <c r="AC110" s="31" cm="1">
        <f t="array" ref="AC110">AC$106+IF($C110&lt;&gt;0,SUMPRODUCT((AC$107:AC$108)*TRANSPOSE(($D110:$E110))),0)</f>
        <v>9686860.7456201911</v>
      </c>
      <c r="AD110" s="31" cm="1">
        <f t="array" ref="AD110">AD$106+IF($C110&lt;&gt;0,SUMPRODUCT((AD$107:AD$108)*TRANSPOSE(($D110:$E110))),0)</f>
        <v>9686860.7456201911</v>
      </c>
      <c r="AE110" s="31" cm="1">
        <f t="array" ref="AE110">AE$106+IF($C110&lt;&gt;0,SUMPRODUCT((AE$107:AE$108)*TRANSPOSE(($D110:$E110))),0)</f>
        <v>9686860.7456201911</v>
      </c>
      <c r="AF110" s="31" cm="1">
        <f t="array" ref="AF110">AF$106+IF($C110&lt;&gt;0,SUMPRODUCT((AF$107:AF$108)*TRANSPOSE(($D110:$E110))),0)</f>
        <v>9686860.7456201911</v>
      </c>
      <c r="AG110" s="31" cm="1">
        <f t="array" ref="AG110">AG$106+IF($C110&lt;&gt;0,SUMPRODUCT((AG$107:AG$108)*TRANSPOSE(($D110:$E110))),0)</f>
        <v>9686860.7456201911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1332.0576684927819</v>
      </c>
      <c r="J111" s="31" cm="1">
        <f t="array" ref="J111">J$106+IF($C111&lt;&gt;0,SUMPRODUCT((J$107:J$108)*TRANSPOSE(($D111:$E111))),0)</f>
        <v>-66438.905707887068</v>
      </c>
      <c r="K111" s="31" cm="1">
        <f t="array" ref="K111">K$106+IF($C111&lt;&gt;0,SUMPRODUCT((K$107:K$108)*TRANSPOSE(($D111:$E111))),0)</f>
        <v>-623765.351462872</v>
      </c>
      <c r="L111" s="31" cm="1">
        <f t="array" ref="L111">L$106+IF($C111&lt;&gt;0,SUMPRODUCT((L$107:L$108)*TRANSPOSE(($D111:$E111))),0)</f>
        <v>-1427084.0183004071</v>
      </c>
      <c r="M111" s="31" cm="1">
        <f t="array" ref="M111">M$106+IF($C111&lt;&gt;0,SUMPRODUCT((M$107:M$108)*TRANSPOSE(($D111:$E111))),0)</f>
        <v>-1862825.4290748667</v>
      </c>
      <c r="N111" s="31" cm="1">
        <f t="array" ref="N111">N$106+IF($C111&lt;&gt;0,SUMPRODUCT((N$107:N$108)*TRANSPOSE(($D111:$E111))),0)</f>
        <v>-1444699.4950319934</v>
      </c>
      <c r="O111" s="31" cm="1">
        <f t="array" ref="O111">O$106+IF($C111&lt;&gt;0,SUMPRODUCT((O$107:O$108)*TRANSPOSE(($D111:$E111))),0)</f>
        <v>-1008444.1269803634</v>
      </c>
      <c r="P111" s="31" cm="1">
        <f t="array" ref="P111">P$106+IF($C111&lt;&gt;0,SUMPRODUCT((P$107:P$108)*TRANSPOSE(($D111:$E111))),0)</f>
        <v>361588.10808407539</v>
      </c>
      <c r="Q111" s="31" cm="1">
        <f t="array" ref="Q111">Q$106+IF($C111&lt;&gt;0,SUMPRODUCT((Q$107:Q$108)*TRANSPOSE(($D111:$E111))),0)</f>
        <v>3584004.6230871668</v>
      </c>
      <c r="R111" s="31" cm="1">
        <f t="array" ref="R111">R$106+IF($C111&lt;&gt;0,SUMPRODUCT((R$107:R$108)*TRANSPOSE(($D111:$E111))),0)</f>
        <v>10270596.314513024</v>
      </c>
      <c r="S111" s="31" cm="1">
        <f t="array" ref="S111">S$106+IF($C111&lt;&gt;0,SUMPRODUCT((S$107:S$108)*TRANSPOSE(($D111:$E111))),0)</f>
        <v>10270251.900586922</v>
      </c>
      <c r="T111" s="31" cm="1">
        <f t="array" ref="T111">T$106+IF($C111&lt;&gt;0,SUMPRODUCT((T$107:T$108)*TRANSPOSE(($D111:$E111))),0)</f>
        <v>10270251.900586922</v>
      </c>
      <c r="U111" s="31" cm="1">
        <f t="array" ref="U111">U$106+IF($C111&lt;&gt;0,SUMPRODUCT((U$107:U$108)*TRANSPOSE(($D111:$E111))),0)</f>
        <v>10270251.900586922</v>
      </c>
      <c r="V111" s="31" cm="1">
        <f t="array" ref="V111">V$106+IF($C111&lt;&gt;0,SUMPRODUCT((V$107:V$108)*TRANSPOSE(($D111:$E111))),0)</f>
        <v>10270251.900586922</v>
      </c>
      <c r="W111" s="31" cm="1">
        <f t="array" ref="W111">W$106+IF($C111&lt;&gt;0,SUMPRODUCT((W$107:W$108)*TRANSPOSE(($D111:$E111))),0)</f>
        <v>10270251.900586922</v>
      </c>
      <c r="X111" s="31" cm="1">
        <f t="array" ref="X111">X$106+IF($C111&lt;&gt;0,SUMPRODUCT((X$107:X$108)*TRANSPOSE(($D111:$E111))),0)</f>
        <v>10270251.900586922</v>
      </c>
      <c r="Y111" s="31" cm="1">
        <f t="array" ref="Y111">Y$106+IF($C111&lt;&gt;0,SUMPRODUCT((Y$107:Y$108)*TRANSPOSE(($D111:$E111))),0)</f>
        <v>10270251.900586922</v>
      </c>
      <c r="Z111" s="31" cm="1">
        <f t="array" ref="Z111">Z$106+IF($C111&lt;&gt;0,SUMPRODUCT((Z$107:Z$108)*TRANSPOSE(($D111:$E111))),0)</f>
        <v>10270251.900586922</v>
      </c>
      <c r="AA111" s="31" cm="1">
        <f t="array" ref="AA111">AA$106+IF($C111&lt;&gt;0,SUMPRODUCT((AA$107:AA$108)*TRANSPOSE(($D111:$E111))),0)</f>
        <v>10270251.900586922</v>
      </c>
      <c r="AB111" s="31" cm="1">
        <f t="array" ref="AB111">AB$106+IF($C111&lt;&gt;0,SUMPRODUCT((AB$107:AB$108)*TRANSPOSE(($D111:$E111))),0)</f>
        <v>10270251.900586922</v>
      </c>
      <c r="AC111" s="31" cm="1">
        <f t="array" ref="AC111">AC$106+IF($C111&lt;&gt;0,SUMPRODUCT((AC$107:AC$108)*TRANSPOSE(($D111:$E111))),0)</f>
        <v>10270251.900586922</v>
      </c>
      <c r="AD111" s="31" cm="1">
        <f t="array" ref="AD111">AD$106+IF($C111&lt;&gt;0,SUMPRODUCT((AD$107:AD$108)*TRANSPOSE(($D111:$E111))),0)</f>
        <v>10270251.900586922</v>
      </c>
      <c r="AE111" s="31" cm="1">
        <f t="array" ref="AE111">AE$106+IF($C111&lt;&gt;0,SUMPRODUCT((AE$107:AE$108)*TRANSPOSE(($D111:$E111))),0)</f>
        <v>10270251.900586922</v>
      </c>
      <c r="AF111" s="31" cm="1">
        <f t="array" ref="AF111">AF$106+IF($C111&lt;&gt;0,SUMPRODUCT((AF$107:AF$108)*TRANSPOSE(($D111:$E111))),0)</f>
        <v>10270251.900586922</v>
      </c>
      <c r="AG111" s="31" cm="1">
        <f t="array" ref="AG111">AG$106+IF($C111&lt;&gt;0,SUMPRODUCT((AG$107:AG$108)*TRANSPOSE(($D111:$E111))),0)</f>
        <v>10270251.900586922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1465.2634353420601</v>
      </c>
      <c r="J112" s="31" cm="1">
        <f t="array" ref="J112">J$106+IF($C112&lt;&gt;0,SUMPRODUCT((J$107:J$108)*TRANSPOSE(($D112:$E112))),0)</f>
        <v>-73978.104179573289</v>
      </c>
      <c r="K112" s="31" cm="1">
        <f t="array" ref="K112">K$106+IF($C112&lt;&gt;0,SUMPRODUCT((K$107:K$108)*TRANSPOSE(($D112:$E112))),0)</f>
        <v>-692899.32957545703</v>
      </c>
      <c r="L112" s="31" cm="1">
        <f t="array" ref="L112">L$106+IF($C112&lt;&gt;0,SUMPRODUCT((L$107:L$108)*TRANSPOSE(($D112:$E112))),0)</f>
        <v>-1586845.9039570671</v>
      </c>
      <c r="M112" s="31" cm="1">
        <f t="array" ref="M112">M$106+IF($C112&lt;&gt;0,SUMPRODUCT((M$107:M$108)*TRANSPOSE(($D112:$E112))),0)</f>
        <v>-2073621.9286460227</v>
      </c>
      <c r="N112" s="31" cm="1">
        <f t="array" ref="N112">N$106+IF($C112&lt;&gt;0,SUMPRODUCT((N$107:N$108)*TRANSPOSE(($D112:$E112))),0)</f>
        <v>-1613683.4011988621</v>
      </c>
      <c r="O112" s="31" cm="1">
        <f t="array" ref="O112">O$106+IF($C112&lt;&gt;0,SUMPRODUCT((O$107:O$108)*TRANSPOSE(($D112:$E112))),0)</f>
        <v>-1136130.2968844029</v>
      </c>
      <c r="P112" s="31" cm="1">
        <f t="array" ref="P112">P$106+IF($C112&lt;&gt;0,SUMPRODUCT((P$107:P$108)*TRANSPOSE(($D112:$E112))),0)</f>
        <v>368577.36114414647</v>
      </c>
      <c r="Q112" s="31" cm="1">
        <f t="array" ref="Q112">Q$106+IF($C112&lt;&gt;0,SUMPRODUCT((Q$107:Q$108)*TRANSPOSE(($D112:$E112))),0)</f>
        <v>3913235.527647547</v>
      </c>
      <c r="R112" s="31" cm="1">
        <f t="array" ref="R112">R$106+IF($C112&lt;&gt;0,SUMPRODUCT((R$107:R$108)*TRANSPOSE(($D112:$E112))),0)</f>
        <v>11268486.388215989</v>
      </c>
      <c r="S112" s="31" cm="1">
        <f t="array" ref="S112">S$106+IF($C112&lt;&gt;0,SUMPRODUCT((S$107:S$108)*TRANSPOSE(($D112:$E112))),0)</f>
        <v>11268107.532897277</v>
      </c>
      <c r="T112" s="31" cm="1">
        <f t="array" ref="T112">T$106+IF($C112&lt;&gt;0,SUMPRODUCT((T$107:T$108)*TRANSPOSE(($D112:$E112))),0)</f>
        <v>11268107.532897277</v>
      </c>
      <c r="U112" s="31" cm="1">
        <f t="array" ref="U112">U$106+IF($C112&lt;&gt;0,SUMPRODUCT((U$107:U$108)*TRANSPOSE(($D112:$E112))),0)</f>
        <v>11268107.532897277</v>
      </c>
      <c r="V112" s="31" cm="1">
        <f t="array" ref="V112">V$106+IF($C112&lt;&gt;0,SUMPRODUCT((V$107:V$108)*TRANSPOSE(($D112:$E112))),0)</f>
        <v>11268107.532897277</v>
      </c>
      <c r="W112" s="31" cm="1">
        <f t="array" ref="W112">W$106+IF($C112&lt;&gt;0,SUMPRODUCT((W$107:W$108)*TRANSPOSE(($D112:$E112))),0)</f>
        <v>11268107.532897277</v>
      </c>
      <c r="X112" s="31" cm="1">
        <f t="array" ref="X112">X$106+IF($C112&lt;&gt;0,SUMPRODUCT((X$107:X$108)*TRANSPOSE(($D112:$E112))),0)</f>
        <v>11268107.532897277</v>
      </c>
      <c r="Y112" s="31" cm="1">
        <f t="array" ref="Y112">Y$106+IF($C112&lt;&gt;0,SUMPRODUCT((Y$107:Y$108)*TRANSPOSE(($D112:$E112))),0)</f>
        <v>11268107.532897277</v>
      </c>
      <c r="Z112" s="31" cm="1">
        <f t="array" ref="Z112">Z$106+IF($C112&lt;&gt;0,SUMPRODUCT((Z$107:Z$108)*TRANSPOSE(($D112:$E112))),0)</f>
        <v>11268107.532897277</v>
      </c>
      <c r="AA112" s="31" cm="1">
        <f t="array" ref="AA112">AA$106+IF($C112&lt;&gt;0,SUMPRODUCT((AA$107:AA$108)*TRANSPOSE(($D112:$E112))),0)</f>
        <v>11268107.532897277</v>
      </c>
      <c r="AB112" s="31" cm="1">
        <f t="array" ref="AB112">AB$106+IF($C112&lt;&gt;0,SUMPRODUCT((AB$107:AB$108)*TRANSPOSE(($D112:$E112))),0)</f>
        <v>11268107.532897277</v>
      </c>
      <c r="AC112" s="31" cm="1">
        <f t="array" ref="AC112">AC$106+IF($C112&lt;&gt;0,SUMPRODUCT((AC$107:AC$108)*TRANSPOSE(($D112:$E112))),0)</f>
        <v>11268107.532897277</v>
      </c>
      <c r="AD112" s="31" cm="1">
        <f t="array" ref="AD112">AD$106+IF($C112&lt;&gt;0,SUMPRODUCT((AD$107:AD$108)*TRANSPOSE(($D112:$E112))),0)</f>
        <v>11268107.532897277</v>
      </c>
      <c r="AE112" s="31" cm="1">
        <f t="array" ref="AE112">AE$106+IF($C112&lt;&gt;0,SUMPRODUCT((AE$107:AE$108)*TRANSPOSE(($D112:$E112))),0)</f>
        <v>11268107.532897277</v>
      </c>
      <c r="AF112" s="31" cm="1">
        <f t="array" ref="AF112">AF$106+IF($C112&lt;&gt;0,SUMPRODUCT((AF$107:AF$108)*TRANSPOSE(($D112:$E112))),0)</f>
        <v>11268107.532897277</v>
      </c>
      <c r="AG112" s="31" cm="1">
        <f t="array" ref="AG112">AG$106+IF($C112&lt;&gt;0,SUMPRODUCT((AG$107:AG$108)*TRANSPOSE(($D112:$E112))),0)</f>
        <v>11268107.532897277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1198.8519016435037</v>
      </c>
      <c r="J113" s="31" cm="1">
        <f t="array" ref="J113">J$106+IF($C113&lt;&gt;0,SUMPRODUCT((J$107:J$108)*TRANSPOSE(($D113:$E113))),0)</f>
        <v>-76805.865254151009</v>
      </c>
      <c r="K113" s="31" cm="1">
        <f t="array" ref="K113">K$106+IF($C113&lt;&gt;0,SUMPRODUCT((K$107:K$108)*TRANSPOSE(($D113:$E113))),0)</f>
        <v>-689780.23267624399</v>
      </c>
      <c r="L113" s="31" cm="1">
        <f t="array" ref="L113">L$106+IF($C113&lt;&gt;0,SUMPRODUCT((L$107:L$108)*TRANSPOSE(($D113:$E113))),0)</f>
        <v>-1608391.8091761312</v>
      </c>
      <c r="M113" s="31" cm="1">
        <f t="array" ref="M113">M$106+IF($C113&lt;&gt;0,SUMPRODUCT((M$107:M$108)*TRANSPOSE(($D113:$E113))),0)</f>
        <v>-2142308.0627770987</v>
      </c>
      <c r="N113" s="31" cm="1">
        <f t="array" ref="N113">N$106+IF($C113&lt;&gt;0,SUMPRODUCT((N$107:N$108)*TRANSPOSE(($D113:$E113))),0)</f>
        <v>-1765994.7221385129</v>
      </c>
      <c r="O113" s="31" cm="1">
        <f t="array" ref="O113">O$106+IF($C113&lt;&gt;0,SUMPRODUCT((O$107:O$108)*TRANSPOSE(($D113:$E113))),0)</f>
        <v>-1417593.1011963829</v>
      </c>
      <c r="P113" s="31" cm="1">
        <f t="array" ref="P113">P$106+IF($C113&lt;&gt;0,SUMPRODUCT((P$107:P$108)*TRANSPOSE(($D113:$E113))),0)</f>
        <v>-228792.29994272493</v>
      </c>
      <c r="Q113" s="31" cm="1">
        <f t="array" ref="Q113">Q$106+IF($C113&lt;&gt;0,SUMPRODUCT((Q$107:Q$108)*TRANSPOSE(($D113:$E113))),0)</f>
        <v>2671382.563560057</v>
      </c>
      <c r="R113" s="31" cm="1">
        <f t="array" ref="R113">R$106+IF($C113&lt;&gt;0,SUMPRODUCT((R$107:R$108)*TRANSPOSE(($D113:$E113))),0)</f>
        <v>8689315.0858433284</v>
      </c>
      <c r="S113" s="31" cm="1">
        <f t="array" ref="S113">S$106+IF($C113&lt;&gt;0,SUMPRODUCT((S$107:S$108)*TRANSPOSE(($D113:$E113))),0)</f>
        <v>8689005.113309836</v>
      </c>
      <c r="T113" s="31" cm="1">
        <f t="array" ref="T113">T$106+IF($C113&lt;&gt;0,SUMPRODUCT((T$107:T$108)*TRANSPOSE(($D113:$E113))),0)</f>
        <v>8689005.113309836</v>
      </c>
      <c r="U113" s="31" cm="1">
        <f t="array" ref="U113">U$106+IF($C113&lt;&gt;0,SUMPRODUCT((U$107:U$108)*TRANSPOSE(($D113:$E113))),0)</f>
        <v>8689005.113309836</v>
      </c>
      <c r="V113" s="31" cm="1">
        <f t="array" ref="V113">V$106+IF($C113&lt;&gt;0,SUMPRODUCT((V$107:V$108)*TRANSPOSE(($D113:$E113))),0)</f>
        <v>8689005.113309836</v>
      </c>
      <c r="W113" s="31" cm="1">
        <f t="array" ref="W113">W$106+IF($C113&lt;&gt;0,SUMPRODUCT((W$107:W$108)*TRANSPOSE(($D113:$E113))),0)</f>
        <v>8689005.113309836</v>
      </c>
      <c r="X113" s="31" cm="1">
        <f t="array" ref="X113">X$106+IF($C113&lt;&gt;0,SUMPRODUCT((X$107:X$108)*TRANSPOSE(($D113:$E113))),0)</f>
        <v>8689005.113309836</v>
      </c>
      <c r="Y113" s="31" cm="1">
        <f t="array" ref="Y113">Y$106+IF($C113&lt;&gt;0,SUMPRODUCT((Y$107:Y$108)*TRANSPOSE(($D113:$E113))),0)</f>
        <v>8689005.113309836</v>
      </c>
      <c r="Z113" s="31" cm="1">
        <f t="array" ref="Z113">Z$106+IF($C113&lt;&gt;0,SUMPRODUCT((Z$107:Z$108)*TRANSPOSE(($D113:$E113))),0)</f>
        <v>8689005.113309836</v>
      </c>
      <c r="AA113" s="31" cm="1">
        <f t="array" ref="AA113">AA$106+IF($C113&lt;&gt;0,SUMPRODUCT((AA$107:AA$108)*TRANSPOSE(($D113:$E113))),0)</f>
        <v>8689005.113309836</v>
      </c>
      <c r="AB113" s="31" cm="1">
        <f t="array" ref="AB113">AB$106+IF($C113&lt;&gt;0,SUMPRODUCT((AB$107:AB$108)*TRANSPOSE(($D113:$E113))),0)</f>
        <v>8689005.113309836</v>
      </c>
      <c r="AC113" s="31" cm="1">
        <f t="array" ref="AC113">AC$106+IF($C113&lt;&gt;0,SUMPRODUCT((AC$107:AC$108)*TRANSPOSE(($D113:$E113))),0)</f>
        <v>8689005.113309836</v>
      </c>
      <c r="AD113" s="31" cm="1">
        <f t="array" ref="AD113">AD$106+IF($C113&lt;&gt;0,SUMPRODUCT((AD$107:AD$108)*TRANSPOSE(($D113:$E113))),0)</f>
        <v>8689005.113309836</v>
      </c>
      <c r="AE113" s="31" cm="1">
        <f t="array" ref="AE113">AE$106+IF($C113&lt;&gt;0,SUMPRODUCT((AE$107:AE$108)*TRANSPOSE(($D113:$E113))),0)</f>
        <v>8689005.113309836</v>
      </c>
      <c r="AF113" s="31" cm="1">
        <f t="array" ref="AF113">AF$106+IF($C113&lt;&gt;0,SUMPRODUCT((AF$107:AF$108)*TRANSPOSE(($D113:$E113))),0)</f>
        <v>8689005.113309836</v>
      </c>
      <c r="AG113" s="31" cm="1">
        <f t="array" ref="AG113">AG$106+IF($C113&lt;&gt;0,SUMPRODUCT((AG$107:AG$108)*TRANSPOSE(($D113:$E113))),0)</f>
        <v>8689005.113309836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1198.8519016435037</v>
      </c>
      <c r="J114" s="31" cm="1">
        <f t="array" ref="J114">J$106+IF($C114&lt;&gt;0,SUMPRODUCT((J$107:J$108)*TRANSPOSE(($D114:$E114))),0)</f>
        <v>-85758.94426312609</v>
      </c>
      <c r="K114" s="31" cm="1">
        <f t="array" ref="K114">K$106+IF($C114&lt;&gt;0,SUMPRODUCT((K$107:K$108)*TRANSPOSE(($D114:$E114))),0)</f>
        <v>-757354.66233922262</v>
      </c>
      <c r="L114" s="31" cm="1">
        <f t="array" ref="L114">L$106+IF($C114&lt;&gt;0,SUMPRODUCT((L$107:L$108)*TRANSPOSE(($D114:$E114))),0)</f>
        <v>-1778926.6474423232</v>
      </c>
      <c r="M114" s="31" cm="1">
        <f t="array" ref="M114">M$106+IF($C114&lt;&gt;0,SUMPRODUCT((M$107:M$108)*TRANSPOSE(($D114:$E114))),0)</f>
        <v>-2387447.6294137933</v>
      </c>
      <c r="N114" s="31" cm="1">
        <f t="array" ref="N114">N$106+IF($C114&lt;&gt;0,SUMPRODUCT((N$107:N$108)*TRANSPOSE(($D114:$E114))),0)</f>
        <v>-2011134.2887752072</v>
      </c>
      <c r="O114" s="31" cm="1">
        <f t="array" ref="O114">O$106+IF($C114&lt;&gt;0,SUMPRODUCT((O$107:O$108)*TRANSPOSE(($D114:$E114))),0)</f>
        <v>-1686010.6732564124</v>
      </c>
      <c r="P114" s="31" cm="1">
        <f t="array" ref="P114">P$106+IF($C114&lt;&gt;0,SUMPRODUCT((P$107:P$108)*TRANSPOSE(($D114:$E114))),0)</f>
        <v>-520487.87742608949</v>
      </c>
      <c r="Q114" s="31" cm="1">
        <f t="array" ref="Q114">Q$106+IF($C114&lt;&gt;0,SUMPRODUCT((Q$107:Q$108)*TRANSPOSE(($D114:$E114))),0)</f>
        <v>2379686.9860766926</v>
      </c>
      <c r="R114" s="31" cm="1">
        <f t="array" ref="R114">R$106+IF($C114&lt;&gt;0,SUMPRODUCT((R$107:R$108)*TRANSPOSE(($D114:$E114))),0)</f>
        <v>8397619.5083599631</v>
      </c>
      <c r="S114" s="31" cm="1">
        <f t="array" ref="S114">S$106+IF($C114&lt;&gt;0,SUMPRODUCT((S$107:S$108)*TRANSPOSE(($D114:$E114))),0)</f>
        <v>8397309.5358264707</v>
      </c>
      <c r="T114" s="31" cm="1">
        <f t="array" ref="T114">T$106+IF($C114&lt;&gt;0,SUMPRODUCT((T$107:T$108)*TRANSPOSE(($D114:$E114))),0)</f>
        <v>8397309.5358264707</v>
      </c>
      <c r="U114" s="31" cm="1">
        <f t="array" ref="U114">U$106+IF($C114&lt;&gt;0,SUMPRODUCT((U$107:U$108)*TRANSPOSE(($D114:$E114))),0)</f>
        <v>8397309.5358264707</v>
      </c>
      <c r="V114" s="31" cm="1">
        <f t="array" ref="V114">V$106+IF($C114&lt;&gt;0,SUMPRODUCT((V$107:V$108)*TRANSPOSE(($D114:$E114))),0)</f>
        <v>8397309.5358264707</v>
      </c>
      <c r="W114" s="31" cm="1">
        <f t="array" ref="W114">W$106+IF($C114&lt;&gt;0,SUMPRODUCT((W$107:W$108)*TRANSPOSE(($D114:$E114))),0)</f>
        <v>8397309.5358264707</v>
      </c>
      <c r="X114" s="31" cm="1">
        <f t="array" ref="X114">X$106+IF($C114&lt;&gt;0,SUMPRODUCT((X$107:X$108)*TRANSPOSE(($D114:$E114))),0)</f>
        <v>8397309.5358264707</v>
      </c>
      <c r="Y114" s="31" cm="1">
        <f t="array" ref="Y114">Y$106+IF($C114&lt;&gt;0,SUMPRODUCT((Y$107:Y$108)*TRANSPOSE(($D114:$E114))),0)</f>
        <v>8397309.5358264707</v>
      </c>
      <c r="Z114" s="31" cm="1">
        <f t="array" ref="Z114">Z$106+IF($C114&lt;&gt;0,SUMPRODUCT((Z$107:Z$108)*TRANSPOSE(($D114:$E114))),0)</f>
        <v>8397309.5358264707</v>
      </c>
      <c r="AA114" s="31" cm="1">
        <f t="array" ref="AA114">AA$106+IF($C114&lt;&gt;0,SUMPRODUCT((AA$107:AA$108)*TRANSPOSE(($D114:$E114))),0)</f>
        <v>8397309.5358264707</v>
      </c>
      <c r="AB114" s="31" cm="1">
        <f t="array" ref="AB114">AB$106+IF($C114&lt;&gt;0,SUMPRODUCT((AB$107:AB$108)*TRANSPOSE(($D114:$E114))),0)</f>
        <v>8397309.5358264707</v>
      </c>
      <c r="AC114" s="31" cm="1">
        <f t="array" ref="AC114">AC$106+IF($C114&lt;&gt;0,SUMPRODUCT((AC$107:AC$108)*TRANSPOSE(($D114:$E114))),0)</f>
        <v>8397309.5358264707</v>
      </c>
      <c r="AD114" s="31" cm="1">
        <f t="array" ref="AD114">AD$106+IF($C114&lt;&gt;0,SUMPRODUCT((AD$107:AD$108)*TRANSPOSE(($D114:$E114))),0)</f>
        <v>8397309.5358264707</v>
      </c>
      <c r="AE114" s="31" cm="1">
        <f t="array" ref="AE114">AE$106+IF($C114&lt;&gt;0,SUMPRODUCT((AE$107:AE$108)*TRANSPOSE(($D114:$E114))),0)</f>
        <v>8397309.5358264707</v>
      </c>
      <c r="AF114" s="31" cm="1">
        <f t="array" ref="AF114">AF$106+IF($C114&lt;&gt;0,SUMPRODUCT((AF$107:AF$108)*TRANSPOSE(($D114:$E114))),0)</f>
        <v>8397309.5358264707</v>
      </c>
      <c r="AG114" s="31" cm="1">
        <f t="array" ref="AG114">AG$106+IF($C114&lt;&gt;0,SUMPRODUCT((AG$107:AG$108)*TRANSPOSE(($D114:$E114))),0)</f>
        <v>8397309.5358264707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1332.0576684927819</v>
      </c>
      <c r="J115" s="31" cm="1">
        <f t="array" ref="J115">J$106+IF($C115&lt;&gt;0,SUMPRODUCT((J$107:J$108)*TRANSPOSE(($D115:$E115))),0)</f>
        <v>-75391.984716862149</v>
      </c>
      <c r="K115" s="31" cm="1">
        <f t="array" ref="K115">K$106+IF($C115&lt;&gt;0,SUMPRODUCT((K$107:K$108)*TRANSPOSE(($D115:$E115))),0)</f>
        <v>-691339.78112585051</v>
      </c>
      <c r="L115" s="31" cm="1">
        <f t="array" ref="L115">L$106+IF($C115&lt;&gt;0,SUMPRODUCT((L$107:L$108)*TRANSPOSE(($D115:$E115))),0)</f>
        <v>-1597618.8565665991</v>
      </c>
      <c r="M115" s="31" cm="1">
        <f t="array" ref="M115">M$106+IF($C115&lt;&gt;0,SUMPRODUCT((M$107:M$108)*TRANSPOSE(($D115:$E115))),0)</f>
        <v>-2107964.9957115608</v>
      </c>
      <c r="N115" s="31" cm="1">
        <f t="array" ref="N115">N$106+IF($C115&lt;&gt;0,SUMPRODUCT((N$107:N$108)*TRANSPOSE(($D115:$E115))),0)</f>
        <v>-1689839.0616686875</v>
      </c>
      <c r="O115" s="31" cm="1">
        <f t="array" ref="O115">O$106+IF($C115&lt;&gt;0,SUMPRODUCT((O$107:O$108)*TRANSPOSE(($D115:$E115))),0)</f>
        <v>-1276861.6990403929</v>
      </c>
      <c r="P115" s="31" cm="1">
        <f t="array" ref="P115">P$106+IF($C115&lt;&gt;0,SUMPRODUCT((P$107:P$108)*TRANSPOSE(($D115:$E115))),0)</f>
        <v>69892.530600710772</v>
      </c>
      <c r="Q115" s="31" cm="1">
        <f t="array" ref="Q115">Q$106+IF($C115&lt;&gt;0,SUMPRODUCT((Q$107:Q$108)*TRANSPOSE(($D115:$E115))),0)</f>
        <v>3292309.045603802</v>
      </c>
      <c r="R115" s="31" cm="1">
        <f t="array" ref="R115">R$106+IF($C115&lt;&gt;0,SUMPRODUCT((R$107:R$108)*TRANSPOSE(($D115:$E115))),0)</f>
        <v>9978900.7370296586</v>
      </c>
      <c r="S115" s="31" cm="1">
        <f t="array" ref="S115">S$106+IF($C115&lt;&gt;0,SUMPRODUCT((S$107:S$108)*TRANSPOSE(($D115:$E115))),0)</f>
        <v>9978556.3231035564</v>
      </c>
      <c r="T115" s="31" cm="1">
        <f t="array" ref="T115">T$106+IF($C115&lt;&gt;0,SUMPRODUCT((T$107:T$108)*TRANSPOSE(($D115:$E115))),0)</f>
        <v>9978556.3231035564</v>
      </c>
      <c r="U115" s="31" cm="1">
        <f t="array" ref="U115">U$106+IF($C115&lt;&gt;0,SUMPRODUCT((U$107:U$108)*TRANSPOSE(($D115:$E115))),0)</f>
        <v>9978556.3231035564</v>
      </c>
      <c r="V115" s="31" cm="1">
        <f t="array" ref="V115">V$106+IF($C115&lt;&gt;0,SUMPRODUCT((V$107:V$108)*TRANSPOSE(($D115:$E115))),0)</f>
        <v>9978556.3231035564</v>
      </c>
      <c r="W115" s="31" cm="1">
        <f t="array" ref="W115">W$106+IF($C115&lt;&gt;0,SUMPRODUCT((W$107:W$108)*TRANSPOSE(($D115:$E115))),0)</f>
        <v>9978556.3231035564</v>
      </c>
      <c r="X115" s="31" cm="1">
        <f t="array" ref="X115">X$106+IF($C115&lt;&gt;0,SUMPRODUCT((X$107:X$108)*TRANSPOSE(($D115:$E115))),0)</f>
        <v>9978556.3231035564</v>
      </c>
      <c r="Y115" s="31" cm="1">
        <f t="array" ref="Y115">Y$106+IF($C115&lt;&gt;0,SUMPRODUCT((Y$107:Y$108)*TRANSPOSE(($D115:$E115))),0)</f>
        <v>9978556.3231035564</v>
      </c>
      <c r="Z115" s="31" cm="1">
        <f t="array" ref="Z115">Z$106+IF($C115&lt;&gt;0,SUMPRODUCT((Z$107:Z$108)*TRANSPOSE(($D115:$E115))),0)</f>
        <v>9978556.3231035564</v>
      </c>
      <c r="AA115" s="31" cm="1">
        <f t="array" ref="AA115">AA$106+IF($C115&lt;&gt;0,SUMPRODUCT((AA$107:AA$108)*TRANSPOSE(($D115:$E115))),0)</f>
        <v>9978556.3231035564</v>
      </c>
      <c r="AB115" s="31" cm="1">
        <f t="array" ref="AB115">AB$106+IF($C115&lt;&gt;0,SUMPRODUCT((AB$107:AB$108)*TRANSPOSE(($D115:$E115))),0)</f>
        <v>9978556.3231035564</v>
      </c>
      <c r="AC115" s="31" cm="1">
        <f t="array" ref="AC115">AC$106+IF($C115&lt;&gt;0,SUMPRODUCT((AC$107:AC$108)*TRANSPOSE(($D115:$E115))),0)</f>
        <v>9978556.3231035564</v>
      </c>
      <c r="AD115" s="31" cm="1">
        <f t="array" ref="AD115">AD$106+IF($C115&lt;&gt;0,SUMPRODUCT((AD$107:AD$108)*TRANSPOSE(($D115:$E115))),0)</f>
        <v>9978556.3231035564</v>
      </c>
      <c r="AE115" s="31" cm="1">
        <f t="array" ref="AE115">AE$106+IF($C115&lt;&gt;0,SUMPRODUCT((AE$107:AE$108)*TRANSPOSE(($D115:$E115))),0)</f>
        <v>9978556.3231035564</v>
      </c>
      <c r="AF115" s="31" cm="1">
        <f t="array" ref="AF115">AF$106+IF($C115&lt;&gt;0,SUMPRODUCT((AF$107:AF$108)*TRANSPOSE(($D115:$E115))),0)</f>
        <v>9978556.3231035564</v>
      </c>
      <c r="AG115" s="31" cm="1">
        <f t="array" ref="AG115">AG$106+IF($C115&lt;&gt;0,SUMPRODUCT((AG$107:AG$108)*TRANSPOSE(($D115:$E115))),0)</f>
        <v>9978556.3231035564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1332.0576684927819</v>
      </c>
      <c r="J116" s="31" cm="1">
        <f t="array" ref="J116">J$106+IF($C116&lt;&gt;0,SUMPRODUCT((J$107:J$108)*TRANSPOSE(($D116:$E116))),0)</f>
        <v>-75391.984716862149</v>
      </c>
      <c r="K116" s="31" cm="1">
        <f t="array" ref="K116">K$106+IF($C116&lt;&gt;0,SUMPRODUCT((K$107:K$108)*TRANSPOSE(($D116:$E116))),0)</f>
        <v>-691339.78112585051</v>
      </c>
      <c r="L116" s="31" cm="1">
        <f t="array" ref="L116">L$106+IF($C116&lt;&gt;0,SUMPRODUCT((L$107:L$108)*TRANSPOSE(($D116:$E116))),0)</f>
        <v>-1597618.8565665991</v>
      </c>
      <c r="M116" s="31" cm="1">
        <f t="array" ref="M116">M$106+IF($C116&lt;&gt;0,SUMPRODUCT((M$107:M$108)*TRANSPOSE(($D116:$E116))),0)</f>
        <v>-2107964.9957115608</v>
      </c>
      <c r="N116" s="31" cm="1">
        <f t="array" ref="N116">N$106+IF($C116&lt;&gt;0,SUMPRODUCT((N$107:N$108)*TRANSPOSE(($D116:$E116))),0)</f>
        <v>-1689839.0616686875</v>
      </c>
      <c r="O116" s="31" cm="1">
        <f t="array" ref="O116">O$106+IF($C116&lt;&gt;0,SUMPRODUCT((O$107:O$108)*TRANSPOSE(($D116:$E116))),0)</f>
        <v>-1276861.6990403929</v>
      </c>
      <c r="P116" s="31" cm="1">
        <f t="array" ref="P116">P$106+IF($C116&lt;&gt;0,SUMPRODUCT((P$107:P$108)*TRANSPOSE(($D116:$E116))),0)</f>
        <v>69892.530600710772</v>
      </c>
      <c r="Q116" s="31" cm="1">
        <f t="array" ref="Q116">Q$106+IF($C116&lt;&gt;0,SUMPRODUCT((Q$107:Q$108)*TRANSPOSE(($D116:$E116))),0)</f>
        <v>3292309.045603802</v>
      </c>
      <c r="R116" s="31" cm="1">
        <f t="array" ref="R116">R$106+IF($C116&lt;&gt;0,SUMPRODUCT((R$107:R$108)*TRANSPOSE(($D116:$E116))),0)</f>
        <v>9978900.7370296586</v>
      </c>
      <c r="S116" s="31" cm="1">
        <f t="array" ref="S116">S$106+IF($C116&lt;&gt;0,SUMPRODUCT((S$107:S$108)*TRANSPOSE(($D116:$E116))),0)</f>
        <v>9978556.3231035564</v>
      </c>
      <c r="T116" s="31" cm="1">
        <f t="array" ref="T116">T$106+IF($C116&lt;&gt;0,SUMPRODUCT((T$107:T$108)*TRANSPOSE(($D116:$E116))),0)</f>
        <v>9978556.3231035564</v>
      </c>
      <c r="U116" s="31" cm="1">
        <f t="array" ref="U116">U$106+IF($C116&lt;&gt;0,SUMPRODUCT((U$107:U$108)*TRANSPOSE(($D116:$E116))),0)</f>
        <v>9978556.3231035564</v>
      </c>
      <c r="V116" s="31" cm="1">
        <f t="array" ref="V116">V$106+IF($C116&lt;&gt;0,SUMPRODUCT((V$107:V$108)*TRANSPOSE(($D116:$E116))),0)</f>
        <v>9978556.3231035564</v>
      </c>
      <c r="W116" s="31" cm="1">
        <f t="array" ref="W116">W$106+IF($C116&lt;&gt;0,SUMPRODUCT((W$107:W$108)*TRANSPOSE(($D116:$E116))),0)</f>
        <v>9978556.3231035564</v>
      </c>
      <c r="X116" s="31" cm="1">
        <f t="array" ref="X116">X$106+IF($C116&lt;&gt;0,SUMPRODUCT((X$107:X$108)*TRANSPOSE(($D116:$E116))),0)</f>
        <v>9978556.3231035564</v>
      </c>
      <c r="Y116" s="31" cm="1">
        <f t="array" ref="Y116">Y$106+IF($C116&lt;&gt;0,SUMPRODUCT((Y$107:Y$108)*TRANSPOSE(($D116:$E116))),0)</f>
        <v>9978556.3231035564</v>
      </c>
      <c r="Z116" s="31" cm="1">
        <f t="array" ref="Z116">Z$106+IF($C116&lt;&gt;0,SUMPRODUCT((Z$107:Z$108)*TRANSPOSE(($D116:$E116))),0)</f>
        <v>9978556.3231035564</v>
      </c>
      <c r="AA116" s="31" cm="1">
        <f t="array" ref="AA116">AA$106+IF($C116&lt;&gt;0,SUMPRODUCT((AA$107:AA$108)*TRANSPOSE(($D116:$E116))),0)</f>
        <v>9978556.3231035564</v>
      </c>
      <c r="AB116" s="31" cm="1">
        <f t="array" ref="AB116">AB$106+IF($C116&lt;&gt;0,SUMPRODUCT((AB$107:AB$108)*TRANSPOSE(($D116:$E116))),0)</f>
        <v>9978556.3231035564</v>
      </c>
      <c r="AC116" s="31" cm="1">
        <f t="array" ref="AC116">AC$106+IF($C116&lt;&gt;0,SUMPRODUCT((AC$107:AC$108)*TRANSPOSE(($D116:$E116))),0)</f>
        <v>9978556.3231035564</v>
      </c>
      <c r="AD116" s="31" cm="1">
        <f t="array" ref="AD116">AD$106+IF($C116&lt;&gt;0,SUMPRODUCT((AD$107:AD$108)*TRANSPOSE(($D116:$E116))),0)</f>
        <v>9978556.3231035564</v>
      </c>
      <c r="AE116" s="31" cm="1">
        <f t="array" ref="AE116">AE$106+IF($C116&lt;&gt;0,SUMPRODUCT((AE$107:AE$108)*TRANSPOSE(($D116:$E116))),0)</f>
        <v>9978556.3231035564</v>
      </c>
      <c r="AF116" s="31" cm="1">
        <f t="array" ref="AF116">AF$106+IF($C116&lt;&gt;0,SUMPRODUCT((AF$107:AF$108)*TRANSPOSE(($D116:$E116))),0)</f>
        <v>9978556.3231035564</v>
      </c>
      <c r="AG116" s="31" cm="1">
        <f t="array" ref="AG116">AG$106+IF($C116&lt;&gt;0,SUMPRODUCT((AG$107:AG$108)*TRANSPOSE(($D116:$E116))),0)</f>
        <v>9978556.3231035564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1332.0576684927819</v>
      </c>
      <c r="J117" s="31" cm="1">
        <f t="array" ref="J117">J$106+IF($C117&lt;&gt;0,SUMPRODUCT((J$107:J$108)*TRANSPOSE(($D117:$E117))),0)</f>
        <v>-75391.984716862149</v>
      </c>
      <c r="K117" s="31" cm="1">
        <f t="array" ref="K117">K$106+IF($C117&lt;&gt;0,SUMPRODUCT((K$107:K$108)*TRANSPOSE(($D117:$E117))),0)</f>
        <v>-691339.78112585051</v>
      </c>
      <c r="L117" s="31" cm="1">
        <f t="array" ref="L117">L$106+IF($C117&lt;&gt;0,SUMPRODUCT((L$107:L$108)*TRANSPOSE(($D117:$E117))),0)</f>
        <v>-1597618.8565665991</v>
      </c>
      <c r="M117" s="31" cm="1">
        <f t="array" ref="M117">M$106+IF($C117&lt;&gt;0,SUMPRODUCT((M$107:M$108)*TRANSPOSE(($D117:$E117))),0)</f>
        <v>-2107964.9957115608</v>
      </c>
      <c r="N117" s="31" cm="1">
        <f t="array" ref="N117">N$106+IF($C117&lt;&gt;0,SUMPRODUCT((N$107:N$108)*TRANSPOSE(($D117:$E117))),0)</f>
        <v>-1689839.0616686875</v>
      </c>
      <c r="O117" s="31" cm="1">
        <f t="array" ref="O117">O$106+IF($C117&lt;&gt;0,SUMPRODUCT((O$107:O$108)*TRANSPOSE(($D117:$E117))),0)</f>
        <v>-1276861.6990403929</v>
      </c>
      <c r="P117" s="31" cm="1">
        <f t="array" ref="P117">P$106+IF($C117&lt;&gt;0,SUMPRODUCT((P$107:P$108)*TRANSPOSE(($D117:$E117))),0)</f>
        <v>69892.530600710772</v>
      </c>
      <c r="Q117" s="31" cm="1">
        <f t="array" ref="Q117">Q$106+IF($C117&lt;&gt;0,SUMPRODUCT((Q$107:Q$108)*TRANSPOSE(($D117:$E117))),0)</f>
        <v>3292309.045603802</v>
      </c>
      <c r="R117" s="31" cm="1">
        <f t="array" ref="R117">R$106+IF($C117&lt;&gt;0,SUMPRODUCT((R$107:R$108)*TRANSPOSE(($D117:$E117))),0)</f>
        <v>9978900.7370296586</v>
      </c>
      <c r="S117" s="31" cm="1">
        <f t="array" ref="S117">S$106+IF($C117&lt;&gt;0,SUMPRODUCT((S$107:S$108)*TRANSPOSE(($D117:$E117))),0)</f>
        <v>9978556.3231035564</v>
      </c>
      <c r="T117" s="31" cm="1">
        <f t="array" ref="T117">T$106+IF($C117&lt;&gt;0,SUMPRODUCT((T$107:T$108)*TRANSPOSE(($D117:$E117))),0)</f>
        <v>9978556.3231035564</v>
      </c>
      <c r="U117" s="31" cm="1">
        <f t="array" ref="U117">U$106+IF($C117&lt;&gt;0,SUMPRODUCT((U$107:U$108)*TRANSPOSE(($D117:$E117))),0)</f>
        <v>9978556.3231035564</v>
      </c>
      <c r="V117" s="31" cm="1">
        <f t="array" ref="V117">V$106+IF($C117&lt;&gt;0,SUMPRODUCT((V$107:V$108)*TRANSPOSE(($D117:$E117))),0)</f>
        <v>9978556.3231035564</v>
      </c>
      <c r="W117" s="31" cm="1">
        <f t="array" ref="W117">W$106+IF($C117&lt;&gt;0,SUMPRODUCT((W$107:W$108)*TRANSPOSE(($D117:$E117))),0)</f>
        <v>9978556.3231035564</v>
      </c>
      <c r="X117" s="31" cm="1">
        <f t="array" ref="X117">X$106+IF($C117&lt;&gt;0,SUMPRODUCT((X$107:X$108)*TRANSPOSE(($D117:$E117))),0)</f>
        <v>9978556.3231035564</v>
      </c>
      <c r="Y117" s="31" cm="1">
        <f t="array" ref="Y117">Y$106+IF($C117&lt;&gt;0,SUMPRODUCT((Y$107:Y$108)*TRANSPOSE(($D117:$E117))),0)</f>
        <v>9978556.3231035564</v>
      </c>
      <c r="Z117" s="31" cm="1">
        <f t="array" ref="Z117">Z$106+IF($C117&lt;&gt;0,SUMPRODUCT((Z$107:Z$108)*TRANSPOSE(($D117:$E117))),0)</f>
        <v>9978556.3231035564</v>
      </c>
      <c r="AA117" s="31" cm="1">
        <f t="array" ref="AA117">AA$106+IF($C117&lt;&gt;0,SUMPRODUCT((AA$107:AA$108)*TRANSPOSE(($D117:$E117))),0)</f>
        <v>9978556.3231035564</v>
      </c>
      <c r="AB117" s="31" cm="1">
        <f t="array" ref="AB117">AB$106+IF($C117&lt;&gt;0,SUMPRODUCT((AB$107:AB$108)*TRANSPOSE(($D117:$E117))),0)</f>
        <v>9978556.3231035564</v>
      </c>
      <c r="AC117" s="31" cm="1">
        <f t="array" ref="AC117">AC$106+IF($C117&lt;&gt;0,SUMPRODUCT((AC$107:AC$108)*TRANSPOSE(($D117:$E117))),0)</f>
        <v>9978556.3231035564</v>
      </c>
      <c r="AD117" s="31" cm="1">
        <f t="array" ref="AD117">AD$106+IF($C117&lt;&gt;0,SUMPRODUCT((AD$107:AD$108)*TRANSPOSE(($D117:$E117))),0)</f>
        <v>9978556.3231035564</v>
      </c>
      <c r="AE117" s="31" cm="1">
        <f t="array" ref="AE117">AE$106+IF($C117&lt;&gt;0,SUMPRODUCT((AE$107:AE$108)*TRANSPOSE(($D117:$E117))),0)</f>
        <v>9978556.3231035564</v>
      </c>
      <c r="AF117" s="31" cm="1">
        <f t="array" ref="AF117">AF$106+IF($C117&lt;&gt;0,SUMPRODUCT((AF$107:AF$108)*TRANSPOSE(($D117:$E117))),0)</f>
        <v>9978556.3231035564</v>
      </c>
      <c r="AG117" s="31" cm="1">
        <f t="array" ref="AG117">AG$106+IF($C117&lt;&gt;0,SUMPRODUCT((AG$107:AG$108)*TRANSPOSE(($D117:$E117))),0)</f>
        <v>9978556.3231035564</v>
      </c>
    </row>
  </sheetData>
  <conditionalFormatting sqref="E28">
    <cfRule type="expression" dxfId="8" priority="4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Brunswick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47477.191922584083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0</v>
      </c>
      <c r="J28" s="302">
        <f t="shared" ref="J28:AG28" si="2">J27*$E$28</f>
        <v>0</v>
      </c>
      <c r="K28" s="302">
        <f t="shared" si="2"/>
        <v>0</v>
      </c>
      <c r="L28" s="302">
        <f t="shared" si="2"/>
        <v>0</v>
      </c>
      <c r="M28" s="302">
        <f t="shared" si="2"/>
        <v>0</v>
      </c>
      <c r="N28" s="302">
        <f t="shared" si="2"/>
        <v>0</v>
      </c>
      <c r="O28" s="302">
        <f t="shared" si="2"/>
        <v>0</v>
      </c>
      <c r="P28" s="302">
        <f t="shared" si="2"/>
        <v>0</v>
      </c>
      <c r="Q28" s="302">
        <f t="shared" si="2"/>
        <v>0</v>
      </c>
      <c r="R28" s="302">
        <f t="shared" si="2"/>
        <v>0</v>
      </c>
      <c r="S28" s="302">
        <f t="shared" si="2"/>
        <v>0</v>
      </c>
      <c r="T28" s="302">
        <f t="shared" si="2"/>
        <v>0</v>
      </c>
      <c r="U28" s="302">
        <f t="shared" si="2"/>
        <v>0</v>
      </c>
      <c r="V28" s="302">
        <f t="shared" si="2"/>
        <v>0</v>
      </c>
      <c r="W28" s="302">
        <f t="shared" si="2"/>
        <v>0</v>
      </c>
      <c r="X28" s="302">
        <f t="shared" si="2"/>
        <v>0</v>
      </c>
      <c r="Y28" s="302">
        <f t="shared" si="2"/>
        <v>0</v>
      </c>
      <c r="Z28" s="302">
        <f t="shared" si="2"/>
        <v>0</v>
      </c>
      <c r="AA28" s="302">
        <f t="shared" si="2"/>
        <v>0</v>
      </c>
      <c r="AB28" s="302">
        <f t="shared" si="2"/>
        <v>0</v>
      </c>
      <c r="AC28" s="302">
        <f t="shared" si="2"/>
        <v>0</v>
      </c>
      <c r="AD28" s="302">
        <f t="shared" si="2"/>
        <v>0</v>
      </c>
      <c r="AE28" s="302">
        <f t="shared" si="2"/>
        <v>0</v>
      </c>
      <c r="AF28" s="302">
        <f t="shared" si="2"/>
        <v>0</v>
      </c>
      <c r="AG28" s="302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0</v>
      </c>
      <c r="J36" s="174">
        <f t="shared" ref="J36:AG36" si="3">SUM(J28:J34)</f>
        <v>0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0</v>
      </c>
      <c r="O36" s="174">
        <f t="shared" si="3"/>
        <v>0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 t="shared" si="3"/>
        <v>0</v>
      </c>
      <c r="AD36" s="174">
        <f t="shared" si="3"/>
        <v>0</v>
      </c>
      <c r="AE36" s="174">
        <f t="shared" si="3"/>
        <v>0</v>
      </c>
      <c r="AF36" s="174">
        <f t="shared" si="3"/>
        <v>0</v>
      </c>
      <c r="AG36" s="174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0</v>
      </c>
      <c r="M80" s="180">
        <f t="shared" si="11"/>
        <v>0</v>
      </c>
      <c r="N80" s="180">
        <f t="shared" si="11"/>
        <v>0</v>
      </c>
      <c r="O80" s="180">
        <f t="shared" si="11"/>
        <v>0</v>
      </c>
      <c r="P80" s="180">
        <f t="shared" si="11"/>
        <v>0</v>
      </c>
      <c r="Q80" s="180">
        <f t="shared" si="11"/>
        <v>0</v>
      </c>
      <c r="R80" s="180">
        <f t="shared" si="11"/>
        <v>0</v>
      </c>
      <c r="S80" s="180">
        <f t="shared" si="11"/>
        <v>0</v>
      </c>
      <c r="T80" s="180">
        <f t="shared" si="11"/>
        <v>0</v>
      </c>
      <c r="U80" s="180">
        <f t="shared" si="11"/>
        <v>0</v>
      </c>
      <c r="V80" s="180">
        <f t="shared" si="11"/>
        <v>0</v>
      </c>
      <c r="W80" s="180">
        <f t="shared" si="11"/>
        <v>0</v>
      </c>
      <c r="X80" s="180">
        <f t="shared" si="11"/>
        <v>0</v>
      </c>
      <c r="Y80" s="180">
        <f t="shared" si="11"/>
        <v>0</v>
      </c>
      <c r="Z80" s="180">
        <f t="shared" si="11"/>
        <v>0</v>
      </c>
      <c r="AA80" s="180">
        <f t="shared" si="11"/>
        <v>0</v>
      </c>
      <c r="AB80" s="180">
        <f t="shared" si="11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189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0</v>
      </c>
      <c r="M87" s="183">
        <f t="shared" si="17"/>
        <v>0</v>
      </c>
      <c r="N87" s="183">
        <f t="shared" si="17"/>
        <v>0</v>
      </c>
      <c r="O87" s="183">
        <f t="shared" si="17"/>
        <v>0</v>
      </c>
      <c r="P87" s="183">
        <f t="shared" si="17"/>
        <v>0</v>
      </c>
      <c r="Q87" s="183">
        <f t="shared" si="17"/>
        <v>0</v>
      </c>
      <c r="R87" s="183">
        <f t="shared" si="17"/>
        <v>0</v>
      </c>
      <c r="S87" s="183">
        <f t="shared" si="17"/>
        <v>0</v>
      </c>
      <c r="T87" s="183">
        <f t="shared" si="17"/>
        <v>0</v>
      </c>
      <c r="U87" s="183">
        <f t="shared" si="17"/>
        <v>0</v>
      </c>
      <c r="V87" s="183">
        <f t="shared" si="17"/>
        <v>0</v>
      </c>
      <c r="W87" s="183">
        <f t="shared" si="17"/>
        <v>0</v>
      </c>
      <c r="X87" s="183">
        <f t="shared" si="17"/>
        <v>0</v>
      </c>
      <c r="Y87" s="183">
        <f t="shared" si="17"/>
        <v>0</v>
      </c>
      <c r="Z87" s="183">
        <f t="shared" si="17"/>
        <v>0</v>
      </c>
      <c r="AA87" s="183">
        <f t="shared" si="17"/>
        <v>0</v>
      </c>
      <c r="AB87" s="183">
        <f t="shared" si="17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194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F11" sqref="F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Brunswick modernisation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186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47477.191922584083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0</v>
      </c>
      <c r="J28" s="302">
        <f t="shared" ref="J28:AG28" si="2">J27*$E$28</f>
        <v>0</v>
      </c>
      <c r="K28" s="302">
        <f t="shared" si="2"/>
        <v>0</v>
      </c>
      <c r="L28" s="302">
        <f t="shared" si="2"/>
        <v>0</v>
      </c>
      <c r="M28" s="302">
        <f t="shared" si="2"/>
        <v>0</v>
      </c>
      <c r="N28" s="302">
        <f t="shared" si="2"/>
        <v>0</v>
      </c>
      <c r="O28" s="302">
        <f t="shared" si="2"/>
        <v>0</v>
      </c>
      <c r="P28" s="302">
        <f t="shared" si="2"/>
        <v>0</v>
      </c>
      <c r="Q28" s="302">
        <f t="shared" si="2"/>
        <v>0</v>
      </c>
      <c r="R28" s="302">
        <f t="shared" si="2"/>
        <v>0</v>
      </c>
      <c r="S28" s="302">
        <f t="shared" si="2"/>
        <v>0</v>
      </c>
      <c r="T28" s="302">
        <f t="shared" si="2"/>
        <v>0</v>
      </c>
      <c r="U28" s="302">
        <f t="shared" si="2"/>
        <v>0</v>
      </c>
      <c r="V28" s="302">
        <f t="shared" si="2"/>
        <v>0</v>
      </c>
      <c r="W28" s="302">
        <f t="shared" si="2"/>
        <v>0</v>
      </c>
      <c r="X28" s="302">
        <f t="shared" si="2"/>
        <v>0</v>
      </c>
      <c r="Y28" s="302">
        <f t="shared" si="2"/>
        <v>0</v>
      </c>
      <c r="Z28" s="302">
        <f t="shared" si="2"/>
        <v>0</v>
      </c>
      <c r="AA28" s="302">
        <f t="shared" si="2"/>
        <v>0</v>
      </c>
      <c r="AB28" s="302">
        <f t="shared" si="2"/>
        <v>0</v>
      </c>
      <c r="AC28" s="302">
        <f t="shared" si="2"/>
        <v>0</v>
      </c>
      <c r="AD28" s="302">
        <f t="shared" si="2"/>
        <v>0</v>
      </c>
      <c r="AE28" s="302">
        <f t="shared" si="2"/>
        <v>0</v>
      </c>
      <c r="AF28" s="302">
        <f t="shared" si="2"/>
        <v>0</v>
      </c>
      <c r="AG28" s="302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209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209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174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174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74">
        <f>SUM(I28:I34)</f>
        <v>0</v>
      </c>
      <c r="J36" s="174">
        <f t="shared" ref="J36:AG36" si="3">SUM(J28:J34)</f>
        <v>0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0</v>
      </c>
      <c r="O36" s="174">
        <f t="shared" si="3"/>
        <v>0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 t="shared" si="3"/>
        <v>0</v>
      </c>
      <c r="AD36" s="174">
        <f t="shared" si="3"/>
        <v>0</v>
      </c>
      <c r="AE36" s="174">
        <f t="shared" si="3"/>
        <v>0</v>
      </c>
      <c r="AF36" s="174">
        <f t="shared" si="3"/>
        <v>0</v>
      </c>
      <c r="AG36" s="174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9" t="s">
        <v>207</v>
      </c>
      <c r="E49" s="112">
        <f>Assumptions!G98</f>
        <v>0.54769380678923496</v>
      </c>
      <c r="G49" s="211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9" t="s">
        <v>207</v>
      </c>
      <c r="E50" s="112">
        <f>Assumptions!G99</f>
        <v>0.54769380678923496</v>
      </c>
      <c r="G50" s="211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0</v>
      </c>
      <c r="M80" s="180">
        <f t="shared" si="11"/>
        <v>0</v>
      </c>
      <c r="N80" s="180">
        <f t="shared" si="11"/>
        <v>0</v>
      </c>
      <c r="O80" s="180">
        <f t="shared" si="11"/>
        <v>0</v>
      </c>
      <c r="P80" s="180">
        <f t="shared" si="11"/>
        <v>0</v>
      </c>
      <c r="Q80" s="180">
        <f t="shared" si="11"/>
        <v>0</v>
      </c>
      <c r="R80" s="180">
        <f t="shared" si="11"/>
        <v>0</v>
      </c>
      <c r="S80" s="180">
        <f t="shared" si="11"/>
        <v>0</v>
      </c>
      <c r="T80" s="180">
        <f t="shared" si="11"/>
        <v>0</v>
      </c>
      <c r="U80" s="180">
        <f t="shared" si="11"/>
        <v>0</v>
      </c>
      <c r="V80" s="180">
        <f t="shared" si="11"/>
        <v>0</v>
      </c>
      <c r="W80" s="180">
        <f t="shared" si="11"/>
        <v>0</v>
      </c>
      <c r="X80" s="180">
        <f t="shared" si="11"/>
        <v>0</v>
      </c>
      <c r="Y80" s="180">
        <f t="shared" si="11"/>
        <v>0</v>
      </c>
      <c r="Z80" s="180">
        <f t="shared" si="11"/>
        <v>0</v>
      </c>
      <c r="AA80" s="180">
        <f t="shared" si="11"/>
        <v>0</v>
      </c>
      <c r="AB80" s="180">
        <f t="shared" si="11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189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0</v>
      </c>
      <c r="M87" s="183">
        <f t="shared" si="17"/>
        <v>0</v>
      </c>
      <c r="N87" s="183">
        <f t="shared" si="17"/>
        <v>0</v>
      </c>
      <c r="O87" s="183">
        <f t="shared" si="17"/>
        <v>0</v>
      </c>
      <c r="P87" s="183">
        <f t="shared" si="17"/>
        <v>0</v>
      </c>
      <c r="Q87" s="183">
        <f t="shared" si="17"/>
        <v>0</v>
      </c>
      <c r="R87" s="183">
        <f t="shared" si="17"/>
        <v>0</v>
      </c>
      <c r="S87" s="183">
        <f t="shared" si="17"/>
        <v>0</v>
      </c>
      <c r="T87" s="183">
        <f t="shared" si="17"/>
        <v>0</v>
      </c>
      <c r="U87" s="183">
        <f t="shared" si="17"/>
        <v>0</v>
      </c>
      <c r="V87" s="183">
        <f t="shared" si="17"/>
        <v>0</v>
      </c>
      <c r="W87" s="183">
        <f t="shared" si="17"/>
        <v>0</v>
      </c>
      <c r="X87" s="183">
        <f t="shared" si="17"/>
        <v>0</v>
      </c>
      <c r="Y87" s="183">
        <f t="shared" si="17"/>
        <v>0</v>
      </c>
      <c r="Z87" s="183">
        <f t="shared" si="17"/>
        <v>0</v>
      </c>
      <c r="AA87" s="183">
        <f t="shared" si="17"/>
        <v>0</v>
      </c>
      <c r="AB87" s="183">
        <f t="shared" si="17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199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194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J18" sqref="J18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Brunswick modernisation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hidden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5">
        <f>'Option1 (base case)'!H9</f>
        <v>45473</v>
      </c>
      <c r="I9" s="20" t="str">
        <f>'Option1 (base case)'!I9</f>
        <v>2024-25</v>
      </c>
      <c r="J9" s="20" t="str">
        <f>'Option1 (base case)'!J9</f>
        <v>2025-26</v>
      </c>
      <c r="K9" s="20" t="str">
        <f>'Option1 (base case)'!K9</f>
        <v>2026-27</v>
      </c>
      <c r="L9" s="20" t="str">
        <f>'Option1 (base case)'!L9</f>
        <v>2027-28</v>
      </c>
      <c r="M9" s="20" t="str">
        <f>'Option1 (base case)'!M9</f>
        <v>2028-29</v>
      </c>
      <c r="N9" s="20" t="str">
        <f>'Option1 (base case)'!N9</f>
        <v>2029-30</v>
      </c>
      <c r="O9" s="20" t="str">
        <f>'Option1 (base case)'!O9</f>
        <v>2030-31</v>
      </c>
      <c r="P9" s="20" t="str">
        <f>'Option1 (base case)'!P9</f>
        <v>2031-32</v>
      </c>
      <c r="Q9" s="20" t="str">
        <f>'Option1 (base case)'!Q9</f>
        <v>2032-33</v>
      </c>
      <c r="R9" s="20" t="str">
        <f>'Option1 (base case)'!R9</f>
        <v>2033-34</v>
      </c>
      <c r="S9" s="20" t="str">
        <f>'Option1 (base case)'!S9</f>
        <v>2034-35</v>
      </c>
      <c r="T9" s="20" t="str">
        <f>'Option1 (base case)'!T9</f>
        <v>2035-36</v>
      </c>
      <c r="U9" s="20" t="str">
        <f>'Option1 (base case)'!U9</f>
        <v>2036-37</v>
      </c>
      <c r="V9" s="20" t="str">
        <f>'Option1 (base case)'!V9</f>
        <v>2037-38</v>
      </c>
      <c r="W9" s="20" t="str">
        <f>'Option1 (base case)'!W9</f>
        <v>2038-39</v>
      </c>
      <c r="X9" s="20" t="str">
        <f>'Option1 (base case)'!X9</f>
        <v>2039-40</v>
      </c>
      <c r="Y9" s="20" t="str">
        <f>'Option1 (base case)'!Y9</f>
        <v>2040-41</v>
      </c>
      <c r="Z9" s="20" t="str">
        <f>'Option1 (base case)'!Z9</f>
        <v>2041-42</v>
      </c>
      <c r="AA9" s="20" t="str">
        <f>'Option1 (base case)'!AA9</f>
        <v>2042-43</v>
      </c>
      <c r="AB9" s="20" t="str">
        <f>'Option1 (base case)'!AB9</f>
        <v>2043-44</v>
      </c>
      <c r="AC9" s="20" t="str">
        <f>'Option1 (base case)'!AC9</f>
        <v>2044-45</v>
      </c>
      <c r="AD9" s="20" t="str">
        <f>'Option1 (base case)'!AD9</f>
        <v>2045-46</v>
      </c>
      <c r="AE9" s="20" t="str">
        <f>'Option1 (base case)'!AE9</f>
        <v>2046-47</v>
      </c>
      <c r="AF9" s="20" t="str">
        <f>'Option1 (base case)'!AF9</f>
        <v>2047-48</v>
      </c>
      <c r="AG9" s="20" t="str">
        <f>'Option1 (base case)'!AG9</f>
        <v>2048-49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140768686.34238526</v>
      </c>
      <c r="G14" s="276">
        <f>output_dollars</f>
        <v>46203</v>
      </c>
      <c r="H14" s="277"/>
      <c r="I14" s="31">
        <f>'Option1 (base case)'!I$28*conv_2026</f>
        <v>8802.4790001200308</v>
      </c>
      <c r="J14" s="31">
        <f>'Option1 (base case)'!J$28*conv_2026</f>
        <v>32296.059330053573</v>
      </c>
      <c r="K14" s="31">
        <f>'Option1 (base case)'!K$28*conv_2026</f>
        <v>100176.1254564765</v>
      </c>
      <c r="L14" s="31">
        <f>'Option1 (base case)'!L$28*conv_2026</f>
        <v>259258.51866305282</v>
      </c>
      <c r="M14" s="31">
        <f>'Option1 (base case)'!M$28*conv_2026</f>
        <v>567548.97247125348</v>
      </c>
      <c r="N14" s="31">
        <f>'Option1 (base case)'!N$28*conv_2026</f>
        <v>1080619.2556750425</v>
      </c>
      <c r="O14" s="31">
        <f>'Option1 (base case)'!O$28*conv_2026</f>
        <v>1861484.7454955357</v>
      </c>
      <c r="P14" s="31">
        <f>'Option1 (base case)'!P$28*conv_2026</f>
        <v>3338712.2722365032</v>
      </c>
      <c r="Q14" s="31">
        <f>'Option1 (base case)'!Q$28*conv_2026</f>
        <v>6930663.6876876513</v>
      </c>
      <c r="R14" s="31">
        <f>'Option1 (base case)'!R$28*conv_2026</f>
        <v>14376250.954293186</v>
      </c>
      <c r="S14" s="31">
        <f>'Option1 (base case)'!S$28*conv_2026</f>
        <v>14376250.954293186</v>
      </c>
      <c r="T14" s="31">
        <f>'Option1 (base case)'!T$28*conv_2026</f>
        <v>14376250.954293186</v>
      </c>
      <c r="U14" s="31">
        <f>'Option1 (base case)'!U$28*conv_2026</f>
        <v>14376250.954293186</v>
      </c>
      <c r="V14" s="31">
        <f>'Option1 (base case)'!V$28*conv_2026</f>
        <v>14376250.954293186</v>
      </c>
      <c r="W14" s="31">
        <f>'Option1 (base case)'!W$28*conv_2026</f>
        <v>14376250.954293186</v>
      </c>
      <c r="X14" s="31">
        <f>'Option1 (base case)'!X$28*conv_2026</f>
        <v>14376250.954293186</v>
      </c>
      <c r="Y14" s="31">
        <f>'Option1 (base case)'!Y$28*conv_2026</f>
        <v>14376250.954293186</v>
      </c>
      <c r="Z14" s="31">
        <f>'Option1 (base case)'!Z$28*conv_2026</f>
        <v>14376250.954293186</v>
      </c>
      <c r="AA14" s="31">
        <f>'Option1 (base case)'!AA$28*conv_2026</f>
        <v>14376250.954293186</v>
      </c>
      <c r="AB14" s="31">
        <f>'Option1 (base case)'!AB$28*conv_2026</f>
        <v>14376250.954293186</v>
      </c>
      <c r="AC14" s="31">
        <f>'Option1 (base case)'!AC$28*conv_2026</f>
        <v>14376250.954293186</v>
      </c>
      <c r="AD14" s="31">
        <f>'Option1 (base case)'!AD$28*conv_2026</f>
        <v>14376250.954293186</v>
      </c>
      <c r="AE14" s="31">
        <f>'Option1 (base case)'!AE$28*conv_2026</f>
        <v>14376250.954293186</v>
      </c>
      <c r="AF14" s="31">
        <f>'Option1 (base case)'!AF$28*conv_2026</f>
        <v>14376250.954293186</v>
      </c>
      <c r="AG14" s="31">
        <f>'Option1 (base case)'!AG$28*conv_2026</f>
        <v>14376250.954293186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107581409.59587942</v>
      </c>
      <c r="G16" s="229">
        <f>output_dollars</f>
        <v>46203</v>
      </c>
      <c r="H16" s="31"/>
      <c r="I16" s="31">
        <f>'Option1 (base case)'!I$36*conv_2026</f>
        <v>8802.4790001200308</v>
      </c>
      <c r="J16" s="31">
        <f>'Option1 (base case)'!J$36*conv_2026</f>
        <v>32296.059330053573</v>
      </c>
      <c r="K16" s="31">
        <f>'Option1 (base case)'!K$36*conv_2026</f>
        <v>100176.1254564765</v>
      </c>
      <c r="L16" s="31">
        <f>'Option1 (base case)'!L$36*conv_2026</f>
        <v>259258.51866305282</v>
      </c>
      <c r="M16" s="31">
        <f>'Option1 (base case)'!M$36*conv_2026</f>
        <v>567548.97247125348</v>
      </c>
      <c r="N16" s="31">
        <f>'Option1 (base case)'!N$36*conv_2026</f>
        <v>1080619.2556750425</v>
      </c>
      <c r="O16" s="31">
        <f>'Option1 (base case)'!O$36*conv_2026</f>
        <v>1861484.7454955357</v>
      </c>
      <c r="P16" s="31">
        <f>'Option1 (base case)'!P$36*conv_2026</f>
        <v>3338712.2722365032</v>
      </c>
      <c r="Q16" s="31">
        <f>'Option1 (base case)'!Q$36*conv_2026</f>
        <v>6930663.6876876513</v>
      </c>
      <c r="R16" s="31">
        <f>'Option1 (base case)'!R$36*conv_2026</f>
        <v>14376250.954293186</v>
      </c>
      <c r="S16" s="31">
        <f>'Option1 (base case)'!S$36*conv_2026</f>
        <v>14376250.954293186</v>
      </c>
      <c r="T16" s="31">
        <f>'Option1 (base case)'!T$36*conv_2026</f>
        <v>14376250.954293186</v>
      </c>
      <c r="U16" s="31">
        <f>'Option1 (base case)'!U$36*conv_2026</f>
        <v>14376250.954293186</v>
      </c>
      <c r="V16" s="31">
        <f>'Option1 (base case)'!V$36*conv_2026</f>
        <v>14376250.954293186</v>
      </c>
      <c r="W16" s="31">
        <f>'Option1 (base case)'!W$36*conv_2026</f>
        <v>14376250.954293186</v>
      </c>
      <c r="X16" s="31">
        <f>'Option1 (base case)'!X$36*conv_2026</f>
        <v>14376250.954293186</v>
      </c>
      <c r="Y16" s="31">
        <f>'Option1 (base case)'!Y$36*conv_2026</f>
        <v>14376250.954293186</v>
      </c>
      <c r="Z16" s="31">
        <f>'Option1 (base case)'!Z$36*conv_2026</f>
        <v>14376250.954293186</v>
      </c>
      <c r="AA16" s="31">
        <f>'Option1 (base case)'!AA$36*conv_2026</f>
        <v>14376250.954293186</v>
      </c>
      <c r="AB16" s="31">
        <f>'Option1 (base case)'!AB$36*conv_2026</f>
        <v>14376250.954293186</v>
      </c>
      <c r="AC16" s="31">
        <f>'Option1 (base case)'!AC$36*conv_2026</f>
        <v>14376250.954293186</v>
      </c>
      <c r="AD16" s="31">
        <f>'Option1 (base case)'!AD$36*conv_2026</f>
        <v>14376250.954293186</v>
      </c>
      <c r="AE16" s="31">
        <f>'Option1 (base case)'!AE$36*conv_2026</f>
        <v>14376250.954293186</v>
      </c>
      <c r="AF16" s="31">
        <f>'Option1 (base case)'!AF$36*conv_2026</f>
        <v>14376250.954293186</v>
      </c>
      <c r="AG16" s="31">
        <f>'Option1 (base case)'!AG$36*conv_2026</f>
        <v>14376250.954293186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824654.72021942527</v>
      </c>
      <c r="G28" s="276">
        <f>output_dollars</f>
        <v>46203</v>
      </c>
      <c r="H28" s="277"/>
      <c r="I28" s="31">
        <f>Option2!I$28*conv_2026</f>
        <v>7320.0151750982068</v>
      </c>
      <c r="J28" s="31">
        <f>Option2!J$28*conv_2026</f>
        <v>16560.804025342914</v>
      </c>
      <c r="K28" s="31">
        <f>Option2!K$28*conv_2026</f>
        <v>98538.686734550283</v>
      </c>
      <c r="L28" s="31">
        <f>Option2!L$28*conv_2026</f>
        <v>139364.96667910434</v>
      </c>
      <c r="M28" s="31">
        <f>Option2!M$28*conv_2026</f>
        <v>185340.63593154642</v>
      </c>
      <c r="N28" s="31">
        <f>Option2!N$28*conv_2026</f>
        <v>233073.27934426986</v>
      </c>
      <c r="O28" s="31">
        <f>Option2!O$28*conv_2026</f>
        <v>295267.17342212267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-103300544.48948327</v>
      </c>
      <c r="G29" s="229">
        <f>output_dollars</f>
        <v>46203</v>
      </c>
      <c r="H29" s="31"/>
      <c r="I29" s="31">
        <f>SUM(Option2!I$67:I$69)*conv_2026*I$7</f>
        <v>-2337116.5574748535</v>
      </c>
      <c r="J29" s="31">
        <f>SUM(Option2!J$67:J$69)*conv_2026*J$7</f>
        <v>-15302548.888228206</v>
      </c>
      <c r="K29" s="31">
        <f>SUM(Option2!K$67:K$69)*conv_2026*K$7</f>
        <v>-26876840.410960812</v>
      </c>
      <c r="L29" s="31">
        <f>SUM(Option2!L$67:L$69)*conv_2026*L$7</f>
        <v>-19474858.399644028</v>
      </c>
      <c r="M29" s="31">
        <f>SUM(Option2!M$67:M$69)*conv_2026*M$7</f>
        <v>-10834844.696286509</v>
      </c>
      <c r="N29" s="31">
        <f>SUM(Option2!N$67:N$69)*conv_2026*N$7</f>
        <v>-21669689.392573018</v>
      </c>
      <c r="O29" s="31">
        <f>SUM(Option2!O$67:O$69)*conv_2026*O$7</f>
        <v>-21669689.392573018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824654.72021942527</v>
      </c>
      <c r="G30" s="229">
        <f>output_dollars</f>
        <v>46203</v>
      </c>
      <c r="H30" s="31"/>
      <c r="I30" s="31">
        <f>Option2!I$36*conv_2026*I$7</f>
        <v>7320.0151750982068</v>
      </c>
      <c r="J30" s="31">
        <f>Option2!J$36*conv_2026*J$7</f>
        <v>16560.804025342914</v>
      </c>
      <c r="K30" s="31">
        <f>Option2!K$36*conv_2026*K$7</f>
        <v>98538.686734550283</v>
      </c>
      <c r="L30" s="31">
        <f>Option2!L$36*conv_2026*L$7</f>
        <v>139364.96667910434</v>
      </c>
      <c r="M30" s="31">
        <f>Option2!M$36*conv_2026*M$7</f>
        <v>185340.63593154642</v>
      </c>
      <c r="N30" s="31">
        <f>Option2!N$36*conv_2026*N$7</f>
        <v>233073.27934426986</v>
      </c>
      <c r="O30" s="31">
        <f>Option2!O$36*conv_2026*O$7</f>
        <v>295267.17342212267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-52237542.50390809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-99639.948534553347</v>
      </c>
      <c r="K32" s="31">
        <f>Option2!K$82*conv_2026*K$7</f>
        <v>-752044.37346317642</v>
      </c>
      <c r="L32" s="31">
        <f>Option2!L$82*conv_2026*L$7</f>
        <v>-1897903.7816105396</v>
      </c>
      <c r="M32" s="31">
        <f>Option2!M$82*conv_2026*M$7</f>
        <v>-2728189.2384706107</v>
      </c>
      <c r="N32" s="31">
        <f>Option2!N$82*conv_2026*N$7</f>
        <v>-3190118.8604507423</v>
      </c>
      <c r="O32" s="31">
        <f>Option2!O$82*conv_2026*O$7</f>
        <v>-4113978.1044110064</v>
      </c>
      <c r="P32" s="31">
        <f>Option2!P$82*conv_2026*P$7</f>
        <v>-5037837.3483712701</v>
      </c>
      <c r="Q32" s="31">
        <f>Option2!Q$82*conv_2026*Q$7</f>
        <v>-5037837.3483712701</v>
      </c>
      <c r="R32" s="31">
        <f>Option2!R$82*conv_2026*R$7</f>
        <v>-5037837.3483712701</v>
      </c>
      <c r="S32" s="31">
        <f>Option2!S$82*conv_2026*S$7</f>
        <v>-5037837.3483712701</v>
      </c>
      <c r="T32" s="31">
        <f>Option2!T$82*conv_2026*T$7</f>
        <v>-5037837.3483712701</v>
      </c>
      <c r="U32" s="31">
        <f>Option2!U$82*conv_2026*U$7</f>
        <v>-5037837.3483712701</v>
      </c>
      <c r="V32" s="31">
        <f>Option2!V$82*conv_2026*V$7</f>
        <v>-5037837.3483712701</v>
      </c>
      <c r="W32" s="31">
        <f>Option2!W$82*conv_2026*W$7</f>
        <v>-5037837.3483712701</v>
      </c>
      <c r="X32" s="31">
        <f>Option2!X$82*conv_2026*X$7</f>
        <v>-5037837.3483712701</v>
      </c>
      <c r="Y32" s="31">
        <f>Option2!Y$82*conv_2026*Y$7</f>
        <v>-5037837.3483712701</v>
      </c>
      <c r="Z32" s="31">
        <f>Option2!Z$82*conv_2026*Z$7</f>
        <v>-5037837.3483712701</v>
      </c>
      <c r="AA32" s="31">
        <f>Option2!AA$82*conv_2026*AA$7</f>
        <v>-5037837.3483712701</v>
      </c>
      <c r="AB32" s="31">
        <f>Option2!AB$82*conv_2026*AB$7</f>
        <v>-5037837.3483712701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106756754.87566</v>
      </c>
      <c r="G34" s="229">
        <f t="shared" si="8"/>
        <v>46203</v>
      </c>
      <c r="H34" s="31"/>
      <c r="I34" s="31">
        <f>Option2!I$84*conv_2026*I$7</f>
        <v>1482.4638250218236</v>
      </c>
      <c r="J34" s="31">
        <f>Option2!J$84*conv_2026*J$7</f>
        <v>15735.255304710659</v>
      </c>
      <c r="K34" s="31">
        <f>Option2!K$84*conv_2026*K$7</f>
        <v>1637.4387219262137</v>
      </c>
      <c r="L34" s="31">
        <f>Option2!L$84*conv_2026*L$7</f>
        <v>119893.55198394846</v>
      </c>
      <c r="M34" s="31">
        <f>Option2!M$84*conv_2026*M$7</f>
        <v>382208.33653970709</v>
      </c>
      <c r="N34" s="31">
        <f>Option2!N$84*conv_2026*N$7</f>
        <v>847545.97633077274</v>
      </c>
      <c r="O34" s="31">
        <f>Option2!O$84*conv_2026*O$7</f>
        <v>1566217.5720734131</v>
      </c>
      <c r="P34" s="31">
        <f>Option2!P$84*conv_2026*P$7</f>
        <v>3338712.2722365032</v>
      </c>
      <c r="Q34" s="31">
        <f>Option2!Q$84*conv_2026*Q$7</f>
        <v>6930663.6876876513</v>
      </c>
      <c r="R34" s="31">
        <f>Option2!R$84*conv_2026*R$7</f>
        <v>14376250.954293186</v>
      </c>
      <c r="S34" s="31">
        <f>Option2!S$84*conv_2026*S$7</f>
        <v>14376250.954293186</v>
      </c>
      <c r="T34" s="31">
        <f>Option2!T$84*conv_2026*T$7</f>
        <v>14376250.954293186</v>
      </c>
      <c r="U34" s="31">
        <f>Option2!U$84*conv_2026*U$7</f>
        <v>14376250.954293186</v>
      </c>
      <c r="V34" s="31">
        <f>Option2!V$84*conv_2026*V$7</f>
        <v>14376250.954293186</v>
      </c>
      <c r="W34" s="31">
        <f>Option2!W$84*conv_2026*W$7</f>
        <v>14376250.954293186</v>
      </c>
      <c r="X34" s="31">
        <f>Option2!X$84*conv_2026*X$7</f>
        <v>14376250.954293186</v>
      </c>
      <c r="Y34" s="31">
        <f>Option2!Y$84*conv_2026*Y$7</f>
        <v>14376250.954293186</v>
      </c>
      <c r="Z34" s="31">
        <f>Option2!Z$84*conv_2026*Z$7</f>
        <v>14376250.954293186</v>
      </c>
      <c r="AA34" s="31">
        <f>Option2!AA$84*conv_2026*AA$7</f>
        <v>14376250.954293186</v>
      </c>
      <c r="AB34" s="31">
        <f>Option2!AB$84*conv_2026*AB$7</f>
        <v>14376250.954293186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1482.4638250218236</v>
      </c>
      <c r="J36" s="52">
        <f t="shared" ref="J36:AG36" si="9">SUM(J32:J35)</f>
        <v>-83904.693229842684</v>
      </c>
      <c r="K36" s="52">
        <f t="shared" si="9"/>
        <v>-750406.93474125024</v>
      </c>
      <c r="L36" s="52">
        <f t="shared" si="9"/>
        <v>-1778010.2296265911</v>
      </c>
      <c r="M36" s="52">
        <f t="shared" si="9"/>
        <v>-2345980.9019309036</v>
      </c>
      <c r="N36" s="52">
        <f t="shared" si="9"/>
        <v>-2342572.8841199698</v>
      </c>
      <c r="O36" s="52">
        <f t="shared" si="9"/>
        <v>-2547760.5323375934</v>
      </c>
      <c r="P36" s="52">
        <f t="shared" si="9"/>
        <v>-1699125.0761347669</v>
      </c>
      <c r="Q36" s="52">
        <f t="shared" si="9"/>
        <v>1892826.3393163811</v>
      </c>
      <c r="R36" s="52">
        <f t="shared" si="9"/>
        <v>9338413.6059219167</v>
      </c>
      <c r="S36" s="52">
        <f t="shared" si="9"/>
        <v>9338413.6059219167</v>
      </c>
      <c r="T36" s="52">
        <f t="shared" si="9"/>
        <v>9338413.6059219167</v>
      </c>
      <c r="U36" s="52">
        <f t="shared" si="9"/>
        <v>9338413.6059219167</v>
      </c>
      <c r="V36" s="52">
        <f t="shared" si="9"/>
        <v>9338413.6059219167</v>
      </c>
      <c r="W36" s="52">
        <f t="shared" si="9"/>
        <v>9338413.6059219167</v>
      </c>
      <c r="X36" s="52">
        <f t="shared" si="9"/>
        <v>9338413.6059219167</v>
      </c>
      <c r="Y36" s="52">
        <f t="shared" si="9"/>
        <v>9338413.6059219167</v>
      </c>
      <c r="Z36" s="52">
        <f t="shared" si="9"/>
        <v>9338413.6059219167</v>
      </c>
      <c r="AA36" s="52">
        <f t="shared" si="9"/>
        <v>9338413.6059219167</v>
      </c>
      <c r="AB36" s="52">
        <f t="shared" si="9"/>
        <v>9338413.6059219167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54519212.371751927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190</v>
      </c>
      <c r="D38" s="38" t="str">
        <f t="shared" si="6"/>
        <v>Option 2PV of costs</v>
      </c>
      <c r="E38" s="1"/>
      <c r="F38" s="108">
        <f>SUM(F32:F33)</f>
        <v>-52237542.50390809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191</v>
      </c>
      <c r="D39" s="38" t="str">
        <f t="shared" si="6"/>
        <v>Option 2PV of benefits</v>
      </c>
      <c r="E39" s="1"/>
      <c r="F39" s="108">
        <f>SUM(F34:F35)</f>
        <v>106756754.87566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1090981.717067145</v>
      </c>
      <c r="G42" s="276">
        <f>output_dollars</f>
        <v>46203</v>
      </c>
      <c r="H42" s="277"/>
      <c r="I42" s="31">
        <f>Option3!I$28*conv_2026</f>
        <v>7320.0151750982068</v>
      </c>
      <c r="J42" s="31">
        <f>Option3!J$28*conv_2026</f>
        <v>16560.804025342914</v>
      </c>
      <c r="K42" s="31">
        <f>Option3!K$28*conv_2026</f>
        <v>117532.53737914114</v>
      </c>
      <c r="L42" s="31">
        <f>Option3!L$28*conv_2026</f>
        <v>139364.96667910434</v>
      </c>
      <c r="M42" s="31">
        <f>Option3!M$28*conv_2026</f>
        <v>185340.63593154642</v>
      </c>
      <c r="N42" s="31">
        <f>Option3!N$28*conv_2026</f>
        <v>233073.27934426986</v>
      </c>
      <c r="O42" s="31">
        <f>Option3!O$28*conv_2026</f>
        <v>295267.17342212267</v>
      </c>
      <c r="P42" s="31">
        <f>Option3!P$28*conv_2026</f>
        <v>14611.020190625517</v>
      </c>
      <c r="Q42" s="31">
        <f>Option3!Q$28*conv_2026</f>
        <v>20294.344073136217</v>
      </c>
      <c r="R42" s="31">
        <f>Option3!R$28*conv_2026</f>
        <v>24289.15586669153</v>
      </c>
      <c r="S42" s="31">
        <f>Option3!S$28*conv_2026</f>
        <v>24672.458480653946</v>
      </c>
      <c r="T42" s="31">
        <f>Option3!T$28*conv_2026</f>
        <v>24672.458480653946</v>
      </c>
      <c r="U42" s="31">
        <f>Option3!U$28*conv_2026</f>
        <v>24672.458480653946</v>
      </c>
      <c r="V42" s="31">
        <f>Option3!V$28*conv_2026</f>
        <v>24672.458480653946</v>
      </c>
      <c r="W42" s="31">
        <f>Option3!W$28*conv_2026</f>
        <v>24672.458480653946</v>
      </c>
      <c r="X42" s="31">
        <f>Option3!X$28*conv_2026</f>
        <v>24672.458480653946</v>
      </c>
      <c r="Y42" s="31">
        <f>Option3!Y$28*conv_2026</f>
        <v>24672.458480653946</v>
      </c>
      <c r="Z42" s="31">
        <f>Option3!Z$28*conv_2026</f>
        <v>24672.458480653946</v>
      </c>
      <c r="AA42" s="31">
        <f>Option3!AA$28*conv_2026</f>
        <v>24672.458480653946</v>
      </c>
      <c r="AB42" s="31">
        <f>Option3!AB$28*conv_2026</f>
        <v>24672.458480653946</v>
      </c>
      <c r="AC42" s="31">
        <f>Option3!AC$28*conv_2026</f>
        <v>24672.458480653946</v>
      </c>
      <c r="AD42" s="31">
        <f>Option3!AD$28*conv_2026</f>
        <v>24672.458480653946</v>
      </c>
      <c r="AE42" s="31">
        <f>Option3!AE$28*conv_2026</f>
        <v>24672.458480653946</v>
      </c>
      <c r="AF42" s="31">
        <f>Option3!AF$28*conv_2026</f>
        <v>24672.458480653946</v>
      </c>
      <c r="AG42" s="31">
        <f>Option3!AG$28*conv_2026</f>
        <v>24672.458480653946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-68645735.193051875</v>
      </c>
      <c r="G43" s="229">
        <f>output_dollars</f>
        <v>46203</v>
      </c>
      <c r="H43" s="31"/>
      <c r="I43" s="31">
        <f>SUM(Option3!I$67:I$69)*conv_2026*I$7</f>
        <v>-2337116.5574748535</v>
      </c>
      <c r="J43" s="31">
        <f>SUM(Option3!J$67:J$69)*conv_2026*J$7</f>
        <v>-15302548.888228206</v>
      </c>
      <c r="K43" s="31">
        <f>SUM(Option3!K$67:K$69)*conv_2026*K$7</f>
        <v>-26876840.410960812</v>
      </c>
      <c r="L43" s="31">
        <f>SUM(Option3!L$67:L$69)*conv_2026*L$7</f>
        <v>-19474858.399644028</v>
      </c>
      <c r="M43" s="31">
        <f>SUM(Option3!M$67:M$69)*conv_2026*M$7</f>
        <v>0</v>
      </c>
      <c r="N43" s="31">
        <f>SUM(Option3!N$67:N$69)*conv_2026*N$7</f>
        <v>-6076503.049434619</v>
      </c>
      <c r="O43" s="31">
        <f>SUM(Option3!O$67:O$69)*conv_2026*O$7</f>
        <v>-6076503.049434619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1034025.8590887743</v>
      </c>
      <c r="G44" s="229">
        <f>output_dollars</f>
        <v>46203</v>
      </c>
      <c r="H44" s="31"/>
      <c r="I44" s="31">
        <f>Option3!I$36*conv_2026*I$7</f>
        <v>7320.0151750982068</v>
      </c>
      <c r="J44" s="31">
        <f>Option3!J$36*conv_2026*J$7</f>
        <v>16560.804025342914</v>
      </c>
      <c r="K44" s="31">
        <f>Option3!K$36*conv_2026*K$7</f>
        <v>117532.53737914114</v>
      </c>
      <c r="L44" s="31">
        <f>Option3!L$36*conv_2026*L$7</f>
        <v>139364.96667910434</v>
      </c>
      <c r="M44" s="31">
        <f>Option3!M$36*conv_2026*M$7</f>
        <v>185340.63593154642</v>
      </c>
      <c r="N44" s="31">
        <f>Option3!N$36*conv_2026*N$7</f>
        <v>233073.27934426986</v>
      </c>
      <c r="O44" s="31">
        <f>Option3!O$36*conv_2026*O$7</f>
        <v>295267.17342212267</v>
      </c>
      <c r="P44" s="31">
        <f>Option3!P$36*conv_2026*P$7</f>
        <v>14611.020190625517</v>
      </c>
      <c r="Q44" s="31">
        <f>Option3!Q$36*conv_2026*Q$7</f>
        <v>20294.344073136217</v>
      </c>
      <c r="R44" s="31">
        <f>Option3!R$36*conv_2026*R$7</f>
        <v>24289.15586669153</v>
      </c>
      <c r="S44" s="31">
        <f>Option3!S$36*conv_2026*S$7</f>
        <v>24672.458480653946</v>
      </c>
      <c r="T44" s="31">
        <f>Option3!T$36*conv_2026*T$7</f>
        <v>24672.458480653946</v>
      </c>
      <c r="U44" s="31">
        <f>Option3!U$36*conv_2026*U$7</f>
        <v>24672.458480653946</v>
      </c>
      <c r="V44" s="31">
        <f>Option3!V$36*conv_2026*V$7</f>
        <v>24672.458480653946</v>
      </c>
      <c r="W44" s="31">
        <f>Option3!W$36*conv_2026*W$7</f>
        <v>24672.458480653946</v>
      </c>
      <c r="X44" s="31">
        <f>Option3!X$36*conv_2026*X$7</f>
        <v>24672.458480653946</v>
      </c>
      <c r="Y44" s="31">
        <f>Option3!Y$36*conv_2026*Y$7</f>
        <v>24672.458480653946</v>
      </c>
      <c r="Z44" s="31">
        <f>Option3!Z$36*conv_2026*Z$7</f>
        <v>24672.458480653946</v>
      </c>
      <c r="AA44" s="31">
        <f>Option3!AA$36*conv_2026*AA$7</f>
        <v>24672.458480653946</v>
      </c>
      <c r="AB44" s="31">
        <f>Option3!AB$36*conv_2026*AB$7</f>
        <v>24672.458480653946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-36195105.083041832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-99639.948534553347</v>
      </c>
      <c r="K46" s="31">
        <f>Option3!K$82*conv_2026*K$7</f>
        <v>-752044.37346317642</v>
      </c>
      <c r="L46" s="31">
        <f>Option3!L$82*conv_2026*L$7</f>
        <v>-1897903.7816105396</v>
      </c>
      <c r="M46" s="31">
        <f>Option3!M$82*conv_2026*M$7</f>
        <v>-2728189.2384706107</v>
      </c>
      <c r="N46" s="31">
        <f>Option3!N$82*conv_2026*N$7</f>
        <v>-2728189.2384706107</v>
      </c>
      <c r="O46" s="31">
        <f>Option3!O$82*conv_2026*O$7</f>
        <v>-2987253.1046604491</v>
      </c>
      <c r="P46" s="31">
        <f>Option3!P$82*conv_2026*P$7</f>
        <v>-3246316.9708502879</v>
      </c>
      <c r="Q46" s="31">
        <f>Option3!Q$82*conv_2026*Q$7</f>
        <v>-3246316.9708502879</v>
      </c>
      <c r="R46" s="31">
        <f>Option3!R$82*conv_2026*R$7</f>
        <v>-3246316.9708502879</v>
      </c>
      <c r="S46" s="31">
        <f>Option3!S$82*conv_2026*S$7</f>
        <v>-3246316.9708502879</v>
      </c>
      <c r="T46" s="31">
        <f>Option3!T$82*conv_2026*T$7</f>
        <v>-3246316.9708502879</v>
      </c>
      <c r="U46" s="31">
        <f>Option3!U$82*conv_2026*U$7</f>
        <v>-3246316.9708502879</v>
      </c>
      <c r="V46" s="31">
        <f>Option3!V$82*conv_2026*V$7</f>
        <v>-3246316.9708502879</v>
      </c>
      <c r="W46" s="31">
        <f>Option3!W$82*conv_2026*W$7</f>
        <v>-3246316.9708502879</v>
      </c>
      <c r="X46" s="31">
        <f>Option3!X$82*conv_2026*X$7</f>
        <v>-3246316.9708502879</v>
      </c>
      <c r="Y46" s="31">
        <f>Option3!Y$82*conv_2026*Y$7</f>
        <v>-3246316.9708502879</v>
      </c>
      <c r="Z46" s="31">
        <f>Option3!Z$82*conv_2026*Z$7</f>
        <v>-3246316.9708502879</v>
      </c>
      <c r="AA46" s="31">
        <f>Option3!AA$82*conv_2026*AA$7</f>
        <v>-3246316.9708502879</v>
      </c>
      <c r="AB46" s="31">
        <f>Option3!AB$82*conv_2026*AB$7</f>
        <v>-3246316.9708502879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106547383.73679066</v>
      </c>
      <c r="G48" s="229">
        <f t="shared" si="12"/>
        <v>46203</v>
      </c>
      <c r="H48" s="31"/>
      <c r="I48" s="31">
        <f>Option3!I$84*conv_2026*I$7</f>
        <v>1482.4638250218236</v>
      </c>
      <c r="J48" s="31">
        <f>Option3!J$84*conv_2026*J$7</f>
        <v>15735.255304710659</v>
      </c>
      <c r="K48" s="31">
        <f>Option3!K$84*conv_2026*K$7</f>
        <v>-17356.411922664651</v>
      </c>
      <c r="L48" s="31">
        <f>Option3!L$84*conv_2026*L$7</f>
        <v>119893.55198394846</v>
      </c>
      <c r="M48" s="31">
        <f>Option3!M$84*conv_2026*M$7</f>
        <v>382208.33653970709</v>
      </c>
      <c r="N48" s="31">
        <f>Option3!N$84*conv_2026*N$7</f>
        <v>847545.97633077274</v>
      </c>
      <c r="O48" s="31">
        <f>Option3!O$84*conv_2026*O$7</f>
        <v>1566217.5720734131</v>
      </c>
      <c r="P48" s="31">
        <f>Option3!P$84*conv_2026*P$7</f>
        <v>3324101.2520458777</v>
      </c>
      <c r="Q48" s="31">
        <f>Option3!Q$84*conv_2026*Q$7</f>
        <v>6910369.3436145149</v>
      </c>
      <c r="R48" s="31">
        <f>Option3!R$84*conv_2026*R$7</f>
        <v>14351961.798426494</v>
      </c>
      <c r="S48" s="31">
        <f>Option3!S$84*conv_2026*S$7</f>
        <v>14351578.495812532</v>
      </c>
      <c r="T48" s="31">
        <f>Option3!T$84*conv_2026*T$7</f>
        <v>14351578.495812532</v>
      </c>
      <c r="U48" s="31">
        <f>Option3!U$84*conv_2026*U$7</f>
        <v>14351578.495812532</v>
      </c>
      <c r="V48" s="31">
        <f>Option3!V$84*conv_2026*V$7</f>
        <v>14351578.495812532</v>
      </c>
      <c r="W48" s="31">
        <f>Option3!W$84*conv_2026*W$7</f>
        <v>14351578.495812532</v>
      </c>
      <c r="X48" s="31">
        <f>Option3!X$84*conv_2026*X$7</f>
        <v>14351578.495812532</v>
      </c>
      <c r="Y48" s="31">
        <f>Option3!Y$84*conv_2026*Y$7</f>
        <v>14351578.495812532</v>
      </c>
      <c r="Z48" s="31">
        <f>Option3!Z$84*conv_2026*Z$7</f>
        <v>14351578.495812532</v>
      </c>
      <c r="AA48" s="31">
        <f>Option3!AA$84*conv_2026*AA$7</f>
        <v>14351578.495812532</v>
      </c>
      <c r="AB48" s="31">
        <f>Option3!AB$84*conv_2026*AB$7</f>
        <v>14351578.495812532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1482.4638250218236</v>
      </c>
      <c r="J50" s="52">
        <f t="shared" si="13"/>
        <v>-83904.693229842684</v>
      </c>
      <c r="K50" s="52">
        <f t="shared" si="13"/>
        <v>-769400.78538584104</v>
      </c>
      <c r="L50" s="52">
        <f t="shared" si="13"/>
        <v>-1778010.2296265911</v>
      </c>
      <c r="M50" s="52">
        <f t="shared" si="13"/>
        <v>-2345980.9019309036</v>
      </c>
      <c r="N50" s="52">
        <f t="shared" si="13"/>
        <v>-1880643.262139838</v>
      </c>
      <c r="O50" s="52">
        <f t="shared" si="13"/>
        <v>-1421035.532587036</v>
      </c>
      <c r="P50" s="52">
        <f t="shared" si="13"/>
        <v>77784.281195589807</v>
      </c>
      <c r="Q50" s="52">
        <f t="shared" si="13"/>
        <v>3664052.372764227</v>
      </c>
      <c r="R50" s="52">
        <f t="shared" si="13"/>
        <v>11105644.827576205</v>
      </c>
      <c r="S50" s="52">
        <f t="shared" si="13"/>
        <v>11105261.524962243</v>
      </c>
      <c r="T50" s="52">
        <f t="shared" si="13"/>
        <v>11105261.524962243</v>
      </c>
      <c r="U50" s="52">
        <f t="shared" si="13"/>
        <v>11105261.524962243</v>
      </c>
      <c r="V50" s="52">
        <f t="shared" si="13"/>
        <v>11105261.524962243</v>
      </c>
      <c r="W50" s="52">
        <f t="shared" si="13"/>
        <v>11105261.524962243</v>
      </c>
      <c r="X50" s="52">
        <f t="shared" si="13"/>
        <v>11105261.524962243</v>
      </c>
      <c r="Y50" s="52">
        <f t="shared" si="13"/>
        <v>11105261.524962243</v>
      </c>
      <c r="Z50" s="52">
        <f t="shared" si="13"/>
        <v>11105261.524962243</v>
      </c>
      <c r="AA50" s="52">
        <f t="shared" si="13"/>
        <v>11105261.524962243</v>
      </c>
      <c r="AB50" s="52">
        <f t="shared" si="13"/>
        <v>11105261.524962243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70352278.653748825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190</v>
      </c>
      <c r="D52" s="38" t="str">
        <f t="shared" si="11"/>
        <v>Option 3PV of costs</v>
      </c>
      <c r="E52" s="1"/>
      <c r="F52" s="108">
        <f>SUM(F46:F47)</f>
        <v>-36195105.083041832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191</v>
      </c>
      <c r="D53" s="38" t="str">
        <f t="shared" si="11"/>
        <v>Option 3PV of benefits</v>
      </c>
      <c r="E53" s="1"/>
      <c r="F53" s="108">
        <f>SUM(F48:F49)</f>
        <v>106547383.73679066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0</v>
      </c>
      <c r="G56" s="276">
        <f>output_dollars</f>
        <v>46203</v>
      </c>
      <c r="H56" s="277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9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9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9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190</v>
      </c>
      <c r="D66" s="38" t="str">
        <f t="shared" si="14"/>
        <v>Option 4PV of costs</v>
      </c>
      <c r="E66" s="1"/>
      <c r="F66" s="108">
        <f>SUM(F60:F61)</f>
        <v>0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191</v>
      </c>
      <c r="D67" s="38" t="str">
        <f t="shared" si="14"/>
        <v>Option 4PV of benefits</v>
      </c>
      <c r="E67" s="1"/>
      <c r="F67" s="108">
        <f>SUM(F62:F63)</f>
        <v>0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0</v>
      </c>
      <c r="G70" s="276">
        <f>output_dollars</f>
        <v>46203</v>
      </c>
      <c r="H70" s="277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9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9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9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203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FY25</v>
      </c>
      <c r="J88" s="203" t="str">
        <f t="shared" ref="J88:AG88" si="22">"FY"&amp;RIGHT(J$9,2)</f>
        <v>FY26</v>
      </c>
      <c r="K88" s="203" t="str">
        <f t="shared" si="22"/>
        <v>FY27</v>
      </c>
      <c r="L88" s="203" t="str">
        <f t="shared" si="22"/>
        <v>FY28</v>
      </c>
      <c r="M88" s="203" t="str">
        <f t="shared" si="22"/>
        <v>FY29</v>
      </c>
      <c r="N88" s="203" t="str">
        <f t="shared" si="22"/>
        <v>FY30</v>
      </c>
      <c r="O88" s="203" t="str">
        <f t="shared" si="22"/>
        <v>FY31</v>
      </c>
      <c r="P88" s="203" t="str">
        <f t="shared" si="22"/>
        <v>FY32</v>
      </c>
      <c r="Q88" s="203" t="str">
        <f t="shared" si="22"/>
        <v>FY33</v>
      </c>
      <c r="R88" s="203" t="str">
        <f t="shared" si="22"/>
        <v>FY34</v>
      </c>
      <c r="S88" s="203" t="str">
        <f t="shared" si="22"/>
        <v>FY35</v>
      </c>
      <c r="T88" s="203" t="str">
        <f t="shared" si="22"/>
        <v>FY36</v>
      </c>
      <c r="U88" s="203" t="str">
        <f t="shared" si="22"/>
        <v>FY37</v>
      </c>
      <c r="V88" s="203" t="str">
        <f t="shared" si="22"/>
        <v>FY38</v>
      </c>
      <c r="W88" s="203" t="str">
        <f t="shared" si="22"/>
        <v>FY39</v>
      </c>
      <c r="X88" s="203" t="str">
        <f t="shared" si="22"/>
        <v>FY40</v>
      </c>
      <c r="Y88" s="203" t="str">
        <f t="shared" si="22"/>
        <v>FY41</v>
      </c>
      <c r="Z88" s="203" t="str">
        <f t="shared" si="22"/>
        <v>FY42</v>
      </c>
      <c r="AA88" s="203" t="str">
        <f t="shared" si="22"/>
        <v>FY43</v>
      </c>
      <c r="AB88" s="203" t="str">
        <f t="shared" si="22"/>
        <v>FY44</v>
      </c>
      <c r="AC88" s="203" t="str">
        <f t="shared" si="22"/>
        <v>FY45</v>
      </c>
      <c r="AD88" s="203" t="str">
        <f t="shared" si="22"/>
        <v>FY46</v>
      </c>
      <c r="AE88" s="203" t="str">
        <f t="shared" si="22"/>
        <v>FY47</v>
      </c>
      <c r="AF88" s="203" t="str">
        <f t="shared" si="22"/>
        <v>FY48</v>
      </c>
      <c r="AG88" s="203" t="str">
        <f t="shared" si="22"/>
        <v>FY49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3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302" cm="1">
        <f t="array" ref="I91">MAX($D91*INDEX(I$15:W$81, MATCH($A91&amp;$C91, $D$15:$D$81,0),))/mill_conv</f>
        <v>3.2463169708502879</v>
      </c>
      <c r="J91" s="302" cm="1">
        <f t="array" ref="J91">MAX($D91*INDEX(J$15:X$81, MATCH($A91&amp;$C91, $D$15:$D$81,0),))/mill_conv</f>
        <v>3.2463169708502879</v>
      </c>
      <c r="K91" s="302" cm="1">
        <f t="array" ref="K91">MAX($D91*INDEX(K$15:Y$81, MATCH($A91&amp;$C91, $D$15:$D$81,0),))/mill_conv</f>
        <v>3.2463169708502879</v>
      </c>
      <c r="L91" s="302" cm="1">
        <f t="array" ref="L91">MAX($D91*INDEX(L$15:Z$81, MATCH($A91&amp;$C91, $D$15:$D$81,0),))/mill_conv</f>
        <v>3.2463169708502879</v>
      </c>
      <c r="M91" s="302" cm="1">
        <f t="array" ref="M91">MAX($D91*INDEX(M$15:AA$81, MATCH($A91&amp;$C91, $D$15:$D$81,0),))/mill_conv</f>
        <v>3.2463169708502879</v>
      </c>
      <c r="N91" s="302" cm="1">
        <f t="array" ref="N91">MAX($D91*INDEX(N$15:AB$81, MATCH($A91&amp;$C91, $D$15:$D$81,0),))/mill_conv</f>
        <v>3.2463169708502879</v>
      </c>
      <c r="O91" s="302" cm="1">
        <f t="array" ref="O91">MAX($D91*INDEX(O$15:AC$81, MATCH($A91&amp;$C91, $D$15:$D$81,0),))/mill_conv</f>
        <v>3.2463169708502879</v>
      </c>
      <c r="P91" s="302" cm="1">
        <f t="array" ref="P91">MAX($D91*INDEX(P$15:AD$81, MATCH($A91&amp;$C91, $D$15:$D$81,0),))/mill_conv</f>
        <v>3.2463169708502879</v>
      </c>
      <c r="Q91" s="302" cm="1">
        <f t="array" ref="Q91">MAX($D91*INDEX(Q$15:AE$81, MATCH($A91&amp;$C91, $D$15:$D$81,0),))/mill_conv</f>
        <v>3.2463169708502879</v>
      </c>
      <c r="R91" s="302" cm="1">
        <f t="array" ref="R91">MAX($D91*INDEX(R$15:AF$81, MATCH($A91&amp;$C91, $D$15:$D$81,0),))/mill_conv</f>
        <v>3.2463169708502879</v>
      </c>
      <c r="S91" s="302" cm="1">
        <f t="array" ref="S91">MAX($D91*INDEX(S$15:AG$81, MATCH($A91&amp;$C91, $D$15:$D$81,0),))/mill_conv</f>
        <v>3.2463169708502879</v>
      </c>
      <c r="T91" s="302" cm="1">
        <f t="array" ref="T91">MAX($D91*INDEX(T$15:AH$81, MATCH($A91&amp;$C91, $D$15:$D$81,0),))/mill_conv</f>
        <v>3.2463169708502879</v>
      </c>
      <c r="U91" s="302" cm="1">
        <f t="array" ref="U91">MAX($D91*INDEX(U$15:AI$81, MATCH($A91&amp;$C91, $D$15:$D$81,0),))/mill_conv</f>
        <v>3.2463169708502879</v>
      </c>
      <c r="V91" s="302" cm="1">
        <f t="array" ref="V91">MAX($D91*INDEX(V$15:AJ$81, MATCH($A91&amp;$C91, $D$15:$D$81,0),))/mill_conv</f>
        <v>3.2463169708502879</v>
      </c>
      <c r="W91" s="302" cm="1">
        <f t="array" ref="W91">MAX($D91*INDEX(W$15:AK$81, MATCH($A91&amp;$C91, $D$15:$D$81,0),))/mill_conv</f>
        <v>3.2463169708502879</v>
      </c>
      <c r="X91" s="302" cm="1">
        <f t="array" ref="X91">MAX($D91*INDEX(X$15:AL$81, MATCH($A91&amp;$C91, $D$15:$D$81,0),))/mill_conv</f>
        <v>3.2463169708502879</v>
      </c>
      <c r="Y91" s="302" cm="1">
        <f t="array" ref="Y91">MAX($D91*INDEX(Y$15:AM$81, MATCH($A91&amp;$C91, $D$15:$D$81,0),))/mill_conv</f>
        <v>3.2463169708502879</v>
      </c>
      <c r="Z91" s="302" cm="1">
        <f t="array" ref="Z91">MAX($D91*INDEX(Z$15:AN$81, MATCH($A91&amp;$C91, $D$15:$D$81,0),))/mill_conv</f>
        <v>3.2463169708502879</v>
      </c>
      <c r="AA91" s="302" cm="1">
        <f t="array" ref="AA91">MAX($D91*INDEX(AA$15:AO$81, MATCH($A91&amp;$C91, $D$15:$D$81,0),))/mill_conv</f>
        <v>3.2463169708502879</v>
      </c>
      <c r="AB91" s="302" cm="1">
        <f t="array" ref="AB91">MAX($D91*INDEX(AB$15:AP$81, MATCH($A91&amp;$C91, $D$15:$D$81,0),))/mill_conv</f>
        <v>3.2463169708502879</v>
      </c>
      <c r="AC91" s="302" cm="1">
        <f t="array" ref="AC91">MAX($D91*INDEX(AC$15:AQ$81, MATCH($A91&amp;$C91, $D$15:$D$81,0),))/mill_conv</f>
        <v>0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A16</f>
        <v>Option 1 (base case)</v>
      </c>
      <c r="B92" s="142"/>
      <c r="C92" s="201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2">
        <f t="shared" ref="I92:R92" si="23">$D92*INDEX(I$15:I$81, MATCH($A92&amp;$C92, $D$15:$D$81,0))/mill_conv</f>
        <v>8.8024790001200309E-3</v>
      </c>
      <c r="J92" s="302">
        <f t="shared" si="23"/>
        <v>3.229605933005357E-2</v>
      </c>
      <c r="K92" s="302">
        <f t="shared" si="23"/>
        <v>0.1001761254564765</v>
      </c>
      <c r="L92" s="302">
        <f t="shared" si="23"/>
        <v>0.25925851866305283</v>
      </c>
      <c r="M92" s="302">
        <f t="shared" si="23"/>
        <v>0.56754897247125347</v>
      </c>
      <c r="N92" s="302">
        <f t="shared" si="23"/>
        <v>1.0806192556750425</v>
      </c>
      <c r="O92" s="302">
        <f t="shared" si="23"/>
        <v>1.8614847454955357</v>
      </c>
      <c r="P92" s="302">
        <f t="shared" si="23"/>
        <v>3.3387122722365032</v>
      </c>
      <c r="Q92" s="302">
        <f t="shared" si="23"/>
        <v>6.9306636876876508</v>
      </c>
      <c r="R92" s="302">
        <f t="shared" si="23"/>
        <v>14.376250954293186</v>
      </c>
      <c r="S92" s="302">
        <f t="shared" ref="S92:AG92" si="24">$D92*INDEX(S$15:S$81, MATCH($A92&amp;$C92, $D$15:$D$81,0))/mill_conv</f>
        <v>14.376250954293186</v>
      </c>
      <c r="T92" s="302">
        <f t="shared" si="24"/>
        <v>14.376250954293186</v>
      </c>
      <c r="U92" s="302">
        <f t="shared" si="24"/>
        <v>14.376250954293186</v>
      </c>
      <c r="V92" s="302">
        <f t="shared" si="24"/>
        <v>14.376250954293186</v>
      </c>
      <c r="W92" s="302">
        <f t="shared" si="24"/>
        <v>14.376250954293186</v>
      </c>
      <c r="X92" s="302">
        <f t="shared" si="24"/>
        <v>14.376250954293186</v>
      </c>
      <c r="Y92" s="302">
        <f t="shared" si="24"/>
        <v>14.376250954293186</v>
      </c>
      <c r="Z92" s="302">
        <f t="shared" si="24"/>
        <v>14.376250954293186</v>
      </c>
      <c r="AA92" s="302">
        <f t="shared" si="24"/>
        <v>14.376250954293186</v>
      </c>
      <c r="AB92" s="302">
        <f t="shared" si="24"/>
        <v>14.376250954293186</v>
      </c>
      <c r="AC92" s="302">
        <f t="shared" si="24"/>
        <v>14.376250954293186</v>
      </c>
      <c r="AD92" s="302">
        <f t="shared" si="24"/>
        <v>14.376250954293186</v>
      </c>
      <c r="AE92" s="302">
        <f t="shared" si="24"/>
        <v>14.376250954293186</v>
      </c>
      <c r="AF92" s="302">
        <f t="shared" si="24"/>
        <v>14.376250954293186</v>
      </c>
      <c r="AG92" s="302">
        <f t="shared" si="24"/>
        <v>14.376250954293186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FY25</v>
      </c>
      <c r="J97" s="299" t="str">
        <f t="shared" ref="J97:AG97" si="25">J88</f>
        <v>FY26</v>
      </c>
      <c r="K97" s="299" t="str">
        <f t="shared" si="25"/>
        <v>FY27</v>
      </c>
      <c r="L97" s="299" t="str">
        <f t="shared" si="25"/>
        <v>FY28</v>
      </c>
      <c r="M97" s="299" t="str">
        <f t="shared" si="25"/>
        <v>FY29</v>
      </c>
      <c r="N97" s="299" t="str">
        <f t="shared" si="25"/>
        <v>FY30</v>
      </c>
      <c r="O97" s="299" t="str">
        <f t="shared" si="25"/>
        <v>FY31</v>
      </c>
      <c r="P97" s="299" t="str">
        <f t="shared" si="25"/>
        <v>FY32</v>
      </c>
      <c r="Q97" s="299" t="str">
        <f t="shared" si="25"/>
        <v>FY33</v>
      </c>
      <c r="R97" s="299" t="str">
        <f t="shared" si="25"/>
        <v>FY34</v>
      </c>
      <c r="S97" s="299" t="str">
        <f t="shared" si="25"/>
        <v>FY35</v>
      </c>
      <c r="T97" s="299" t="str">
        <f t="shared" si="25"/>
        <v>FY36</v>
      </c>
      <c r="U97" s="299" t="str">
        <f t="shared" si="25"/>
        <v>FY37</v>
      </c>
      <c r="V97" s="299" t="str">
        <f t="shared" si="25"/>
        <v>FY38</v>
      </c>
      <c r="W97" s="299" t="str">
        <f t="shared" si="25"/>
        <v>FY39</v>
      </c>
      <c r="X97" s="299" t="str">
        <f t="shared" si="25"/>
        <v>FY40</v>
      </c>
      <c r="Y97" s="299" t="str">
        <f t="shared" si="25"/>
        <v>FY41</v>
      </c>
      <c r="Z97" s="299" t="str">
        <f t="shared" si="25"/>
        <v>FY42</v>
      </c>
      <c r="AA97" s="299" t="str">
        <f t="shared" si="25"/>
        <v>FY43</v>
      </c>
      <c r="AB97" s="299" t="str">
        <f t="shared" si="25"/>
        <v>FY44</v>
      </c>
      <c r="AC97" s="299" t="str">
        <f t="shared" si="25"/>
        <v>FY45</v>
      </c>
      <c r="AD97" s="299" t="str">
        <f t="shared" si="25"/>
        <v>FY46</v>
      </c>
      <c r="AE97" s="299" t="str">
        <f t="shared" si="25"/>
        <v>FY47</v>
      </c>
      <c r="AF97" s="299" t="str">
        <f t="shared" si="25"/>
        <v>FY48</v>
      </c>
      <c r="AG97" s="299" t="str">
        <f t="shared" si="25"/>
        <v>FY49</v>
      </c>
    </row>
    <row r="98" spans="1:33" x14ac:dyDescent="0.2">
      <c r="A98" s="202" t="s">
        <v>235</v>
      </c>
      <c r="B98" s="142"/>
      <c r="C98" s="200" t="s">
        <v>123</v>
      </c>
      <c r="D98" s="194">
        <f>MAX(H98:AG98)</f>
        <v>272.08183219400388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0.16659382350908969</v>
      </c>
      <c r="J98" s="119">
        <f>INDEX('Option1 (base case)'!J$14:J$87, MATCH($C98, 'Option1 (base case)'!$C$14:$C$87,0))</f>
        <v>0.61122826967228983</v>
      </c>
      <c r="K98" s="119">
        <f>INDEX('Option1 (base case)'!K$14:K$87, MATCH($C98, 'Option1 (base case)'!$C$14:$C$87,0))</f>
        <v>1.8959117952900659</v>
      </c>
      <c r="L98" s="119">
        <f>INDEX('Option1 (base case)'!L$14:L$87, MATCH($C98, 'Option1 (base case)'!$C$14:$C$87,0))</f>
        <v>4.9066709390379355</v>
      </c>
      <c r="M98" s="119">
        <f>INDEX('Option1 (base case)'!M$14:M$87, MATCH($C98, 'Option1 (base case)'!$C$14:$C$87,0))</f>
        <v>10.741309732332439</v>
      </c>
      <c r="N98" s="119">
        <f>INDEX('Option1 (base case)'!N$14:N$87, MATCH($C98, 'Option1 (base case)'!$C$14:$C$87,0))</f>
        <v>20.45156751387843</v>
      </c>
      <c r="O98" s="119">
        <f>INDEX('Option1 (base case)'!O$14:O$87, MATCH($C98, 'Option1 (base case)'!$C$14:$C$87,0))</f>
        <v>35.230059753816775</v>
      </c>
      <c r="P98" s="119">
        <f>INDEX('Option1 (base case)'!P$14:P$87, MATCH($C98, 'Option1 (base case)'!$C$14:$C$87,0))</f>
        <v>63.187750066886309</v>
      </c>
      <c r="Q98" s="119">
        <f>INDEX('Option1 (base case)'!Q$14:Q$87, MATCH($C98, 'Option1 (base case)'!$C$14:$C$87,0))</f>
        <v>131.16824966827517</v>
      </c>
      <c r="R98" s="119">
        <f>INDEX('Option1 (base case)'!R$14:R$87, MATCH($C98, 'Option1 (base case)'!$C$14:$C$87,0))</f>
        <v>272.08183219400388</v>
      </c>
      <c r="S98" s="119">
        <f>INDEX('Option1 (base case)'!S$14:S$87, MATCH($C98, 'Option1 (base case)'!$C$14:$C$87,0))</f>
        <v>272.08183219400388</v>
      </c>
      <c r="T98" s="119">
        <f>INDEX('Option1 (base case)'!T$14:T$87, MATCH($C98, 'Option1 (base case)'!$C$14:$C$87,0))</f>
        <v>272.08183219400388</v>
      </c>
      <c r="U98" s="119">
        <f>INDEX('Option1 (base case)'!U$14:U$87, MATCH($C98, 'Option1 (base case)'!$C$14:$C$87,0))</f>
        <v>272.08183219400388</v>
      </c>
      <c r="V98" s="119">
        <f>INDEX('Option1 (base case)'!V$14:V$87, MATCH($C98, 'Option1 (base case)'!$C$14:$C$87,0))</f>
        <v>272.08183219400388</v>
      </c>
      <c r="W98" s="119">
        <f>INDEX('Option1 (base case)'!W$14:W$87, MATCH($C98, 'Option1 (base case)'!$C$14:$C$87,0))</f>
        <v>272.08183219400388</v>
      </c>
      <c r="X98" s="119">
        <f>INDEX('Option1 (base case)'!X$14:X$87, MATCH($C98, 'Option1 (base case)'!$C$14:$C$87,0))</f>
        <v>272.08183219400388</v>
      </c>
      <c r="Y98" s="119">
        <f>INDEX('Option1 (base case)'!Y$14:Y$87, MATCH($C98, 'Option1 (base case)'!$C$14:$C$87,0))</f>
        <v>272.08183219400388</v>
      </c>
      <c r="Z98" s="119">
        <f>INDEX('Option1 (base case)'!Z$14:Z$87, MATCH($C98, 'Option1 (base case)'!$C$14:$C$87,0))</f>
        <v>272.08183219400388</v>
      </c>
      <c r="AA98" s="119">
        <f>INDEX('Option1 (base case)'!AA$14:AA$87, MATCH($C98, 'Option1 (base case)'!$C$14:$C$87,0))</f>
        <v>272.08183219400388</v>
      </c>
      <c r="AB98" s="119">
        <f>INDEX('Option1 (base case)'!AB$14:AB$87, MATCH($C98, 'Option1 (base case)'!$C$14:$C$87,0))</f>
        <v>272.08183219400388</v>
      </c>
      <c r="AC98" s="119">
        <f>INDEX('Option1 (base case)'!AC$14:AC$87, MATCH($C98, 'Option1 (base case)'!$C$14:$C$87,0))</f>
        <v>272.08183219400388</v>
      </c>
      <c r="AD98" s="119">
        <f>INDEX('Option1 (base case)'!AD$14:AD$87, MATCH($C98, 'Option1 (base case)'!$C$14:$C$87,0))</f>
        <v>272.08183219400388</v>
      </c>
      <c r="AE98" s="119">
        <f>INDEX('Option1 (base case)'!AE$14:AE$87, MATCH($C98, 'Option1 (base case)'!$C$14:$C$87,0))</f>
        <v>272.08183219400388</v>
      </c>
      <c r="AF98" s="119">
        <f>INDEX('Option1 (base case)'!AF$14:AF$87, MATCH($C98, 'Option1 (base case)'!$C$14:$C$87,0))</f>
        <v>272.08183219400388</v>
      </c>
      <c r="AG98" s="119">
        <f>INDEX('Option1 (base case)'!AG$14:AG$87, MATCH($C98, 'Option1 (base case)'!$C$14:$C$87,0))</f>
        <v>272.08183219400388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12.917681365723038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7.9094069318581522E-3</v>
      </c>
      <c r="J99" s="119">
        <f>INDEX('Option1 (base case)'!J$14:J$87, MATCH($C99, 'Option1 (base case)'!$C$14:$C$87,0))/10^6</f>
        <v>2.9019401867740286E-2</v>
      </c>
      <c r="K99" s="119">
        <f>INDEX('Option1 (base case)'!K$14:K$87, MATCH($C99, 'Option1 (base case)'!$C$14:$C$87,0))/10^6</f>
        <v>9.0012568173277407E-2</v>
      </c>
      <c r="L99" s="119">
        <f>INDEX('Option1 (base case)'!L$14:L$87, MATCH($C99, 'Option1 (base case)'!$C$14:$C$87,0))/10^6</f>
        <v>0.23295495787366993</v>
      </c>
      <c r="M99" s="119">
        <f>INDEX('Option1 (base case)'!M$14:M$87, MATCH($C99, 'Option1 (base case)'!$C$14:$C$87,0))/10^6</f>
        <v>0.50996722366186753</v>
      </c>
      <c r="N99" s="119">
        <f>INDEX('Option1 (base case)'!N$14:N$87, MATCH($C99, 'Option1 (base case)'!$C$14:$C$87,0))/10^6</f>
        <v>0.9709829959740921</v>
      </c>
      <c r="O99" s="119">
        <f>INDEX('Option1 (base case)'!O$14:O$87, MATCH($C99, 'Option1 (base case)'!$C$14:$C$87,0))/10^6</f>
        <v>1.6726243083760644</v>
      </c>
      <c r="P99" s="119">
        <f>INDEX('Option1 (base case)'!P$14:P$87, MATCH($C99, 'Option1 (base case)'!$C$14:$C$87,0))/10^6</f>
        <v>2.9999769370818368</v>
      </c>
      <c r="Q99" s="119">
        <f>INDEX('Option1 (base case)'!Q$14:Q$87, MATCH($C99, 'Option1 (base case)'!$C$14:$C$87,0))/10^6</f>
        <v>6.2275001636501264</v>
      </c>
      <c r="R99" s="119">
        <f>INDEX('Option1 (base case)'!R$14:R$87, MATCH($C99, 'Option1 (base case)'!$C$14:$C$87,0))/10^6</f>
        <v>12.917681365723038</v>
      </c>
      <c r="S99" s="119">
        <f>INDEX('Option1 (base case)'!S$14:S$87, MATCH($C99, 'Option1 (base case)'!$C$14:$C$87,0))/10^6</f>
        <v>12.917681365723038</v>
      </c>
      <c r="T99" s="119">
        <f>INDEX('Option1 (base case)'!T$14:T$87, MATCH($C99, 'Option1 (base case)'!$C$14:$C$87,0))/10^6</f>
        <v>12.917681365723038</v>
      </c>
      <c r="U99" s="119">
        <f>INDEX('Option1 (base case)'!U$14:U$87, MATCH($C99, 'Option1 (base case)'!$C$14:$C$87,0))/10^6</f>
        <v>12.917681365723038</v>
      </c>
      <c r="V99" s="119">
        <f>INDEX('Option1 (base case)'!V$14:V$87, MATCH($C99, 'Option1 (base case)'!$C$14:$C$87,0))/10^6</f>
        <v>12.917681365723038</v>
      </c>
      <c r="W99" s="119">
        <f>INDEX('Option1 (base case)'!W$14:W$87, MATCH($C99, 'Option1 (base case)'!$C$14:$C$87,0))/10^6</f>
        <v>12.917681365723038</v>
      </c>
      <c r="X99" s="119">
        <f>INDEX('Option1 (base case)'!X$14:X$87, MATCH($C99, 'Option1 (base case)'!$C$14:$C$87,0))/10^6</f>
        <v>12.917681365723038</v>
      </c>
      <c r="Y99" s="119">
        <f>INDEX('Option1 (base case)'!Y$14:Y$87, MATCH($C99, 'Option1 (base case)'!$C$14:$C$87,0))/10^6</f>
        <v>12.917681365723038</v>
      </c>
      <c r="Z99" s="119">
        <f>INDEX('Option1 (base case)'!Z$14:Z$87, MATCH($C99, 'Option1 (base case)'!$C$14:$C$87,0))/10^6</f>
        <v>12.917681365723038</v>
      </c>
      <c r="AA99" s="119">
        <f>INDEX('Option1 (base case)'!AA$14:AA$87, MATCH($C99, 'Option1 (base case)'!$C$14:$C$87,0))/10^6</f>
        <v>12.917681365723038</v>
      </c>
      <c r="AB99" s="119">
        <f>INDEX('Option1 (base case)'!AB$14:AB$87, MATCH($C99, 'Option1 (base case)'!$C$14:$C$87,0))/10^6</f>
        <v>12.917681365723038</v>
      </c>
      <c r="AC99" s="119">
        <f>INDEX('Option1 (base case)'!AC$14:AC$87, MATCH($C99, 'Option1 (base case)'!$C$14:$C$87,0))/10^6</f>
        <v>12.917681365723038</v>
      </c>
      <c r="AD99" s="119">
        <f>INDEX('Option1 (base case)'!AD$14:AD$87, MATCH($C99, 'Option1 (base case)'!$C$14:$C$87,0))/10^6</f>
        <v>12.917681365723038</v>
      </c>
      <c r="AE99" s="119">
        <f>INDEX('Option1 (base case)'!AE$14:AE$87, MATCH($C99, 'Option1 (base case)'!$C$14:$C$87,0))/10^6</f>
        <v>12.917681365723038</v>
      </c>
      <c r="AF99" s="119">
        <f>INDEX('Option1 (base case)'!AF$14:AF$87, MATCH($C99, 'Option1 (base case)'!$C$14:$C$87,0))/10^6</f>
        <v>12.917681365723038</v>
      </c>
      <c r="AG99" s="119">
        <f>INDEX('Option1 (base case)'!AG$14:AG$87, MATCH($C99, 'Option1 (base case)'!$C$14:$C$87,0))/10^6</f>
        <v>12.917681365723038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Brunswick modernisation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196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0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45473</v>
      </c>
      <c r="I9" s="20" t="str">
        <f>'Option1 (base case)'!I9</f>
        <v>2024-25</v>
      </c>
      <c r="J9" s="20" t="str">
        <f>'Option1 (base case)'!J9</f>
        <v>2025-26</v>
      </c>
      <c r="K9" s="20" t="str">
        <f>'Option1 (base case)'!K9</f>
        <v>2026-27</v>
      </c>
      <c r="L9" s="20" t="str">
        <f>'Option1 (base case)'!L9</f>
        <v>2027-28</v>
      </c>
      <c r="M9" s="20" t="str">
        <f>'Option1 (base case)'!M9</f>
        <v>2028-29</v>
      </c>
      <c r="N9" s="20" t="str">
        <f>'Option1 (base case)'!N9</f>
        <v>2029-30</v>
      </c>
      <c r="O9" s="20" t="str">
        <f>'Option1 (base case)'!O9</f>
        <v>2030-31</v>
      </c>
      <c r="P9" s="20" t="str">
        <f>'Option1 (base case)'!P9</f>
        <v>2031-32</v>
      </c>
      <c r="Q9" s="20" t="str">
        <f>'Option1 (base case)'!Q9</f>
        <v>2032-33</v>
      </c>
      <c r="R9" s="20" t="str">
        <f>'Option1 (base case)'!R9</f>
        <v>2033-34</v>
      </c>
      <c r="S9" s="20" t="str">
        <f>'Option1 (base case)'!S9</f>
        <v>2034-35</v>
      </c>
      <c r="T9" s="20" t="str">
        <f>'Option1 (base case)'!T9</f>
        <v>2035-36</v>
      </c>
      <c r="U9" s="20" t="str">
        <f>'Option1 (base case)'!U9</f>
        <v>2036-37</v>
      </c>
      <c r="V9" s="20" t="str">
        <f>'Option1 (base case)'!V9</f>
        <v>2037-38</v>
      </c>
      <c r="W9" s="20" t="str">
        <f>'Option1 (base case)'!W9</f>
        <v>2038-39</v>
      </c>
      <c r="X9" s="20" t="str">
        <f>'Option1 (base case)'!X9</f>
        <v>2039-40</v>
      </c>
      <c r="Y9" s="20" t="str">
        <f>'Option1 (base case)'!Y9</f>
        <v>2040-41</v>
      </c>
      <c r="Z9" s="20" t="str">
        <f>'Option1 (base case)'!Z9</f>
        <v>2041-42</v>
      </c>
      <c r="AA9" s="20" t="str">
        <f>'Option1 (base case)'!AA9</f>
        <v>2042-43</v>
      </c>
      <c r="AB9" s="20" t="str">
        <f>'Option1 (base case)'!AB9</f>
        <v>2043-44</v>
      </c>
      <c r="AC9" s="20" t="str">
        <f>'Option1 (base case)'!AC9</f>
        <v>2044-45</v>
      </c>
      <c r="AD9" s="20" t="str">
        <f>'Option1 (base case)'!AD9</f>
        <v>2045-46</v>
      </c>
      <c r="AE9" s="20" t="str">
        <f>'Option1 (base case)'!AE9</f>
        <v>2046-47</v>
      </c>
      <c r="AF9" s="20" t="str">
        <f>'Option1 (base case)'!AF9</f>
        <v>2047-48</v>
      </c>
      <c r="AG9" s="20" t="str">
        <f>'Option1 (base case)'!AG9</f>
        <v>2048-49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9338413.6059219167</v>
      </c>
      <c r="AA12" s="31">
        <f>Consol!AB36</f>
        <v>9338413.6059219167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143</v>
      </c>
      <c r="B14" s="258" t="s">
        <v>119</v>
      </c>
      <c r="C14" s="258" t="s">
        <v>189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143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143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143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143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143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143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143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143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189</v>
      </c>
      <c r="D28" s="258" t="str">
        <f>A28&amp;B28</f>
        <v>Option 2NPV</v>
      </c>
      <c r="E28" s="259"/>
      <c r="F28" s="31">
        <f>SUMPRODUCT($H28:$AG28, $H$5:$AG$5)</f>
        <v>54519212.371751927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1482.4638250218236</v>
      </c>
      <c r="J28" s="31">
        <f>(INDEX(Option2!J$106:J$117, MATCH($D28, Option2!$G$106:$G$117,0)))*conv_2026*J$7</f>
        <v>-83904.693229842669</v>
      </c>
      <c r="K28" s="31">
        <f>(INDEX(Option2!K$106:K$117, MATCH($D28, Option2!$G$106:$G$117,0)))*conv_2026*K$7</f>
        <v>-750406.93474125024</v>
      </c>
      <c r="L28" s="31">
        <f>(INDEX(Option2!L$106:L$117, MATCH($D28, Option2!$G$106:$G$117,0)))*conv_2026*L$7</f>
        <v>-1778010.2296265913</v>
      </c>
      <c r="M28" s="31">
        <f>(INDEX(Option2!M$106:M$117, MATCH($D28, Option2!$G$106:$G$117,0)))*conv_2026*M$7</f>
        <v>-2345980.9019309036</v>
      </c>
      <c r="N28" s="31">
        <f>(INDEX(Option2!N$106:N$117, MATCH($D28, Option2!$G$106:$G$117,0)))*conv_2026*N$7</f>
        <v>-2342572.8841199698</v>
      </c>
      <c r="O28" s="31">
        <f>(INDEX(Option2!O$106:O$117, MATCH($D28, Option2!$G$106:$G$117,0)))*conv_2026*O$7</f>
        <v>-2547760.5323375934</v>
      </c>
      <c r="P28" s="31">
        <f>(INDEX(Option2!P$106:P$117, MATCH($D28, Option2!$G$106:$G$117,0)))*conv_2026*P$7</f>
        <v>-1699125.0761347669</v>
      </c>
      <c r="Q28" s="31">
        <f>(INDEX(Option2!Q$106:Q$117, MATCH($D28, Option2!$G$106:$G$117,0)))*conv_2026*Q$7</f>
        <v>1892826.3393163816</v>
      </c>
      <c r="R28" s="31">
        <f>(INDEX(Option2!R$106:R$117, MATCH($D28, Option2!$G$106:$G$117,0)))*conv_2026*R$7</f>
        <v>9338413.6059219167</v>
      </c>
      <c r="S28" s="31">
        <f>(INDEX(Option2!S$106:S$117, MATCH($D28, Option2!$G$106:$G$117,0)))*conv_2026*S$7</f>
        <v>9338413.6059219167</v>
      </c>
      <c r="T28" s="31">
        <f>(INDEX(Option2!T$106:T$117, MATCH($D28, Option2!$G$106:$G$117,0)))*conv_2026*T$7</f>
        <v>9338413.6059219167</v>
      </c>
      <c r="U28" s="31">
        <f>(INDEX(Option2!U$106:U$117, MATCH($D28, Option2!$G$106:$G$117,0)))*conv_2026*U$7</f>
        <v>9338413.6059219167</v>
      </c>
      <c r="V28" s="31">
        <f>(INDEX(Option2!V$106:V$117, MATCH($D28, Option2!$G$106:$G$117,0)))*conv_2026*V$7</f>
        <v>9338413.6059219167</v>
      </c>
      <c r="W28" s="31">
        <f>(INDEX(Option2!W$106:W$117, MATCH($D28, Option2!$G$106:$G$117,0)))*conv_2026*W$7</f>
        <v>9338413.6059219167</v>
      </c>
      <c r="X28" s="31">
        <f>(INDEX(Option2!X$106:X$117, MATCH($D28, Option2!$G$106:$G$117,0)))*conv_2026*X$7</f>
        <v>9338413.6059219167</v>
      </c>
      <c r="Y28" s="31">
        <f>(INDEX(Option2!Y$106:Y$117, MATCH($D28, Option2!$G$106:$G$117,0)))*conv_2026*Y$7</f>
        <v>9338413.6059219167</v>
      </c>
      <c r="Z28" s="31">
        <f>(INDEX(Option2!Z$106:Z$117, MATCH($D28, Option2!$G$106:$G$117,0)))*conv_2026*Z$7</f>
        <v>9338413.6059219167</v>
      </c>
      <c r="AA28" s="31">
        <f>(INDEX(Option2!AA$106:AA$117, MATCH($D28, Option2!$G$106:$G$117,0)))*conv_2026*AA$7</f>
        <v>9338413.6059219167</v>
      </c>
      <c r="AB28" s="31">
        <f>(INDEX(Option2!AB$106:AB$117, MATCH($D28, Option2!$G$106:$G$117,0)))*conv_2026*AB$7</f>
        <v>9338413.6059219167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49295458.121361107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1482.4638250218236</v>
      </c>
      <c r="J30" s="31">
        <f>IF($B30=0,0, (INDEX(Option2!J$106:J$117, MATCH($D30, Option2!$G$106:$G$117,0)))*conv_2026*J$7)</f>
        <v>-93868.68808329801</v>
      </c>
      <c r="K30" s="31">
        <f>IF($B30=0,0, (INDEX(Option2!K$106:K$117, MATCH($D30, Option2!$G$106:$G$117,0)))*conv_2026*K$7)</f>
        <v>-825611.37208756793</v>
      </c>
      <c r="L30" s="31">
        <f>IF($B30=0,0, (INDEX(Option2!L$106:L$117, MATCH($D30, Option2!$G$106:$G$117,0)))*conv_2026*L$7)</f>
        <v>-1967800.6077876452</v>
      </c>
      <c r="M30" s="31">
        <f>IF($B30=0,0, (INDEX(Option2!M$106:M$117, MATCH($D30, Option2!$G$106:$G$117,0)))*conv_2026*M$7)</f>
        <v>-2618799.8257779642</v>
      </c>
      <c r="N30" s="31">
        <f>IF($B30=0,0, (INDEX(Option2!N$106:N$117, MATCH($D30, Option2!$G$106:$G$117,0)))*conv_2026*N$7)</f>
        <v>-2661584.7701650439</v>
      </c>
      <c r="O30" s="31">
        <f>IF($B30=0,0, (INDEX(Option2!O$106:O$117, MATCH($D30, Option2!$G$106:$G$117,0)))*conv_2026*O$7)</f>
        <v>-2959158.3427786939</v>
      </c>
      <c r="P30" s="31">
        <f>IF($B30=0,0, (INDEX(Option2!P$106:P$117, MATCH($D30, Option2!$G$106:$G$117,0)))*conv_2026*P$7)</f>
        <v>-2202908.8109718938</v>
      </c>
      <c r="Q30" s="31">
        <f>IF($B30=0,0, (INDEX(Option2!Q$106:Q$117, MATCH($D30, Option2!$G$106:$G$117,0)))*conv_2026*Q$7)</f>
        <v>1389042.6044792547</v>
      </c>
      <c r="R30" s="31">
        <f>IF($B30=0,0, (INDEX(Option2!R$106:R$117, MATCH($D30, Option2!$G$106:$G$117,0)))*conv_2026*R$7)</f>
        <v>8834629.8710847888</v>
      </c>
      <c r="S30" s="31">
        <f>IF($B30=0,0, (INDEX(Option2!S$106:S$117, MATCH($D30, Option2!$G$106:$G$117,0)))*conv_2026*S$7)</f>
        <v>8834629.8710847888</v>
      </c>
      <c r="T30" s="31">
        <f>IF($B30=0,0, (INDEX(Option2!T$106:T$117, MATCH($D30, Option2!$G$106:$G$117,0)))*conv_2026*T$7)</f>
        <v>8834629.8710847888</v>
      </c>
      <c r="U30" s="31">
        <f>IF($B30=0,0, (INDEX(Option2!U$106:U$117, MATCH($D30, Option2!$G$106:$G$117,0)))*conv_2026*U$7)</f>
        <v>8834629.8710847888</v>
      </c>
      <c r="V30" s="31">
        <f>IF($B30=0,0, (INDEX(Option2!V$106:V$117, MATCH($D30, Option2!$G$106:$G$117,0)))*conv_2026*V$7)</f>
        <v>8834629.8710847888</v>
      </c>
      <c r="W30" s="31">
        <f>IF($B30=0,0, (INDEX(Option2!W$106:W$117, MATCH($D30, Option2!$G$106:$G$117,0)))*conv_2026*W$7)</f>
        <v>8834629.8710847888</v>
      </c>
      <c r="X30" s="31">
        <f>IF($B30=0,0, (INDEX(Option2!X$106:X$117, MATCH($D30, Option2!$G$106:$G$117,0)))*conv_2026*X$7)</f>
        <v>8834629.8710847888</v>
      </c>
      <c r="Y30" s="31">
        <f>IF($B30=0,0, (INDEX(Option2!Y$106:Y$117, MATCH($D30, Option2!$G$106:$G$117,0)))*conv_2026*Y$7)</f>
        <v>8834629.8710847888</v>
      </c>
      <c r="Z30" s="31">
        <f>IF($B30=0,0, (INDEX(Option2!Z$106:Z$117, MATCH($D30, Option2!$G$106:$G$117,0)))*conv_2026*Z$7)</f>
        <v>8834629.8710847888</v>
      </c>
      <c r="AA30" s="31">
        <f>IF($B30=0,0, (INDEX(Option2!AA$106:AA$117, MATCH($D30, Option2!$G$106:$G$117,0)))*conv_2026*AA$7)</f>
        <v>8834629.8710847888</v>
      </c>
      <c r="AB30" s="31">
        <f>IF($B30=0,0, (INDEX(Option2!AB$106:AB$117, MATCH($D30, Option2!$G$106:$G$117,0)))*conv_2026*AB$7)</f>
        <v>8834629.8710847888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59742966.622142747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1482.4638250218236</v>
      </c>
      <c r="J31" s="31">
        <f>IF($B31=0,0, (INDEX(Option2!J$106:J$117, MATCH($D31, Option2!$G$106:$G$117,0)))*conv_2026*J$7)</f>
        <v>-73940.698376387343</v>
      </c>
      <c r="K31" s="31">
        <f>IF($B31=0,0, (INDEX(Option2!K$106:K$117, MATCH($D31, Option2!$G$106:$G$117,0)))*conv_2026*K$7)</f>
        <v>-675202.49739493267</v>
      </c>
      <c r="L31" s="31">
        <f>IF($B31=0,0, (INDEX(Option2!L$106:L$117, MATCH($D31, Option2!$G$106:$G$117,0)))*conv_2026*L$7)</f>
        <v>-1588219.8514655372</v>
      </c>
      <c r="M31" s="31">
        <f>IF($B31=0,0, (INDEX(Option2!M$106:M$117, MATCH($D31, Option2!$G$106:$G$117,0)))*conv_2026*M$7)</f>
        <v>-2073161.9780838424</v>
      </c>
      <c r="N31" s="31">
        <f>IF($B31=0,0, (INDEX(Option2!N$106:N$117, MATCH($D31, Option2!$G$106:$G$117,0)))*conv_2026*N$7)</f>
        <v>-2023560.9980748955</v>
      </c>
      <c r="O31" s="31">
        <f>IF($B31=0,0, (INDEX(Option2!O$106:O$117, MATCH($D31, Option2!$G$106:$G$117,0)))*conv_2026*O$7)</f>
        <v>-2136362.7218964924</v>
      </c>
      <c r="P31" s="31">
        <f>IF($B31=0,0, (INDEX(Option2!P$106:P$117, MATCH($D31, Option2!$G$106:$G$117,0)))*conv_2026*P$7)</f>
        <v>-1195341.34129764</v>
      </c>
      <c r="Q31" s="31">
        <f>IF($B31=0,0, (INDEX(Option2!Q$106:Q$117, MATCH($D31, Option2!$G$106:$G$117,0)))*conv_2026*Q$7)</f>
        <v>2396610.0741535085</v>
      </c>
      <c r="R31" s="31">
        <f>IF($B31=0,0, (INDEX(Option2!R$106:R$117, MATCH($D31, Option2!$G$106:$G$117,0)))*conv_2026*R$7)</f>
        <v>9842197.3407590445</v>
      </c>
      <c r="S31" s="31">
        <f>IF($B31=0,0, (INDEX(Option2!S$106:S$117, MATCH($D31, Option2!$G$106:$G$117,0)))*conv_2026*S$7)</f>
        <v>9842197.3407590445</v>
      </c>
      <c r="T31" s="31">
        <f>IF($B31=0,0, (INDEX(Option2!T$106:T$117, MATCH($D31, Option2!$G$106:$G$117,0)))*conv_2026*T$7)</f>
        <v>9842197.3407590445</v>
      </c>
      <c r="U31" s="31">
        <f>IF($B31=0,0, (INDEX(Option2!U$106:U$117, MATCH($D31, Option2!$G$106:$G$117,0)))*conv_2026*U$7)</f>
        <v>9842197.3407590445</v>
      </c>
      <c r="V31" s="31">
        <f>IF($B31=0,0, (INDEX(Option2!V$106:V$117, MATCH($D31, Option2!$G$106:$G$117,0)))*conv_2026*V$7)</f>
        <v>9842197.3407590445</v>
      </c>
      <c r="W31" s="31">
        <f>IF($B31=0,0, (INDEX(Option2!W$106:W$117, MATCH($D31, Option2!$G$106:$G$117,0)))*conv_2026*W$7)</f>
        <v>9842197.3407590445</v>
      </c>
      <c r="X31" s="31">
        <f>IF($B31=0,0, (INDEX(Option2!X$106:X$117, MATCH($D31, Option2!$G$106:$G$117,0)))*conv_2026*X$7)</f>
        <v>9842197.3407590445</v>
      </c>
      <c r="Y31" s="31">
        <f>IF($B31=0,0, (INDEX(Option2!Y$106:Y$117, MATCH($D31, Option2!$G$106:$G$117,0)))*conv_2026*Y$7)</f>
        <v>9842197.3407590445</v>
      </c>
      <c r="Z31" s="31">
        <f>IF($B31=0,0, (INDEX(Option2!Z$106:Z$117, MATCH($D31, Option2!$G$106:$G$117,0)))*conv_2026*Z$7)</f>
        <v>9842197.3407590445</v>
      </c>
      <c r="AA31" s="31">
        <f>IF($B31=0,0, (INDEX(Option2!AA$106:AA$117, MATCH($D31, Option2!$G$106:$G$117,0)))*conv_2026*AA$7)</f>
        <v>9842197.3407590445</v>
      </c>
      <c r="AB31" s="31">
        <f>IF($B31=0,0, (INDEX(Option2!AB$106:AB$117, MATCH($D31, Option2!$G$106:$G$117,0)))*conv_2026*AB$7)</f>
        <v>9842197.3407590445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65194887.859317929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1630.7102075240061</v>
      </c>
      <c r="J32" s="31">
        <f>IF($B32=0,0, (INDEX(Option2!J$106:J$117, MATCH($D32, Option2!$G$106:$G$117,0)))*conv_2026*J$7)</f>
        <v>-82331.16769937161</v>
      </c>
      <c r="K32" s="31">
        <f>IF($B32=0,0, (INDEX(Option2!K$106:K$117, MATCH($D32, Option2!$G$106:$G$117,0)))*conv_2026*K$7)</f>
        <v>-750243.19086905767</v>
      </c>
      <c r="L32" s="31">
        <f>IF($B32=0,0, (INDEX(Option2!L$106:L$117, MATCH($D32, Option2!$G$106:$G$117,0)))*conv_2026*L$7)</f>
        <v>-1766020.8744281963</v>
      </c>
      <c r="M32" s="31">
        <f>IF($B32=0,0, (INDEX(Option2!M$106:M$117, MATCH($D32, Option2!$G$106:$G$117,0)))*conv_2026*M$7)</f>
        <v>-2307760.0682769325</v>
      </c>
      <c r="N32" s="31">
        <f>IF($B32=0,0, (INDEX(Option2!N$106:N$117, MATCH($D32, Option2!$G$106:$G$117,0)))*conv_2026*N$7)</f>
        <v>-2257818.2864868925</v>
      </c>
      <c r="O32" s="31">
        <f>IF($B32=0,0, (INDEX(Option2!O$106:O$117, MATCH($D32, Option2!$G$106:$G$117,0)))*conv_2026*O$7)</f>
        <v>-2391138.7751302519</v>
      </c>
      <c r="P32" s="31">
        <f>IF($B32=0,0, (INDEX(Option2!P$106:P$117, MATCH($D32, Option2!$G$106:$G$117,0)))*conv_2026*P$7)</f>
        <v>-1365253.8489111166</v>
      </c>
      <c r="Q32" s="31">
        <f>IF($B32=0,0, (INDEX(Option2!Q$106:Q$117, MATCH($D32, Option2!$G$106:$G$117,0)))*conv_2026*Q$7)</f>
        <v>2585892.7080851467</v>
      </c>
      <c r="R32" s="31">
        <f>IF($B32=0,0, (INDEX(Option2!R$106:R$117, MATCH($D32, Option2!$G$106:$G$117,0)))*conv_2026*R$7)</f>
        <v>10776038.701351235</v>
      </c>
      <c r="S32" s="31">
        <f>IF($B32=0,0, (INDEX(Option2!S$106:S$117, MATCH($D32, Option2!$G$106:$G$117,0)))*conv_2026*S$7)</f>
        <v>10776038.701351235</v>
      </c>
      <c r="T32" s="31">
        <f>IF($B32=0,0, (INDEX(Option2!T$106:T$117, MATCH($D32, Option2!$G$106:$G$117,0)))*conv_2026*T$7)</f>
        <v>10776038.701351235</v>
      </c>
      <c r="U32" s="31">
        <f>IF($B32=0,0, (INDEX(Option2!U$106:U$117, MATCH($D32, Option2!$G$106:$G$117,0)))*conv_2026*U$7)</f>
        <v>10776038.701351235</v>
      </c>
      <c r="V32" s="31">
        <f>IF($B32=0,0, (INDEX(Option2!V$106:V$117, MATCH($D32, Option2!$G$106:$G$117,0)))*conv_2026*V$7)</f>
        <v>10776038.701351235</v>
      </c>
      <c r="W32" s="31">
        <f>IF($B32=0,0, (INDEX(Option2!W$106:W$117, MATCH($D32, Option2!$G$106:$G$117,0)))*conv_2026*W$7)</f>
        <v>10776038.701351235</v>
      </c>
      <c r="X32" s="31">
        <f>IF($B32=0,0, (INDEX(Option2!X$106:X$117, MATCH($D32, Option2!$G$106:$G$117,0)))*conv_2026*X$7)</f>
        <v>10776038.701351235</v>
      </c>
      <c r="Y32" s="31">
        <f>IF($B32=0,0, (INDEX(Option2!Y$106:Y$117, MATCH($D32, Option2!$G$106:$G$117,0)))*conv_2026*Y$7)</f>
        <v>10776038.701351235</v>
      </c>
      <c r="Z32" s="31">
        <f>IF($B32=0,0, (INDEX(Option2!Z$106:Z$117, MATCH($D32, Option2!$G$106:$G$117,0)))*conv_2026*Z$7)</f>
        <v>10776038.701351235</v>
      </c>
      <c r="AA32" s="31">
        <f>IF($B32=0,0, (INDEX(Option2!AA$106:AA$117, MATCH($D32, Option2!$G$106:$G$117,0)))*conv_2026*AA$7)</f>
        <v>10776038.701351235</v>
      </c>
      <c r="AB32" s="31">
        <f>IF($B32=0,0, (INDEX(Option2!AB$106:AB$117, MATCH($D32, Option2!$G$106:$G$117,0)))*conv_2026*AB$7)</f>
        <v>10776038.701351235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43843536.884185918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1334.2174425196413</v>
      </c>
      <c r="J33" s="31">
        <f>IF($B33=0,0, (INDEX(Option2!J$106:J$117, MATCH($D33, Option2!$G$106:$G$117,0)))*conv_2026*J$7)</f>
        <v>-85478.218760313743</v>
      </c>
      <c r="K33" s="31">
        <f>IF($B33=0,0, (INDEX(Option2!K$106:K$117, MATCH($D33, Option2!$G$106:$G$117,0)))*conv_2026*K$7)</f>
        <v>-750570.67861344293</v>
      </c>
      <c r="L33" s="31">
        <f>IF($B33=0,0, (INDEX(Option2!L$106:L$117, MATCH($D33, Option2!$G$106:$G$117,0)))*conv_2026*L$7)</f>
        <v>-1789999.5848249861</v>
      </c>
      <c r="M33" s="31">
        <f>IF($B33=0,0, (INDEX(Option2!M$106:M$117, MATCH($D33, Option2!$G$106:$G$117,0)))*conv_2026*M$7)</f>
        <v>-2384201.7355848737</v>
      </c>
      <c r="N33" s="31">
        <f>IF($B33=0,0, (INDEX(Option2!N$106:N$117, MATCH($D33, Option2!$G$106:$G$117,0)))*conv_2026*N$7)</f>
        <v>-2427327.4817530466</v>
      </c>
      <c r="O33" s="31">
        <f>IF($B33=0,0, (INDEX(Option2!O$106:O$117, MATCH($D33, Option2!$G$106:$G$117,0)))*conv_2026*O$7)</f>
        <v>-2704382.2895449349</v>
      </c>
      <c r="P33" s="31">
        <f>IF($B33=0,0, (INDEX(Option2!P$106:P$117, MATCH($D33, Option2!$G$106:$G$117,0)))*conv_2026*P$7)</f>
        <v>-2032996.3033584172</v>
      </c>
      <c r="Q33" s="31">
        <f>IF($B33=0,0, (INDEX(Option2!Q$106:Q$117, MATCH($D33, Option2!$G$106:$G$117,0)))*conv_2026*Q$7)</f>
        <v>1199759.9705476165</v>
      </c>
      <c r="R33" s="31">
        <f>IF($B33=0,0, (INDEX(Option2!R$106:R$117, MATCH($D33, Option2!$G$106:$G$117,0)))*conv_2026*R$7)</f>
        <v>7900788.5104925968</v>
      </c>
      <c r="S33" s="31">
        <f>IF($B33=0,0, (INDEX(Option2!S$106:S$117, MATCH($D33, Option2!$G$106:$G$117,0)))*conv_2026*S$7)</f>
        <v>7900788.5104925968</v>
      </c>
      <c r="T33" s="31">
        <f>IF($B33=0,0, (INDEX(Option2!T$106:T$117, MATCH($D33, Option2!$G$106:$G$117,0)))*conv_2026*T$7)</f>
        <v>7900788.5104925968</v>
      </c>
      <c r="U33" s="31">
        <f>IF($B33=0,0, (INDEX(Option2!U$106:U$117, MATCH($D33, Option2!$G$106:$G$117,0)))*conv_2026*U$7)</f>
        <v>7900788.5104925968</v>
      </c>
      <c r="V33" s="31">
        <f>IF($B33=0,0, (INDEX(Option2!V$106:V$117, MATCH($D33, Option2!$G$106:$G$117,0)))*conv_2026*V$7)</f>
        <v>7900788.5104925968</v>
      </c>
      <c r="W33" s="31">
        <f>IF($B33=0,0, (INDEX(Option2!W$106:W$117, MATCH($D33, Option2!$G$106:$G$117,0)))*conv_2026*W$7)</f>
        <v>7900788.5104925968</v>
      </c>
      <c r="X33" s="31">
        <f>IF($B33=0,0, (INDEX(Option2!X$106:X$117, MATCH($D33, Option2!$G$106:$G$117,0)))*conv_2026*X$7)</f>
        <v>7900788.5104925968</v>
      </c>
      <c r="Y33" s="31">
        <f>IF($B33=0,0, (INDEX(Option2!Y$106:Y$117, MATCH($D33, Option2!$G$106:$G$117,0)))*conv_2026*Y$7)</f>
        <v>7900788.5104925968</v>
      </c>
      <c r="Z33" s="31">
        <f>IF($B33=0,0, (INDEX(Option2!Z$106:Z$117, MATCH($D33, Option2!$G$106:$G$117,0)))*conv_2026*Z$7)</f>
        <v>7900788.5104925968</v>
      </c>
      <c r="AA33" s="31">
        <f>IF($B33=0,0, (INDEX(Option2!AA$106:AA$117, MATCH($D33, Option2!$G$106:$G$117,0)))*conv_2026*AA$7)</f>
        <v>7900788.5104925968</v>
      </c>
      <c r="AB33" s="31">
        <f>IF($B33=0,0, (INDEX(Option2!AB$106:AB$117, MATCH($D33, Option2!$G$106:$G$117,0)))*conv_2026*AB$7)</f>
        <v>7900788.5104925968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38619782.633795112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1334.2174425196413</v>
      </c>
      <c r="J34" s="31">
        <f>IF($B34=0,0, (INDEX(Option2!J$106:J$117, MATCH($D34, Option2!$G$106:$G$117,0)))*conv_2026*J$7)</f>
        <v>-95442.213613769083</v>
      </c>
      <c r="K34" s="31">
        <f>IF($B34=0,0, (INDEX(Option2!K$106:K$117, MATCH($D34, Option2!$G$106:$G$117,0)))*conv_2026*K$7)</f>
        <v>-825775.1159597605</v>
      </c>
      <c r="L34" s="31">
        <f>IF($B34=0,0, (INDEX(Option2!L$106:L$117, MATCH($D34, Option2!$G$106:$G$117,0)))*conv_2026*L$7)</f>
        <v>-1979789.9629860402</v>
      </c>
      <c r="M34" s="31">
        <f>IF($B34=0,0, (INDEX(Option2!M$106:M$117, MATCH($D34, Option2!$G$106:$G$117,0)))*conv_2026*M$7)</f>
        <v>-2657020.6594319353</v>
      </c>
      <c r="N34" s="31">
        <f>IF($B34=0,0, (INDEX(Option2!N$106:N$117, MATCH($D34, Option2!$G$106:$G$117,0)))*conv_2026*N$7)</f>
        <v>-2746339.3677981212</v>
      </c>
      <c r="O34" s="31">
        <f>IF($B34=0,0, (INDEX(Option2!O$106:O$117, MATCH($D34, Option2!$G$106:$G$117,0)))*conv_2026*O$7)</f>
        <v>-3115780.0999860349</v>
      </c>
      <c r="P34" s="31">
        <f>IF($B34=0,0, (INDEX(Option2!P$106:P$117, MATCH($D34, Option2!$G$106:$G$117,0)))*conv_2026*P$7)</f>
        <v>-2536780.0381955444</v>
      </c>
      <c r="Q34" s="31">
        <f>IF($B34=0,0, (INDEX(Option2!Q$106:Q$117, MATCH($D34, Option2!$G$106:$G$117,0)))*conv_2026*Q$7)</f>
        <v>695976.23571048956</v>
      </c>
      <c r="R34" s="31">
        <f>IF($B34=0,0, (INDEX(Option2!R$106:R$117, MATCH($D34, Option2!$G$106:$G$117,0)))*conv_2026*R$7)</f>
        <v>7397004.7756554699</v>
      </c>
      <c r="S34" s="31">
        <f>IF($B34=0,0, (INDEX(Option2!S$106:S$117, MATCH($D34, Option2!$G$106:$G$117,0)))*conv_2026*S$7)</f>
        <v>7397004.7756554699</v>
      </c>
      <c r="T34" s="31">
        <f>IF($B34=0,0, (INDEX(Option2!T$106:T$117, MATCH($D34, Option2!$G$106:$G$117,0)))*conv_2026*T$7)</f>
        <v>7397004.7756554699</v>
      </c>
      <c r="U34" s="31">
        <f>IF($B34=0,0, (INDEX(Option2!U$106:U$117, MATCH($D34, Option2!$G$106:$G$117,0)))*conv_2026*U$7)</f>
        <v>7397004.7756554699</v>
      </c>
      <c r="V34" s="31">
        <f>IF($B34=0,0, (INDEX(Option2!V$106:V$117, MATCH($D34, Option2!$G$106:$G$117,0)))*conv_2026*V$7)</f>
        <v>7397004.7756554699</v>
      </c>
      <c r="W34" s="31">
        <f>IF($B34=0,0, (INDEX(Option2!W$106:W$117, MATCH($D34, Option2!$G$106:$G$117,0)))*conv_2026*W$7)</f>
        <v>7397004.7756554699</v>
      </c>
      <c r="X34" s="31">
        <f>IF($B34=0,0, (INDEX(Option2!X$106:X$117, MATCH($D34, Option2!$G$106:$G$117,0)))*conv_2026*X$7)</f>
        <v>7397004.7756554699</v>
      </c>
      <c r="Y34" s="31">
        <f>IF($B34=0,0, (INDEX(Option2!Y$106:Y$117, MATCH($D34, Option2!$G$106:$G$117,0)))*conv_2026*Y$7)</f>
        <v>7397004.7756554699</v>
      </c>
      <c r="Z34" s="31">
        <f>IF($B34=0,0, (INDEX(Option2!Z$106:Z$117, MATCH($D34, Option2!$G$106:$G$117,0)))*conv_2026*Z$7)</f>
        <v>7397004.7756554699</v>
      </c>
      <c r="AA34" s="31">
        <f>IF($B34=0,0, (INDEX(Option2!AA$106:AA$117, MATCH($D34, Option2!$G$106:$G$117,0)))*conv_2026*AA$7)</f>
        <v>7397004.7756554699</v>
      </c>
      <c r="AB34" s="31">
        <f>IF($B34=0,0, (INDEX(Option2!AB$106:AB$117, MATCH($D34, Option2!$G$106:$G$117,0)))*conv_2026*AB$7)</f>
        <v>7397004.7756554699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54519212.371751927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1482.4638250218236</v>
      </c>
      <c r="J35" s="31">
        <f>IF($B35=0,0, (INDEX(Option2!J$106:J$117, MATCH($D35, Option2!$G$106:$G$117,0)))*conv_2026*J$7)</f>
        <v>-83904.693229842669</v>
      </c>
      <c r="K35" s="31">
        <f>IF($B35=0,0, (INDEX(Option2!K$106:K$117, MATCH($D35, Option2!$G$106:$G$117,0)))*conv_2026*K$7)</f>
        <v>-750406.93474125024</v>
      </c>
      <c r="L35" s="31">
        <f>IF($B35=0,0, (INDEX(Option2!L$106:L$117, MATCH($D35, Option2!$G$106:$G$117,0)))*conv_2026*L$7)</f>
        <v>-1778010.2296265913</v>
      </c>
      <c r="M35" s="31">
        <f>IF($B35=0,0, (INDEX(Option2!M$106:M$117, MATCH($D35, Option2!$G$106:$G$117,0)))*conv_2026*M$7)</f>
        <v>-2345980.9019309036</v>
      </c>
      <c r="N35" s="31">
        <f>IF($B35=0,0, (INDEX(Option2!N$106:N$117, MATCH($D35, Option2!$G$106:$G$117,0)))*conv_2026*N$7)</f>
        <v>-2342572.8841199698</v>
      </c>
      <c r="O35" s="31">
        <f>IF($B35=0,0, (INDEX(Option2!O$106:O$117, MATCH($D35, Option2!$G$106:$G$117,0)))*conv_2026*O$7)</f>
        <v>-2547760.5323375934</v>
      </c>
      <c r="P35" s="31">
        <f>IF($B35=0,0, (INDEX(Option2!P$106:P$117, MATCH($D35, Option2!$G$106:$G$117,0)))*conv_2026*P$7)</f>
        <v>-1699125.0761347669</v>
      </c>
      <c r="Q35" s="31">
        <f>IF($B35=0,0, (INDEX(Option2!Q$106:Q$117, MATCH($D35, Option2!$G$106:$G$117,0)))*conv_2026*Q$7)</f>
        <v>1892826.3393163816</v>
      </c>
      <c r="R35" s="31">
        <f>IF($B35=0,0, (INDEX(Option2!R$106:R$117, MATCH($D35, Option2!$G$106:$G$117,0)))*conv_2026*R$7)</f>
        <v>9338413.6059219167</v>
      </c>
      <c r="S35" s="31">
        <f>IF($B35=0,0, (INDEX(Option2!S$106:S$117, MATCH($D35, Option2!$G$106:$G$117,0)))*conv_2026*S$7)</f>
        <v>9338413.6059219167</v>
      </c>
      <c r="T35" s="31">
        <f>IF($B35=0,0, (INDEX(Option2!T$106:T$117, MATCH($D35, Option2!$G$106:$G$117,0)))*conv_2026*T$7)</f>
        <v>9338413.6059219167</v>
      </c>
      <c r="U35" s="31">
        <f>IF($B35=0,0, (INDEX(Option2!U$106:U$117, MATCH($D35, Option2!$G$106:$G$117,0)))*conv_2026*U$7)</f>
        <v>9338413.6059219167</v>
      </c>
      <c r="V35" s="31">
        <f>IF($B35=0,0, (INDEX(Option2!V$106:V$117, MATCH($D35, Option2!$G$106:$G$117,0)))*conv_2026*V$7)</f>
        <v>9338413.6059219167</v>
      </c>
      <c r="W35" s="31">
        <f>IF($B35=0,0, (INDEX(Option2!W$106:W$117, MATCH($D35, Option2!$G$106:$G$117,0)))*conv_2026*W$7)</f>
        <v>9338413.6059219167</v>
      </c>
      <c r="X35" s="31">
        <f>IF($B35=0,0, (INDEX(Option2!X$106:X$117, MATCH($D35, Option2!$G$106:$G$117,0)))*conv_2026*X$7)</f>
        <v>9338413.6059219167</v>
      </c>
      <c r="Y35" s="31">
        <f>IF($B35=0,0, (INDEX(Option2!Y$106:Y$117, MATCH($D35, Option2!$G$106:$G$117,0)))*conv_2026*Y$7)</f>
        <v>9338413.6059219167</v>
      </c>
      <c r="Z35" s="31">
        <f>IF($B35=0,0, (INDEX(Option2!Z$106:Z$117, MATCH($D35, Option2!$G$106:$G$117,0)))*conv_2026*Z$7)</f>
        <v>9338413.6059219167</v>
      </c>
      <c r="AA35" s="31">
        <f>IF($B35=0,0, (INDEX(Option2!AA$106:AA$117, MATCH($D35, Option2!$G$106:$G$117,0)))*conv_2026*AA$7)</f>
        <v>9338413.6059219167</v>
      </c>
      <c r="AB35" s="31">
        <f>IF($B35=0,0, (INDEX(Option2!AB$106:AB$117, MATCH($D35, Option2!$G$106:$G$117,0)))*conv_2026*AB$7)</f>
        <v>9338413.6059219167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54519212.371751927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1482.4638250218236</v>
      </c>
      <c r="J36" s="31">
        <f>IF($B36=0,0, (INDEX(Option2!J$106:J$117, MATCH($D36, Option2!$G$106:$G$117,0)))*conv_2026*J$7)</f>
        <v>-83904.693229842669</v>
      </c>
      <c r="K36" s="31">
        <f>IF($B36=0,0, (INDEX(Option2!K$106:K$117, MATCH($D36, Option2!$G$106:$G$117,0)))*conv_2026*K$7)</f>
        <v>-750406.93474125024</v>
      </c>
      <c r="L36" s="31">
        <f>IF($B36=0,0, (INDEX(Option2!L$106:L$117, MATCH($D36, Option2!$G$106:$G$117,0)))*conv_2026*L$7)</f>
        <v>-1778010.2296265913</v>
      </c>
      <c r="M36" s="31">
        <f>IF($B36=0,0, (INDEX(Option2!M$106:M$117, MATCH($D36, Option2!$G$106:$G$117,0)))*conv_2026*M$7)</f>
        <v>-2345980.9019309036</v>
      </c>
      <c r="N36" s="31">
        <f>IF($B36=0,0, (INDEX(Option2!N$106:N$117, MATCH($D36, Option2!$G$106:$G$117,0)))*conv_2026*N$7)</f>
        <v>-2342572.8841199698</v>
      </c>
      <c r="O36" s="31">
        <f>IF($B36=0,0, (INDEX(Option2!O$106:O$117, MATCH($D36, Option2!$G$106:$G$117,0)))*conv_2026*O$7)</f>
        <v>-2547760.5323375934</v>
      </c>
      <c r="P36" s="31">
        <f>IF($B36=0,0, (INDEX(Option2!P$106:P$117, MATCH($D36, Option2!$G$106:$G$117,0)))*conv_2026*P$7)</f>
        <v>-1699125.0761347669</v>
      </c>
      <c r="Q36" s="31">
        <f>IF($B36=0,0, (INDEX(Option2!Q$106:Q$117, MATCH($D36, Option2!$G$106:$G$117,0)))*conv_2026*Q$7)</f>
        <v>1892826.3393163816</v>
      </c>
      <c r="R36" s="31">
        <f>IF($B36=0,0, (INDEX(Option2!R$106:R$117, MATCH($D36, Option2!$G$106:$G$117,0)))*conv_2026*R$7)</f>
        <v>9338413.6059219167</v>
      </c>
      <c r="S36" s="31">
        <f>IF($B36=0,0, (INDEX(Option2!S$106:S$117, MATCH($D36, Option2!$G$106:$G$117,0)))*conv_2026*S$7)</f>
        <v>9338413.6059219167</v>
      </c>
      <c r="T36" s="31">
        <f>IF($B36=0,0, (INDEX(Option2!T$106:T$117, MATCH($D36, Option2!$G$106:$G$117,0)))*conv_2026*T$7)</f>
        <v>9338413.6059219167</v>
      </c>
      <c r="U36" s="31">
        <f>IF($B36=0,0, (INDEX(Option2!U$106:U$117, MATCH($D36, Option2!$G$106:$G$117,0)))*conv_2026*U$7)</f>
        <v>9338413.6059219167</v>
      </c>
      <c r="V36" s="31">
        <f>IF($B36=0,0, (INDEX(Option2!V$106:V$117, MATCH($D36, Option2!$G$106:$G$117,0)))*conv_2026*V$7)</f>
        <v>9338413.6059219167</v>
      </c>
      <c r="W36" s="31">
        <f>IF($B36=0,0, (INDEX(Option2!W$106:W$117, MATCH($D36, Option2!$G$106:$G$117,0)))*conv_2026*W$7)</f>
        <v>9338413.6059219167</v>
      </c>
      <c r="X36" s="31">
        <f>IF($B36=0,0, (INDEX(Option2!X$106:X$117, MATCH($D36, Option2!$G$106:$G$117,0)))*conv_2026*X$7)</f>
        <v>9338413.6059219167</v>
      </c>
      <c r="Y36" s="31">
        <f>IF($B36=0,0, (INDEX(Option2!Y$106:Y$117, MATCH($D36, Option2!$G$106:$G$117,0)))*conv_2026*Y$7)</f>
        <v>9338413.6059219167</v>
      </c>
      <c r="Z36" s="31">
        <f>IF($B36=0,0, (INDEX(Option2!Z$106:Z$117, MATCH($D36, Option2!$G$106:$G$117,0)))*conv_2026*Z$7)</f>
        <v>9338413.6059219167</v>
      </c>
      <c r="AA36" s="31">
        <f>IF($B36=0,0, (INDEX(Option2!AA$106:AA$117, MATCH($D36, Option2!$G$106:$G$117,0)))*conv_2026*AA$7)</f>
        <v>9338413.6059219167</v>
      </c>
      <c r="AB36" s="31">
        <f>IF($B36=0,0, (INDEX(Option2!AB$106:AB$117, MATCH($D36, Option2!$G$106:$G$117,0)))*conv_2026*AB$7)</f>
        <v>9338413.6059219167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54519212.371751927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1482.4638250218236</v>
      </c>
      <c r="J37" s="31">
        <f>IF($B37=0,0, (INDEX(Option2!J$106:J$117, MATCH($D37, Option2!$G$106:$G$117,0)))*conv_2026*J$7)</f>
        <v>-83904.693229842669</v>
      </c>
      <c r="K37" s="31">
        <f>IF($B37=0,0, (INDEX(Option2!K$106:K$117, MATCH($D37, Option2!$G$106:$G$117,0)))*conv_2026*K$7)</f>
        <v>-750406.93474125024</v>
      </c>
      <c r="L37" s="31">
        <f>IF($B37=0,0, (INDEX(Option2!L$106:L$117, MATCH($D37, Option2!$G$106:$G$117,0)))*conv_2026*L$7)</f>
        <v>-1778010.2296265913</v>
      </c>
      <c r="M37" s="31">
        <f>IF($B37=0,0, (INDEX(Option2!M$106:M$117, MATCH($D37, Option2!$G$106:$G$117,0)))*conv_2026*M$7)</f>
        <v>-2345980.9019309036</v>
      </c>
      <c r="N37" s="31">
        <f>IF($B37=0,0, (INDEX(Option2!N$106:N$117, MATCH($D37, Option2!$G$106:$G$117,0)))*conv_2026*N$7)</f>
        <v>-2342572.8841199698</v>
      </c>
      <c r="O37" s="31">
        <f>IF($B37=0,0, (INDEX(Option2!O$106:O$117, MATCH($D37, Option2!$G$106:$G$117,0)))*conv_2026*O$7)</f>
        <v>-2547760.5323375934</v>
      </c>
      <c r="P37" s="31">
        <f>IF($B37=0,0, (INDEX(Option2!P$106:P$117, MATCH($D37, Option2!$G$106:$G$117,0)))*conv_2026*P$7)</f>
        <v>-1699125.0761347669</v>
      </c>
      <c r="Q37" s="31">
        <f>IF($B37=0,0, (INDEX(Option2!Q$106:Q$117, MATCH($D37, Option2!$G$106:$G$117,0)))*conv_2026*Q$7)</f>
        <v>1892826.3393163816</v>
      </c>
      <c r="R37" s="31">
        <f>IF($B37=0,0, (INDEX(Option2!R$106:R$117, MATCH($D37, Option2!$G$106:$G$117,0)))*conv_2026*R$7)</f>
        <v>9338413.6059219167</v>
      </c>
      <c r="S37" s="31">
        <f>IF($B37=0,0, (INDEX(Option2!S$106:S$117, MATCH($D37, Option2!$G$106:$G$117,0)))*conv_2026*S$7)</f>
        <v>9338413.6059219167</v>
      </c>
      <c r="T37" s="31">
        <f>IF($B37=0,0, (INDEX(Option2!T$106:T$117, MATCH($D37, Option2!$G$106:$G$117,0)))*conv_2026*T$7)</f>
        <v>9338413.6059219167</v>
      </c>
      <c r="U37" s="31">
        <f>IF($B37=0,0, (INDEX(Option2!U$106:U$117, MATCH($D37, Option2!$G$106:$G$117,0)))*conv_2026*U$7)</f>
        <v>9338413.6059219167</v>
      </c>
      <c r="V37" s="31">
        <f>IF($B37=0,0, (INDEX(Option2!V$106:V$117, MATCH($D37, Option2!$G$106:$G$117,0)))*conv_2026*V$7)</f>
        <v>9338413.6059219167</v>
      </c>
      <c r="W37" s="31">
        <f>IF($B37=0,0, (INDEX(Option2!W$106:W$117, MATCH($D37, Option2!$G$106:$G$117,0)))*conv_2026*W$7)</f>
        <v>9338413.6059219167</v>
      </c>
      <c r="X37" s="31">
        <f>IF($B37=0,0, (INDEX(Option2!X$106:X$117, MATCH($D37, Option2!$G$106:$G$117,0)))*conv_2026*X$7)</f>
        <v>9338413.6059219167</v>
      </c>
      <c r="Y37" s="31">
        <f>IF($B37=0,0, (INDEX(Option2!Y$106:Y$117, MATCH($D37, Option2!$G$106:$G$117,0)))*conv_2026*Y$7)</f>
        <v>9338413.6059219167</v>
      </c>
      <c r="Z37" s="31">
        <f>IF($B37=0,0, (INDEX(Option2!Z$106:Z$117, MATCH($D37, Option2!$G$106:$G$117,0)))*conv_2026*Z$7)</f>
        <v>9338413.6059219167</v>
      </c>
      <c r="AA37" s="31">
        <f>IF($B37=0,0, (INDEX(Option2!AA$106:AA$117, MATCH($D37, Option2!$G$106:$G$117,0)))*conv_2026*AA$7)</f>
        <v>9338413.6059219167</v>
      </c>
      <c r="AB37" s="31">
        <f>IF($B37=0,0, (INDEX(Option2!AB$106:AB$117, MATCH($D37, Option2!$G$106:$G$117,0)))*conv_2026*AB$7)</f>
        <v>9338413.6059219167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1482.4638250218236</v>
      </c>
      <c r="J40" s="31">
        <f>Consol!J50</f>
        <v>-83904.693229842684</v>
      </c>
      <c r="K40" s="31">
        <f>Consol!K50</f>
        <v>-769400.78538584104</v>
      </c>
      <c r="L40" s="31">
        <f>Consol!L50</f>
        <v>-1778010.2296265911</v>
      </c>
      <c r="M40" s="31">
        <f>Consol!M50</f>
        <v>-2345980.9019309036</v>
      </c>
      <c r="N40" s="31">
        <f>Consol!N50</f>
        <v>-1880643.262139838</v>
      </c>
      <c r="O40" s="31">
        <f>Consol!O50</f>
        <v>-1421035.532587036</v>
      </c>
      <c r="P40" s="31">
        <f>Consol!P50</f>
        <v>77784.281195589807</v>
      </c>
      <c r="Q40" s="31">
        <f>Consol!Q50</f>
        <v>3664052.372764227</v>
      </c>
      <c r="R40" s="31">
        <f>Consol!R50</f>
        <v>11105644.827576205</v>
      </c>
      <c r="S40" s="31">
        <f>Consol!S50</f>
        <v>11105261.524962243</v>
      </c>
      <c r="T40" s="31">
        <f>Consol!T50</f>
        <v>11105261.524962243</v>
      </c>
      <c r="U40" s="31">
        <f>Consol!U50</f>
        <v>11105261.524962243</v>
      </c>
      <c r="V40" s="31">
        <f>Consol!V50</f>
        <v>11105261.524962243</v>
      </c>
      <c r="W40" s="31">
        <f>Consol!W50</f>
        <v>11105261.524962243</v>
      </c>
      <c r="X40" s="31">
        <f>Consol!X50</f>
        <v>11105261.524962243</v>
      </c>
      <c r="Y40" s="31">
        <f>Consol!Y50</f>
        <v>11105261.524962243</v>
      </c>
      <c r="Z40" s="31">
        <f>Consol!Z50</f>
        <v>11105261.524962243</v>
      </c>
      <c r="AA40" s="31">
        <f>Consol!AA50</f>
        <v>11105261.524962243</v>
      </c>
      <c r="AB40" s="31">
        <f>Consol!AB50</f>
        <v>11105261.524962243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189</v>
      </c>
      <c r="D42" s="258" t="str">
        <f>A42&amp;B42</f>
        <v>Option 3NPV</v>
      </c>
      <c r="E42" s="259"/>
      <c r="F42" s="31">
        <f t="shared" ref="F42:F51" si="4">SUMPRODUCT($H42:$AG42, $H$5:$AG$5)</f>
        <v>70352278.653748825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1482.4638250218236</v>
      </c>
      <c r="J42" s="31">
        <f>(INDEX(Option3!J$106:J$117, MATCH($D42, Option3!$G$106:$G$117,0)))*conv_2026*J$7</f>
        <v>-83904.693229842669</v>
      </c>
      <c r="K42" s="31">
        <f>(INDEX(Option3!K$106:K$117, MATCH($D42, Option3!$G$106:$G$117,0)))*conv_2026*K$7</f>
        <v>-769400.78538584115</v>
      </c>
      <c r="L42" s="31">
        <f>(INDEX(Option3!L$106:L$117, MATCH($D42, Option3!$G$106:$G$117,0)))*conv_2026*L$7</f>
        <v>-1778010.2296265913</v>
      </c>
      <c r="M42" s="31">
        <f>(INDEX(Option3!M$106:M$117, MATCH($D42, Option3!$G$106:$G$117,0)))*conv_2026*M$7</f>
        <v>-2345980.9019309036</v>
      </c>
      <c r="N42" s="31">
        <f>(INDEX(Option3!N$106:N$117, MATCH($D42, Option3!$G$106:$G$117,0)))*conv_2026*N$7</f>
        <v>-1880643.2621398377</v>
      </c>
      <c r="O42" s="31">
        <f>(INDEX(Option3!O$106:O$117, MATCH($D42, Option3!$G$106:$G$117,0)))*conv_2026*O$7</f>
        <v>-1421035.5325870358</v>
      </c>
      <c r="P42" s="31">
        <f>(INDEX(Option3!P$106:P$117, MATCH($D42, Option3!$G$106:$G$117,0)))*conv_2026*P$7</f>
        <v>77784.281195589996</v>
      </c>
      <c r="Q42" s="31">
        <f>(INDEX(Option3!Q$106:Q$117, MATCH($D42, Option3!$G$106:$G$117,0)))*conv_2026*Q$7</f>
        <v>3664052.3727642274</v>
      </c>
      <c r="R42" s="31">
        <f>(INDEX(Option3!R$106:R$117, MATCH($D42, Option3!$G$106:$G$117,0)))*conv_2026*R$7</f>
        <v>11105644.827576205</v>
      </c>
      <c r="S42" s="31">
        <f>(INDEX(Option3!S$106:S$117, MATCH($D42, Option3!$G$106:$G$117,0)))*conv_2026*S$7</f>
        <v>11105261.524962245</v>
      </c>
      <c r="T42" s="31">
        <f>(INDEX(Option3!T$106:T$117, MATCH($D42, Option3!$G$106:$G$117,0)))*conv_2026*T$7</f>
        <v>11105261.524962245</v>
      </c>
      <c r="U42" s="31">
        <f>(INDEX(Option3!U$106:U$117, MATCH($D42, Option3!$G$106:$G$117,0)))*conv_2026*U$7</f>
        <v>11105261.524962245</v>
      </c>
      <c r="V42" s="31">
        <f>(INDEX(Option3!V$106:V$117, MATCH($D42, Option3!$G$106:$G$117,0)))*conv_2026*V$7</f>
        <v>11105261.524962245</v>
      </c>
      <c r="W42" s="31">
        <f>(INDEX(Option3!W$106:W$117, MATCH($D42, Option3!$G$106:$G$117,0)))*conv_2026*W$7</f>
        <v>11105261.524962245</v>
      </c>
      <c r="X42" s="31">
        <f>(INDEX(Option3!X$106:X$117, MATCH($D42, Option3!$G$106:$G$117,0)))*conv_2026*X$7</f>
        <v>11105261.524962245</v>
      </c>
      <c r="Y42" s="31">
        <f>(INDEX(Option3!Y$106:Y$117, MATCH($D42, Option3!$G$106:$G$117,0)))*conv_2026*Y$7</f>
        <v>11105261.524962245</v>
      </c>
      <c r="Z42" s="31">
        <f>(INDEX(Option3!Z$106:Z$117, MATCH($D42, Option3!$G$106:$G$117,0)))*conv_2026*Z$7</f>
        <v>11105261.524962245</v>
      </c>
      <c r="AA42" s="31">
        <f>(INDEX(Option3!AA$106:AA$117, MATCH($D42, Option3!$G$106:$G$117,0)))*conv_2026*AA$7</f>
        <v>11105261.524962245</v>
      </c>
      <c r="AB42" s="31">
        <f>(INDEX(Option3!AB$106:AB$117, MATCH($D42, Option3!$G$106:$G$117,0)))*conv_2026*AB$7</f>
        <v>11105261.524962245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66732768.145444654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1482.4638250218236</v>
      </c>
      <c r="J44" s="31">
        <f>(INDEX(Option3!J$106:J$117, MATCH($D44, Option3!$G$106:$G$117,0)))*conv_2026*J$7</f>
        <v>-93868.68808329801</v>
      </c>
      <c r="K44" s="31">
        <f>(INDEX(Option3!K$106:K$117, MATCH($D44, Option3!$G$106:$G$117,0)))*conv_2026*K$7</f>
        <v>-844605.22273215873</v>
      </c>
      <c r="L44" s="31">
        <f>(INDEX(Option3!L$106:L$117, MATCH($D44, Option3!$G$106:$G$117,0)))*conv_2026*L$7</f>
        <v>-1967800.6077876452</v>
      </c>
      <c r="M44" s="31">
        <f>(INDEX(Option3!M$106:M$117, MATCH($D44, Option3!$G$106:$G$117,0)))*conv_2026*M$7</f>
        <v>-2618799.8257779642</v>
      </c>
      <c r="N44" s="31">
        <f>(INDEX(Option3!N$106:N$117, MATCH($D44, Option3!$G$106:$G$117,0)))*conv_2026*N$7</f>
        <v>-2153462.1859868988</v>
      </c>
      <c r="O44" s="31">
        <f>(INDEX(Option3!O$106:O$117, MATCH($D44, Option3!$G$106:$G$117,0)))*conv_2026*O$7</f>
        <v>-1719760.8430530808</v>
      </c>
      <c r="P44" s="31">
        <f>(INDEX(Option3!P$106:P$117, MATCH($D44, Option3!$G$106:$G$117,0)))*conv_2026*P$7</f>
        <v>-246847.41588943879</v>
      </c>
      <c r="Q44" s="31">
        <f>(INDEX(Option3!Q$106:Q$117, MATCH($D44, Option3!$G$106:$G$117,0)))*conv_2026*Q$7</f>
        <v>3339420.6756791985</v>
      </c>
      <c r="R44" s="31">
        <f>(INDEX(Option3!R$106:R$117, MATCH($D44, Option3!$G$106:$G$117,0)))*conv_2026*R$7</f>
        <v>10781013.130491177</v>
      </c>
      <c r="S44" s="31">
        <f>(INDEX(Option3!S$106:S$117, MATCH($D44, Option3!$G$106:$G$117,0)))*conv_2026*S$7</f>
        <v>10780629.827877216</v>
      </c>
      <c r="T44" s="31">
        <f>(INDEX(Option3!T$106:T$117, MATCH($D44, Option3!$G$106:$G$117,0)))*conv_2026*T$7</f>
        <v>10780629.827877216</v>
      </c>
      <c r="U44" s="31">
        <f>(INDEX(Option3!U$106:U$117, MATCH($D44, Option3!$G$106:$G$117,0)))*conv_2026*U$7</f>
        <v>10780629.827877216</v>
      </c>
      <c r="V44" s="31">
        <f>(INDEX(Option3!V$106:V$117, MATCH($D44, Option3!$G$106:$G$117,0)))*conv_2026*V$7</f>
        <v>10780629.827877216</v>
      </c>
      <c r="W44" s="31">
        <f>(INDEX(Option3!W$106:W$117, MATCH($D44, Option3!$G$106:$G$117,0)))*conv_2026*W$7</f>
        <v>10780629.827877216</v>
      </c>
      <c r="X44" s="31">
        <f>(INDEX(Option3!X$106:X$117, MATCH($D44, Option3!$G$106:$G$117,0)))*conv_2026*X$7</f>
        <v>10780629.827877216</v>
      </c>
      <c r="Y44" s="31">
        <f>(INDEX(Option3!Y$106:Y$117, MATCH($D44, Option3!$G$106:$G$117,0)))*conv_2026*Y$7</f>
        <v>10780629.827877216</v>
      </c>
      <c r="Z44" s="31">
        <f>(INDEX(Option3!Z$106:Z$117, MATCH($D44, Option3!$G$106:$G$117,0)))*conv_2026*Z$7</f>
        <v>10780629.827877216</v>
      </c>
      <c r="AA44" s="31">
        <f>(INDEX(Option3!AA$106:AA$117, MATCH($D44, Option3!$G$106:$G$117,0)))*conv_2026*AA$7</f>
        <v>10780629.827877216</v>
      </c>
      <c r="AB44" s="31">
        <f>(INDEX(Option3!AB$106:AB$117, MATCH($D44, Option3!$G$106:$G$117,0)))*conv_2026*AB$7</f>
        <v>10780629.827877216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73971789.162053034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1482.4638250218236</v>
      </c>
      <c r="J45" s="31">
        <f>(INDEX(Option3!J$106:J$117, MATCH($D45, Option3!$G$106:$G$117,0)))*conv_2026*J$7</f>
        <v>-73940.698376387343</v>
      </c>
      <c r="K45" s="31">
        <f>(INDEX(Option3!K$106:K$117, MATCH($D45, Option3!$G$106:$G$117,0)))*conv_2026*K$7</f>
        <v>-694196.34803952347</v>
      </c>
      <c r="L45" s="31">
        <f>(INDEX(Option3!L$106:L$117, MATCH($D45, Option3!$G$106:$G$117,0)))*conv_2026*L$7</f>
        <v>-1588219.8514655372</v>
      </c>
      <c r="M45" s="31">
        <f>(INDEX(Option3!M$106:M$117, MATCH($D45, Option3!$G$106:$G$117,0)))*conv_2026*M$7</f>
        <v>-2073161.9780838424</v>
      </c>
      <c r="N45" s="31">
        <f>(INDEX(Option3!N$106:N$117, MATCH($D45, Option3!$G$106:$G$117,0)))*conv_2026*N$7</f>
        <v>-1607824.3382927768</v>
      </c>
      <c r="O45" s="31">
        <f>(INDEX(Option3!O$106:O$117, MATCH($D45, Option3!$G$106:$G$117,0)))*conv_2026*O$7</f>
        <v>-1122310.2221209907</v>
      </c>
      <c r="P45" s="31">
        <f>(INDEX(Option3!P$106:P$117, MATCH($D45, Option3!$G$106:$G$117,0)))*conv_2026*P$7</f>
        <v>402415.97828061879</v>
      </c>
      <c r="Q45" s="31">
        <f>(INDEX(Option3!Q$106:Q$117, MATCH($D45, Option3!$G$106:$G$117,0)))*conv_2026*Q$7</f>
        <v>3988684.0698492564</v>
      </c>
      <c r="R45" s="31">
        <f>(INDEX(Option3!R$106:R$117, MATCH($D45, Option3!$G$106:$G$117,0)))*conv_2026*R$7</f>
        <v>11430276.524661236</v>
      </c>
      <c r="S45" s="31">
        <f>(INDEX(Option3!S$106:S$117, MATCH($D45, Option3!$G$106:$G$117,0)))*conv_2026*S$7</f>
        <v>11429893.222047275</v>
      </c>
      <c r="T45" s="31">
        <f>(INDEX(Option3!T$106:T$117, MATCH($D45, Option3!$G$106:$G$117,0)))*conv_2026*T$7</f>
        <v>11429893.222047275</v>
      </c>
      <c r="U45" s="31">
        <f>(INDEX(Option3!U$106:U$117, MATCH($D45, Option3!$G$106:$G$117,0)))*conv_2026*U$7</f>
        <v>11429893.222047275</v>
      </c>
      <c r="V45" s="31">
        <f>(INDEX(Option3!V$106:V$117, MATCH($D45, Option3!$G$106:$G$117,0)))*conv_2026*V$7</f>
        <v>11429893.222047275</v>
      </c>
      <c r="W45" s="31">
        <f>(INDEX(Option3!W$106:W$117, MATCH($D45, Option3!$G$106:$G$117,0)))*conv_2026*W$7</f>
        <v>11429893.222047275</v>
      </c>
      <c r="X45" s="31">
        <f>(INDEX(Option3!X$106:X$117, MATCH($D45, Option3!$G$106:$G$117,0)))*conv_2026*X$7</f>
        <v>11429893.222047275</v>
      </c>
      <c r="Y45" s="31">
        <f>(INDEX(Option3!Y$106:Y$117, MATCH($D45, Option3!$G$106:$G$117,0)))*conv_2026*Y$7</f>
        <v>11429893.222047275</v>
      </c>
      <c r="Z45" s="31">
        <f>(INDEX(Option3!Z$106:Z$117, MATCH($D45, Option3!$G$106:$G$117,0)))*conv_2026*Z$7</f>
        <v>11429893.222047275</v>
      </c>
      <c r="AA45" s="31">
        <f>(INDEX(Option3!AA$106:AA$117, MATCH($D45, Option3!$G$106:$G$117,0)))*conv_2026*AA$7</f>
        <v>11429893.222047275</v>
      </c>
      <c r="AB45" s="31">
        <f>(INDEX(Option3!AB$106:AB$117, MATCH($D45, Option3!$G$106:$G$117,0)))*conv_2026*AB$7</f>
        <v>11429893.222047275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81007017.027427912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1630.7102075240061</v>
      </c>
      <c r="J46" s="31">
        <f>(INDEX(Option3!J$106:J$117, MATCH($D46, Option3!$G$106:$G$117,0)))*conv_2026*J$7</f>
        <v>-82331.16769937161</v>
      </c>
      <c r="K46" s="31">
        <f>(INDEX(Option3!K$106:K$117, MATCH($D46, Option3!$G$106:$G$117,0)))*conv_2026*K$7</f>
        <v>-771136.42657810764</v>
      </c>
      <c r="L46" s="31">
        <f>(INDEX(Option3!L$106:L$117, MATCH($D46, Option3!$G$106:$G$117,0)))*conv_2026*L$7</f>
        <v>-1766020.8744281963</v>
      </c>
      <c r="M46" s="31">
        <f>(INDEX(Option3!M$106:M$117, MATCH($D46, Option3!$G$106:$G$117,0)))*conv_2026*M$7</f>
        <v>-2307760.0682769325</v>
      </c>
      <c r="N46" s="31">
        <f>(INDEX(Option3!N$106:N$117, MATCH($D46, Option3!$G$106:$G$117,0)))*conv_2026*N$7</f>
        <v>-1795888.6645067607</v>
      </c>
      <c r="O46" s="31">
        <f>(INDEX(Option3!O$106:O$117, MATCH($D46, Option3!$G$106:$G$117,0)))*conv_2026*O$7</f>
        <v>-1264413.7753796945</v>
      </c>
      <c r="P46" s="31">
        <f>(INDEX(Option3!P$106:P$117, MATCH($D46, Option3!$G$106:$G$117,0)))*conv_2026*P$7</f>
        <v>410194.4064001778</v>
      </c>
      <c r="Q46" s="31">
        <f>(INDEX(Option3!Q$106:Q$117, MATCH($D46, Option3!$G$106:$G$117,0)))*conv_2026*Q$7</f>
        <v>4355089.3071256792</v>
      </c>
      <c r="R46" s="31">
        <f>(INDEX(Option3!R$106:R$117, MATCH($D46, Option3!$G$106:$G$117,0)))*conv_2026*R$7</f>
        <v>12540841.007418854</v>
      </c>
      <c r="S46" s="31">
        <f>(INDEX(Option3!S$106:S$117, MATCH($D46, Option3!$G$106:$G$117,0)))*conv_2026*S$7</f>
        <v>12540419.374543497</v>
      </c>
      <c r="T46" s="31">
        <f>(INDEX(Option3!T$106:T$117, MATCH($D46, Option3!$G$106:$G$117,0)))*conv_2026*T$7</f>
        <v>12540419.374543497</v>
      </c>
      <c r="U46" s="31">
        <f>(INDEX(Option3!U$106:U$117, MATCH($D46, Option3!$G$106:$G$117,0)))*conv_2026*U$7</f>
        <v>12540419.374543497</v>
      </c>
      <c r="V46" s="31">
        <f>(INDEX(Option3!V$106:V$117, MATCH($D46, Option3!$G$106:$G$117,0)))*conv_2026*V$7</f>
        <v>12540419.374543497</v>
      </c>
      <c r="W46" s="31">
        <f>(INDEX(Option3!W$106:W$117, MATCH($D46, Option3!$G$106:$G$117,0)))*conv_2026*W$7</f>
        <v>12540419.374543497</v>
      </c>
      <c r="X46" s="31">
        <f>(INDEX(Option3!X$106:X$117, MATCH($D46, Option3!$G$106:$G$117,0)))*conv_2026*X$7</f>
        <v>12540419.374543497</v>
      </c>
      <c r="Y46" s="31">
        <f>(INDEX(Option3!Y$106:Y$117, MATCH($D46, Option3!$G$106:$G$117,0)))*conv_2026*Y$7</f>
        <v>12540419.374543497</v>
      </c>
      <c r="Z46" s="31">
        <f>(INDEX(Option3!Z$106:Z$117, MATCH($D46, Option3!$G$106:$G$117,0)))*conv_2026*Z$7</f>
        <v>12540419.374543497</v>
      </c>
      <c r="AA46" s="31">
        <f>(INDEX(Option3!AA$106:AA$117, MATCH($D46, Option3!$G$106:$G$117,0)))*conv_2026*AA$7</f>
        <v>12540419.374543497</v>
      </c>
      <c r="AB46" s="31">
        <f>(INDEX(Option3!AB$106:AB$117, MATCH($D46, Option3!$G$106:$G$117,0)))*conv_2026*AB$7</f>
        <v>12540419.374543497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59697540.280069768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1334.2174425196413</v>
      </c>
      <c r="J47" s="31">
        <f>(INDEX(Option3!J$106:J$117, MATCH($D47, Option3!$G$106:$G$117,0)))*conv_2026*J$7</f>
        <v>-85478.218760313743</v>
      </c>
      <c r="K47" s="31">
        <f>(INDEX(Option3!K$106:K$117, MATCH($D47, Option3!$G$106:$G$117,0)))*conv_2026*K$7</f>
        <v>-767665.14419357467</v>
      </c>
      <c r="L47" s="31">
        <f>(INDEX(Option3!L$106:L$117, MATCH($D47, Option3!$G$106:$G$117,0)))*conv_2026*L$7</f>
        <v>-1789999.5848249861</v>
      </c>
      <c r="M47" s="31">
        <f>(INDEX(Option3!M$106:M$117, MATCH($D47, Option3!$G$106:$G$117,0)))*conv_2026*M$7</f>
        <v>-2384201.7355848737</v>
      </c>
      <c r="N47" s="31">
        <f>(INDEX(Option3!N$106:N$117, MATCH($D47, Option3!$G$106:$G$117,0)))*conv_2026*N$7</f>
        <v>-1965397.859772915</v>
      </c>
      <c r="O47" s="31">
        <f>(INDEX(Option3!O$106:O$117, MATCH($D47, Option3!$G$106:$G$117,0)))*conv_2026*O$7</f>
        <v>-1577657.2897943771</v>
      </c>
      <c r="P47" s="31">
        <f>(INDEX(Option3!P$106:P$117, MATCH($D47, Option3!$G$106:$G$117,0)))*conv_2026*P$7</f>
        <v>-254625.84400899778</v>
      </c>
      <c r="Q47" s="31">
        <f>(INDEX(Option3!Q$106:Q$117, MATCH($D47, Option3!$G$106:$G$117,0)))*conv_2026*Q$7</f>
        <v>2973015.4384027757</v>
      </c>
      <c r="R47" s="31">
        <f>(INDEX(Option3!R$106:R$117, MATCH($D47, Option3!$G$106:$G$117,0)))*conv_2026*R$7</f>
        <v>9670448.6477335561</v>
      </c>
      <c r="S47" s="31">
        <f>(INDEX(Option3!S$106:S$117, MATCH($D47, Option3!$G$106:$G$117,0)))*conv_2026*S$7</f>
        <v>9670103.6753809918</v>
      </c>
      <c r="T47" s="31">
        <f>(INDEX(Option3!T$106:T$117, MATCH($D47, Option3!$G$106:$G$117,0)))*conv_2026*T$7</f>
        <v>9670103.6753809918</v>
      </c>
      <c r="U47" s="31">
        <f>(INDEX(Option3!U$106:U$117, MATCH($D47, Option3!$G$106:$G$117,0)))*conv_2026*U$7</f>
        <v>9670103.6753809918</v>
      </c>
      <c r="V47" s="31">
        <f>(INDEX(Option3!V$106:V$117, MATCH($D47, Option3!$G$106:$G$117,0)))*conv_2026*V$7</f>
        <v>9670103.6753809918</v>
      </c>
      <c r="W47" s="31">
        <f>(INDEX(Option3!W$106:W$117, MATCH($D47, Option3!$G$106:$G$117,0)))*conv_2026*W$7</f>
        <v>9670103.6753809918</v>
      </c>
      <c r="X47" s="31">
        <f>(INDEX(Option3!X$106:X$117, MATCH($D47, Option3!$G$106:$G$117,0)))*conv_2026*X$7</f>
        <v>9670103.6753809918</v>
      </c>
      <c r="Y47" s="31">
        <f>(INDEX(Option3!Y$106:Y$117, MATCH($D47, Option3!$G$106:$G$117,0)))*conv_2026*Y$7</f>
        <v>9670103.6753809918</v>
      </c>
      <c r="Z47" s="31">
        <f>(INDEX(Option3!Z$106:Z$117, MATCH($D47, Option3!$G$106:$G$117,0)))*conv_2026*Z$7</f>
        <v>9670103.6753809918</v>
      </c>
      <c r="AA47" s="31">
        <f>(INDEX(Option3!AA$106:AA$117, MATCH($D47, Option3!$G$106:$G$117,0)))*conv_2026*AA$7</f>
        <v>9670103.6753809918</v>
      </c>
      <c r="AB47" s="31">
        <f>(INDEX(Option3!AB$106:AB$117, MATCH($D47, Option3!$G$106:$G$117,0)))*conv_2026*AB$7</f>
        <v>9670103.6753809918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56078029.771765567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1334.2174425196413</v>
      </c>
      <c r="J48" s="31">
        <f>(INDEX(Option3!J$106:J$117, MATCH($D48, Option3!$G$106:$G$117,0)))*conv_2026*J$7</f>
        <v>-95442.213613769083</v>
      </c>
      <c r="K48" s="31">
        <f>(INDEX(Option3!K$106:K$117, MATCH($D48, Option3!$G$106:$G$117,0)))*conv_2026*K$7</f>
        <v>-842869.58153989236</v>
      </c>
      <c r="L48" s="31">
        <f>(INDEX(Option3!L$106:L$117, MATCH($D48, Option3!$G$106:$G$117,0)))*conv_2026*L$7</f>
        <v>-1979789.9629860402</v>
      </c>
      <c r="M48" s="31">
        <f>(INDEX(Option3!M$106:M$117, MATCH($D48, Option3!$G$106:$G$117,0)))*conv_2026*M$7</f>
        <v>-2657020.6594319353</v>
      </c>
      <c r="N48" s="31">
        <f>(INDEX(Option3!N$106:N$117, MATCH($D48, Option3!$G$106:$G$117,0)))*conv_2026*N$7</f>
        <v>-2238216.7836199761</v>
      </c>
      <c r="O48" s="31">
        <f>(INDEX(Option3!O$106:O$117, MATCH($D48, Option3!$G$106:$G$117,0)))*conv_2026*O$7</f>
        <v>-1876382.6002604221</v>
      </c>
      <c r="P48" s="31">
        <f>(INDEX(Option3!P$106:P$117, MATCH($D48, Option3!$G$106:$G$117,0)))*conv_2026*P$7</f>
        <v>-579257.54109402653</v>
      </c>
      <c r="Q48" s="31">
        <f>(INDEX(Option3!Q$106:Q$117, MATCH($D48, Option3!$G$106:$G$117,0)))*conv_2026*Q$7</f>
        <v>2648383.7413177472</v>
      </c>
      <c r="R48" s="31">
        <f>(INDEX(Option3!R$106:R$117, MATCH($D48, Option3!$G$106:$G$117,0)))*conv_2026*R$7</f>
        <v>9345816.9506485276</v>
      </c>
      <c r="S48" s="31">
        <f>(INDEX(Option3!S$106:S$117, MATCH($D48, Option3!$G$106:$G$117,0)))*conv_2026*S$7</f>
        <v>9345471.9782959614</v>
      </c>
      <c r="T48" s="31">
        <f>(INDEX(Option3!T$106:T$117, MATCH($D48, Option3!$G$106:$G$117,0)))*conv_2026*T$7</f>
        <v>9345471.9782959614</v>
      </c>
      <c r="U48" s="31">
        <f>(INDEX(Option3!U$106:U$117, MATCH($D48, Option3!$G$106:$G$117,0)))*conv_2026*U$7</f>
        <v>9345471.9782959614</v>
      </c>
      <c r="V48" s="31">
        <f>(INDEX(Option3!V$106:V$117, MATCH($D48, Option3!$G$106:$G$117,0)))*conv_2026*V$7</f>
        <v>9345471.9782959614</v>
      </c>
      <c r="W48" s="31">
        <f>(INDEX(Option3!W$106:W$117, MATCH($D48, Option3!$G$106:$G$117,0)))*conv_2026*W$7</f>
        <v>9345471.9782959614</v>
      </c>
      <c r="X48" s="31">
        <f>(INDEX(Option3!X$106:X$117, MATCH($D48, Option3!$G$106:$G$117,0)))*conv_2026*X$7</f>
        <v>9345471.9782959614</v>
      </c>
      <c r="Y48" s="31">
        <f>(INDEX(Option3!Y$106:Y$117, MATCH($D48, Option3!$G$106:$G$117,0)))*conv_2026*Y$7</f>
        <v>9345471.9782959614</v>
      </c>
      <c r="Z48" s="31">
        <f>(INDEX(Option3!Z$106:Z$117, MATCH($D48, Option3!$G$106:$G$117,0)))*conv_2026*Z$7</f>
        <v>9345471.9782959614</v>
      </c>
      <c r="AA48" s="31">
        <f>(INDEX(Option3!AA$106:AA$117, MATCH($D48, Option3!$G$106:$G$117,0)))*conv_2026*AA$7</f>
        <v>9345471.9782959614</v>
      </c>
      <c r="AB48" s="31">
        <f>(INDEX(Option3!AB$106:AB$117, MATCH($D48, Option3!$G$106:$G$117,0)))*conv_2026*AB$7</f>
        <v>9345471.9782959614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70352278.653748825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1482.4638250218236</v>
      </c>
      <c r="J49" s="31">
        <f>(INDEX(Option3!J$106:J$117, MATCH($D49, Option3!$G$106:$G$117,0)))*conv_2026*J$7</f>
        <v>-83904.693229842669</v>
      </c>
      <c r="K49" s="31">
        <f>(INDEX(Option3!K$106:K$117, MATCH($D49, Option3!$G$106:$G$117,0)))*conv_2026*K$7</f>
        <v>-769400.78538584115</v>
      </c>
      <c r="L49" s="31">
        <f>(INDEX(Option3!L$106:L$117, MATCH($D49, Option3!$G$106:$G$117,0)))*conv_2026*L$7</f>
        <v>-1778010.2296265913</v>
      </c>
      <c r="M49" s="31">
        <f>(INDEX(Option3!M$106:M$117, MATCH($D49, Option3!$G$106:$G$117,0)))*conv_2026*M$7</f>
        <v>-2345980.9019309036</v>
      </c>
      <c r="N49" s="31">
        <f>(INDEX(Option3!N$106:N$117, MATCH($D49, Option3!$G$106:$G$117,0)))*conv_2026*N$7</f>
        <v>-1880643.2621398377</v>
      </c>
      <c r="O49" s="31">
        <f>(INDEX(Option3!O$106:O$117, MATCH($D49, Option3!$G$106:$G$117,0)))*conv_2026*O$7</f>
        <v>-1421035.5325870358</v>
      </c>
      <c r="P49" s="31">
        <f>(INDEX(Option3!P$106:P$117, MATCH($D49, Option3!$G$106:$G$117,0)))*conv_2026*P$7</f>
        <v>77784.281195589996</v>
      </c>
      <c r="Q49" s="31">
        <f>(INDEX(Option3!Q$106:Q$117, MATCH($D49, Option3!$G$106:$G$117,0)))*conv_2026*Q$7</f>
        <v>3664052.3727642274</v>
      </c>
      <c r="R49" s="31">
        <f>(INDEX(Option3!R$106:R$117, MATCH($D49, Option3!$G$106:$G$117,0)))*conv_2026*R$7</f>
        <v>11105644.827576205</v>
      </c>
      <c r="S49" s="31">
        <f>(INDEX(Option3!S$106:S$117, MATCH($D49, Option3!$G$106:$G$117,0)))*conv_2026*S$7</f>
        <v>11105261.524962245</v>
      </c>
      <c r="T49" s="31">
        <f>(INDEX(Option3!T$106:T$117, MATCH($D49, Option3!$G$106:$G$117,0)))*conv_2026*T$7</f>
        <v>11105261.524962245</v>
      </c>
      <c r="U49" s="31">
        <f>(INDEX(Option3!U$106:U$117, MATCH($D49, Option3!$G$106:$G$117,0)))*conv_2026*U$7</f>
        <v>11105261.524962245</v>
      </c>
      <c r="V49" s="31">
        <f>(INDEX(Option3!V$106:V$117, MATCH($D49, Option3!$G$106:$G$117,0)))*conv_2026*V$7</f>
        <v>11105261.524962245</v>
      </c>
      <c r="W49" s="31">
        <f>(INDEX(Option3!W$106:W$117, MATCH($D49, Option3!$G$106:$G$117,0)))*conv_2026*W$7</f>
        <v>11105261.524962245</v>
      </c>
      <c r="X49" s="31">
        <f>(INDEX(Option3!X$106:X$117, MATCH($D49, Option3!$G$106:$G$117,0)))*conv_2026*X$7</f>
        <v>11105261.524962245</v>
      </c>
      <c r="Y49" s="31">
        <f>(INDEX(Option3!Y$106:Y$117, MATCH($D49, Option3!$G$106:$G$117,0)))*conv_2026*Y$7</f>
        <v>11105261.524962245</v>
      </c>
      <c r="Z49" s="31">
        <f>(INDEX(Option3!Z$106:Z$117, MATCH($D49, Option3!$G$106:$G$117,0)))*conv_2026*Z$7</f>
        <v>11105261.524962245</v>
      </c>
      <c r="AA49" s="31">
        <f>(INDEX(Option3!AA$106:AA$117, MATCH($D49, Option3!$G$106:$G$117,0)))*conv_2026*AA$7</f>
        <v>11105261.524962245</v>
      </c>
      <c r="AB49" s="31">
        <f>(INDEX(Option3!AB$106:AB$117, MATCH($D49, Option3!$G$106:$G$117,0)))*conv_2026*AB$7</f>
        <v>11105261.524962245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70352278.653748825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1482.4638250218236</v>
      </c>
      <c r="J50" s="31">
        <f>(INDEX(Option3!J$106:J$117, MATCH($D50, Option3!$G$106:$G$117,0)))*conv_2026*J$7</f>
        <v>-83904.693229842669</v>
      </c>
      <c r="K50" s="31">
        <f>(INDEX(Option3!K$106:K$117, MATCH($D50, Option3!$G$106:$G$117,0)))*conv_2026*K$7</f>
        <v>-769400.78538584115</v>
      </c>
      <c r="L50" s="31">
        <f>(INDEX(Option3!L$106:L$117, MATCH($D50, Option3!$G$106:$G$117,0)))*conv_2026*L$7</f>
        <v>-1778010.2296265913</v>
      </c>
      <c r="M50" s="31">
        <f>(INDEX(Option3!M$106:M$117, MATCH($D50, Option3!$G$106:$G$117,0)))*conv_2026*M$7</f>
        <v>-2345980.9019309036</v>
      </c>
      <c r="N50" s="31">
        <f>(INDEX(Option3!N$106:N$117, MATCH($D50, Option3!$G$106:$G$117,0)))*conv_2026*N$7</f>
        <v>-1880643.2621398377</v>
      </c>
      <c r="O50" s="31">
        <f>(INDEX(Option3!O$106:O$117, MATCH($D50, Option3!$G$106:$G$117,0)))*conv_2026*O$7</f>
        <v>-1421035.5325870358</v>
      </c>
      <c r="P50" s="31">
        <f>(INDEX(Option3!P$106:P$117, MATCH($D50, Option3!$G$106:$G$117,0)))*conv_2026*P$7</f>
        <v>77784.281195589996</v>
      </c>
      <c r="Q50" s="31">
        <f>(INDEX(Option3!Q$106:Q$117, MATCH($D50, Option3!$G$106:$G$117,0)))*conv_2026*Q$7</f>
        <v>3664052.3727642274</v>
      </c>
      <c r="R50" s="31">
        <f>(INDEX(Option3!R$106:R$117, MATCH($D50, Option3!$G$106:$G$117,0)))*conv_2026*R$7</f>
        <v>11105644.827576205</v>
      </c>
      <c r="S50" s="31">
        <f>(INDEX(Option3!S$106:S$117, MATCH($D50, Option3!$G$106:$G$117,0)))*conv_2026*S$7</f>
        <v>11105261.524962245</v>
      </c>
      <c r="T50" s="31">
        <f>(INDEX(Option3!T$106:T$117, MATCH($D50, Option3!$G$106:$G$117,0)))*conv_2026*T$7</f>
        <v>11105261.524962245</v>
      </c>
      <c r="U50" s="31">
        <f>(INDEX(Option3!U$106:U$117, MATCH($D50, Option3!$G$106:$G$117,0)))*conv_2026*U$7</f>
        <v>11105261.524962245</v>
      </c>
      <c r="V50" s="31">
        <f>(INDEX(Option3!V$106:V$117, MATCH($D50, Option3!$G$106:$G$117,0)))*conv_2026*V$7</f>
        <v>11105261.524962245</v>
      </c>
      <c r="W50" s="31">
        <f>(INDEX(Option3!W$106:W$117, MATCH($D50, Option3!$G$106:$G$117,0)))*conv_2026*W$7</f>
        <v>11105261.524962245</v>
      </c>
      <c r="X50" s="31">
        <f>(INDEX(Option3!X$106:X$117, MATCH($D50, Option3!$G$106:$G$117,0)))*conv_2026*X$7</f>
        <v>11105261.524962245</v>
      </c>
      <c r="Y50" s="31">
        <f>(INDEX(Option3!Y$106:Y$117, MATCH($D50, Option3!$G$106:$G$117,0)))*conv_2026*Y$7</f>
        <v>11105261.524962245</v>
      </c>
      <c r="Z50" s="31">
        <f>(INDEX(Option3!Z$106:Z$117, MATCH($D50, Option3!$G$106:$G$117,0)))*conv_2026*Z$7</f>
        <v>11105261.524962245</v>
      </c>
      <c r="AA50" s="31">
        <f>(INDEX(Option3!AA$106:AA$117, MATCH($D50, Option3!$G$106:$G$117,0)))*conv_2026*AA$7</f>
        <v>11105261.524962245</v>
      </c>
      <c r="AB50" s="31">
        <f>(INDEX(Option3!AB$106:AB$117, MATCH($D50, Option3!$G$106:$G$117,0)))*conv_2026*AB$7</f>
        <v>11105261.524962245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70352278.653748825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1482.4638250218236</v>
      </c>
      <c r="J51" s="31">
        <f>(INDEX(Option3!J$106:J$117, MATCH($D51, Option3!$G$106:$G$117,0)))*conv_2026*J$7</f>
        <v>-83904.693229842669</v>
      </c>
      <c r="K51" s="31">
        <f>(INDEX(Option3!K$106:K$117, MATCH($D51, Option3!$G$106:$G$117,0)))*conv_2026*K$7</f>
        <v>-769400.78538584115</v>
      </c>
      <c r="L51" s="31">
        <f>(INDEX(Option3!L$106:L$117, MATCH($D51, Option3!$G$106:$G$117,0)))*conv_2026*L$7</f>
        <v>-1778010.2296265913</v>
      </c>
      <c r="M51" s="31">
        <f>(INDEX(Option3!M$106:M$117, MATCH($D51, Option3!$G$106:$G$117,0)))*conv_2026*M$7</f>
        <v>-2345980.9019309036</v>
      </c>
      <c r="N51" s="31">
        <f>(INDEX(Option3!N$106:N$117, MATCH($D51, Option3!$G$106:$G$117,0)))*conv_2026*N$7</f>
        <v>-1880643.2621398377</v>
      </c>
      <c r="O51" s="31">
        <f>(INDEX(Option3!O$106:O$117, MATCH($D51, Option3!$G$106:$G$117,0)))*conv_2026*O$7</f>
        <v>-1421035.5325870358</v>
      </c>
      <c r="P51" s="31">
        <f>(INDEX(Option3!P$106:P$117, MATCH($D51, Option3!$G$106:$G$117,0)))*conv_2026*P$7</f>
        <v>77784.281195589996</v>
      </c>
      <c r="Q51" s="31">
        <f>(INDEX(Option3!Q$106:Q$117, MATCH($D51, Option3!$G$106:$G$117,0)))*conv_2026*Q$7</f>
        <v>3664052.3727642274</v>
      </c>
      <c r="R51" s="31">
        <f>(INDEX(Option3!R$106:R$117, MATCH($D51, Option3!$G$106:$G$117,0)))*conv_2026*R$7</f>
        <v>11105644.827576205</v>
      </c>
      <c r="S51" s="31">
        <f>(INDEX(Option3!S$106:S$117, MATCH($D51, Option3!$G$106:$G$117,0)))*conv_2026*S$7</f>
        <v>11105261.524962245</v>
      </c>
      <c r="T51" s="31">
        <f>(INDEX(Option3!T$106:T$117, MATCH($D51, Option3!$G$106:$G$117,0)))*conv_2026*T$7</f>
        <v>11105261.524962245</v>
      </c>
      <c r="U51" s="31">
        <f>(INDEX(Option3!U$106:U$117, MATCH($D51, Option3!$G$106:$G$117,0)))*conv_2026*U$7</f>
        <v>11105261.524962245</v>
      </c>
      <c r="V51" s="31">
        <f>(INDEX(Option3!V$106:V$117, MATCH($D51, Option3!$G$106:$G$117,0)))*conv_2026*V$7</f>
        <v>11105261.524962245</v>
      </c>
      <c r="W51" s="31">
        <f>(INDEX(Option3!W$106:W$117, MATCH($D51, Option3!$G$106:$G$117,0)))*conv_2026*W$7</f>
        <v>11105261.524962245</v>
      </c>
      <c r="X51" s="31">
        <f>(INDEX(Option3!X$106:X$117, MATCH($D51, Option3!$G$106:$G$117,0)))*conv_2026*X$7</f>
        <v>11105261.524962245</v>
      </c>
      <c r="Y51" s="31">
        <f>(INDEX(Option3!Y$106:Y$117, MATCH($D51, Option3!$G$106:$G$117,0)))*conv_2026*Y$7</f>
        <v>11105261.524962245</v>
      </c>
      <c r="Z51" s="31">
        <f>(INDEX(Option3!Z$106:Z$117, MATCH($D51, Option3!$G$106:$G$117,0)))*conv_2026*Z$7</f>
        <v>11105261.524962245</v>
      </c>
      <c r="AA51" s="31">
        <f>(INDEX(Option3!AA$106:AA$117, MATCH($D51, Option3!$G$106:$G$117,0)))*conv_2026*AA$7</f>
        <v>11105261.524962245</v>
      </c>
      <c r="AB51" s="31">
        <f>(INDEX(Option3!AB$106:AB$117, MATCH($D51, Option3!$G$106:$G$117,0)))*conv_2026*AB$7</f>
        <v>11105261.524962245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189</v>
      </c>
      <c r="D56" s="258" t="str">
        <f>A56&amp;B56</f>
        <v>Option 4NPV</v>
      </c>
      <c r="E56" s="259"/>
      <c r="F56" s="31">
        <f t="shared" ref="F56:F65" si="6">SUMPRODUCT($H56:$AG56, $H$5:$AG$5)</f>
        <v>0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0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0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155</v>
      </c>
      <c r="B70" s="258" t="s">
        <v>119</v>
      </c>
      <c r="C70" s="258" t="s">
        <v>189</v>
      </c>
      <c r="D70" s="258" t="str">
        <f>A70&amp;B70</f>
        <v>Option 5NPV</v>
      </c>
      <c r="E70" s="259"/>
      <c r="F70" s="31">
        <f t="shared" ref="F70:F79" si="8">SUMPRODUCT($H70:$AG70, $H$5:$AG$5)</f>
        <v>0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155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0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155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0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155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155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155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155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155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155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160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1</v>
      </c>
      <c r="G88" s="280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229</v>
      </c>
      <c r="K89" s="288" t="s">
        <v>230</v>
      </c>
    </row>
    <row r="90" spans="1:34" s="8" customFormat="1" x14ac:dyDescent="0.2">
      <c r="A90" s="266" t="s">
        <v>119</v>
      </c>
      <c r="B90" s="266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54.519212371751927</v>
      </c>
      <c r="E90" s="105">
        <f t="shared" si="10"/>
        <v>70.352278653748826</v>
      </c>
      <c r="F90" s="105" t="str">
        <f t="shared" si="10"/>
        <v/>
      </c>
      <c r="G90" s="105" t="str">
        <f t="shared" si="10"/>
        <v/>
      </c>
      <c r="H90" s="190"/>
      <c r="I90" s="105">
        <f t="shared" ref="I90:I98" si="11">_xlfn.MAXIFS(C90:G90,_xlfn.ANCHORARRAY( C$88),FALSE)</f>
        <v>70.352278653748826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49.295458121361108</v>
      </c>
      <c r="E91" s="105">
        <f t="shared" si="10"/>
        <v>66.732768145444652</v>
      </c>
      <c r="F91" s="105" t="str">
        <f t="shared" si="10"/>
        <v/>
      </c>
      <c r="G91" s="105" t="str">
        <f t="shared" si="10"/>
        <v/>
      </c>
      <c r="H91" s="190"/>
      <c r="I91" s="105">
        <f t="shared" si="11"/>
        <v>66.732768145444652</v>
      </c>
      <c r="K91" s="8" t="str">
        <f t="shared" si="12"/>
        <v>Option 3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59.742966622142745</v>
      </c>
      <c r="E92" s="105">
        <f t="shared" si="10"/>
        <v>73.971789162053028</v>
      </c>
      <c r="F92" s="105" t="str">
        <f t="shared" si="10"/>
        <v/>
      </c>
      <c r="G92" s="105" t="str">
        <f t="shared" si="10"/>
        <v/>
      </c>
      <c r="H92" s="190"/>
      <c r="I92" s="105">
        <f t="shared" si="11"/>
        <v>73.971789162053028</v>
      </c>
      <c r="K92" s="8" t="str">
        <f t="shared" si="12"/>
        <v>Option 3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65.19488785931793</v>
      </c>
      <c r="E93" s="105">
        <f t="shared" si="10"/>
        <v>81.007017027427906</v>
      </c>
      <c r="F93" s="105" t="str">
        <f t="shared" si="10"/>
        <v/>
      </c>
      <c r="G93" s="105" t="str">
        <f t="shared" si="10"/>
        <v/>
      </c>
      <c r="H93" s="190"/>
      <c r="I93" s="105">
        <f t="shared" si="11"/>
        <v>81.007017027427906</v>
      </c>
      <c r="K93" s="8" t="str">
        <f t="shared" si="12"/>
        <v>Option 3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43.843536884185916</v>
      </c>
      <c r="E94" s="105">
        <f t="shared" si="10"/>
        <v>59.697540280069767</v>
      </c>
      <c r="F94" s="105" t="str">
        <f t="shared" si="10"/>
        <v/>
      </c>
      <c r="G94" s="105" t="str">
        <f t="shared" si="10"/>
        <v/>
      </c>
      <c r="H94" s="190"/>
      <c r="I94" s="105">
        <f t="shared" si="11"/>
        <v>59.697540280069767</v>
      </c>
      <c r="K94" s="8" t="str">
        <f t="shared" si="12"/>
        <v>Option 3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38.619782633795111</v>
      </c>
      <c r="E95" s="105">
        <f t="shared" si="10"/>
        <v>56.078029771765564</v>
      </c>
      <c r="F95" s="105" t="str">
        <f t="shared" si="10"/>
        <v/>
      </c>
      <c r="G95" s="105" t="str">
        <f t="shared" si="10"/>
        <v/>
      </c>
      <c r="H95" s="190"/>
      <c r="I95" s="105">
        <f t="shared" si="11"/>
        <v>56.078029771765564</v>
      </c>
      <c r="K95" s="8" t="str">
        <f t="shared" si="12"/>
        <v>Option 3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Brunswick modernisation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2024-25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6" t="s">
        <v>1</v>
      </c>
      <c r="C31" s="197" t="s">
        <v>194</v>
      </c>
      <c r="D31" s="198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155</v>
      </c>
      <c r="C35" s="195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194</v>
      </c>
      <c r="C38" s="199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43" t="s">
        <v>212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Brunswick modernisation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6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2025-01-29T13:22:07Z</dcterms:modified>
</cp:coreProperties>
</file>