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F30DE907-0C08-452D-BCC1-1D61247F62E4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Tx risks" sheetId="89" r:id="rId13"/>
    <sheet name="Misc_calcs" sheetId="62" r:id="rId14"/>
    <sheet name="Data" sheetId="47" r:id="rId15"/>
  </sheets>
  <definedNames>
    <definedName name="AssetType">'Tx risks'!$C$9</definedName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IS_ADDITIONAL">'Tx risks'!$C$31</definedName>
    <definedName name="ISBUNDED">'Tx risks'!$C$26</definedName>
    <definedName name="ISMOREMAINT">'Tx risks'!$C$24</definedName>
    <definedName name="ISONLINEMONITOR">'Tx risks'!$C$22</definedName>
    <definedName name="ISREFURB">'Tx risks'!$C$27</definedName>
    <definedName name="ISREPLACE">'Tx risks'!$C$28</definedName>
    <definedName name="ISREPLACETWO">'Tx risks'!$C$29</definedName>
    <definedName name="ISSEPARATED">'Tx risks'!$C$23</definedName>
    <definedName name="ISSPAREREADY">'Tx risks'!$C$21</definedName>
    <definedName name="ISSTAGGEREDMAINT">'Tx risks'!$C$25</definedName>
    <definedName name="list">list_start:OFFSET(list_start, 0,0,count, 1)</definedName>
    <definedName name="mill_conv">Data!$C$71</definedName>
    <definedName name="NN_LOAD_TRANSFER">'Tx risks'!$C$33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  <definedName name="ZSS">'Tx risks'!$C$8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88" l="1"/>
  <c r="B19" i="88"/>
  <c r="C33" i="72"/>
  <c r="C32" i="72"/>
  <c r="C31" i="72"/>
  <c r="C30" i="72"/>
  <c r="C31" i="81"/>
  <c r="C32" i="81"/>
  <c r="C33" i="81"/>
  <c r="C30" i="81"/>
  <c r="A2" i="89" l="1"/>
  <c r="A1" i="89"/>
  <c r="B30" i="87"/>
  <c r="B16" i="87"/>
  <c r="O28" i="72"/>
  <c r="R28" i="72"/>
  <c r="S28" i="72"/>
  <c r="T28" i="72"/>
  <c r="U28" i="72"/>
  <c r="V28" i="72"/>
  <c r="W28" i="72"/>
  <c r="AC28" i="72"/>
  <c r="L30" i="72"/>
  <c r="O30" i="72"/>
  <c r="P30" i="72"/>
  <c r="Q30" i="72"/>
  <c r="R30" i="72"/>
  <c r="S30" i="72"/>
  <c r="Y30" i="72"/>
  <c r="AD30" i="72"/>
  <c r="AE30" i="72"/>
  <c r="AF30" i="72"/>
  <c r="L31" i="72"/>
  <c r="M31" i="72"/>
  <c r="N31" i="72"/>
  <c r="O31" i="72"/>
  <c r="U31" i="72"/>
  <c r="W31" i="72"/>
  <c r="AC31" i="72"/>
  <c r="AD31" i="72"/>
  <c r="AE31" i="72"/>
  <c r="AF31" i="72"/>
  <c r="AG31" i="72"/>
  <c r="J32" i="72"/>
  <c r="K32" i="72"/>
  <c r="S32" i="72"/>
  <c r="T32" i="72"/>
  <c r="Z32" i="72"/>
  <c r="AC32" i="72"/>
  <c r="AD32" i="72"/>
  <c r="AE32" i="72"/>
  <c r="M33" i="72"/>
  <c r="O33" i="72"/>
  <c r="P33" i="72"/>
  <c r="Q33" i="72"/>
  <c r="W33" i="72"/>
  <c r="Z33" i="72"/>
  <c r="AA33" i="72"/>
  <c r="AC33" i="72"/>
  <c r="AG33" i="72"/>
  <c r="I33" i="72"/>
  <c r="I30" i="72"/>
  <c r="J14" i="72"/>
  <c r="K14" i="72"/>
  <c r="L14" i="72"/>
  <c r="M14" i="72"/>
  <c r="N14" i="72"/>
  <c r="O14" i="72"/>
  <c r="P14" i="72"/>
  <c r="Q14" i="72"/>
  <c r="R14" i="72"/>
  <c r="S14" i="72"/>
  <c r="T14" i="72"/>
  <c r="U14" i="72"/>
  <c r="V14" i="72"/>
  <c r="W14" i="72"/>
  <c r="X14" i="72"/>
  <c r="Y14" i="72"/>
  <c r="Z14" i="72"/>
  <c r="AA14" i="72"/>
  <c r="AB14" i="72"/>
  <c r="AC14" i="72"/>
  <c r="AD14" i="72"/>
  <c r="AE14" i="72"/>
  <c r="AF14" i="72"/>
  <c r="AG14" i="72"/>
  <c r="I14" i="72"/>
  <c r="L33" i="81"/>
  <c r="R33" i="81"/>
  <c r="U33" i="81"/>
  <c r="V33" i="81"/>
  <c r="W33" i="81"/>
  <c r="X33" i="81"/>
  <c r="Y33" i="81"/>
  <c r="Z33" i="81"/>
  <c r="AA33" i="81"/>
  <c r="AB33" i="81"/>
  <c r="AC33" i="81"/>
  <c r="AD33" i="81"/>
  <c r="AE33" i="81"/>
  <c r="AF33" i="81"/>
  <c r="M30" i="81"/>
  <c r="Q30" i="81"/>
  <c r="R30" i="81"/>
  <c r="S30" i="81"/>
  <c r="V30" i="81"/>
  <c r="W30" i="81"/>
  <c r="X30" i="81"/>
  <c r="Y30" i="81"/>
  <c r="Z30" i="81"/>
  <c r="AA30" i="81"/>
  <c r="AG30" i="81"/>
  <c r="J31" i="81"/>
  <c r="K31" i="81"/>
  <c r="M31" i="81"/>
  <c r="N31" i="81"/>
  <c r="O31" i="81"/>
  <c r="T31" i="81"/>
  <c r="U31" i="81"/>
  <c r="V31" i="81"/>
  <c r="AB31" i="81"/>
  <c r="AE31" i="81"/>
  <c r="AG31" i="81"/>
  <c r="J32" i="81"/>
  <c r="K32" i="81"/>
  <c r="L32" i="81"/>
  <c r="M32" i="81"/>
  <c r="N32" i="81"/>
  <c r="O32" i="81"/>
  <c r="Q32" i="81"/>
  <c r="W32" i="81"/>
  <c r="Z32" i="81"/>
  <c r="AA32" i="81"/>
  <c r="AC32" i="81"/>
  <c r="AD32" i="81"/>
  <c r="AE32" i="81"/>
  <c r="AF32" i="81"/>
  <c r="AG32" i="81"/>
  <c r="I33" i="81"/>
  <c r="I32" i="81"/>
  <c r="I31" i="81"/>
  <c r="J28" i="81"/>
  <c r="K28" i="81"/>
  <c r="R28" i="81"/>
  <c r="U28" i="81"/>
  <c r="V28" i="81"/>
  <c r="W28" i="81"/>
  <c r="X28" i="81"/>
  <c r="Y28" i="81"/>
  <c r="Z28" i="81"/>
  <c r="AA28" i="81"/>
  <c r="AB28" i="81"/>
  <c r="AC28" i="81"/>
  <c r="AD28" i="81"/>
  <c r="AE28" i="81"/>
  <c r="AF28" i="81"/>
  <c r="J14" i="81"/>
  <c r="K14" i="81"/>
  <c r="L14" i="81"/>
  <c r="M14" i="81"/>
  <c r="N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I14" i="81"/>
  <c r="K30" i="68"/>
  <c r="L30" i="68"/>
  <c r="R30" i="68"/>
  <c r="U30" i="68"/>
  <c r="V30" i="68"/>
  <c r="W30" i="68"/>
  <c r="AB30" i="68"/>
  <c r="AC30" i="68"/>
  <c r="AE30" i="68"/>
  <c r="AF30" i="68"/>
  <c r="M31" i="68"/>
  <c r="P31" i="68"/>
  <c r="Q31" i="68"/>
  <c r="R31" i="68"/>
  <c r="S31" i="68"/>
  <c r="X31" i="68"/>
  <c r="Y31" i="68"/>
  <c r="AA31" i="68"/>
  <c r="AF31" i="68"/>
  <c r="AG31" i="68"/>
  <c r="J32" i="68"/>
  <c r="K32" i="68"/>
  <c r="L32" i="68"/>
  <c r="M32" i="68"/>
  <c r="N32" i="68"/>
  <c r="T32" i="68"/>
  <c r="U32" i="68"/>
  <c r="AB32" i="68"/>
  <c r="AD32" i="68"/>
  <c r="AE32" i="68"/>
  <c r="AF32" i="68"/>
  <c r="AG32" i="68"/>
  <c r="J33" i="68"/>
  <c r="K33" i="68"/>
  <c r="Q33" i="68"/>
  <c r="W33" i="68"/>
  <c r="Z33" i="68"/>
  <c r="AA33" i="68"/>
  <c r="AB33" i="68"/>
  <c r="AC33" i="68"/>
  <c r="AD33" i="68"/>
  <c r="AE33" i="68"/>
  <c r="C31" i="68"/>
  <c r="C32" i="68"/>
  <c r="C33" i="68"/>
  <c r="C30" i="68"/>
  <c r="I32" i="68"/>
  <c r="I33" i="68"/>
  <c r="M28" i="68"/>
  <c r="N28" i="68"/>
  <c r="O28" i="68"/>
  <c r="P28" i="68"/>
  <c r="Q28" i="68"/>
  <c r="W28" i="68"/>
  <c r="Y28" i="68"/>
  <c r="AA28" i="68"/>
  <c r="AB28" i="68"/>
  <c r="AC28" i="68"/>
  <c r="AD28" i="68"/>
  <c r="AE28" i="68"/>
  <c r="I28" i="68"/>
  <c r="AF33" i="72"/>
  <c r="AE33" i="72"/>
  <c r="AD33" i="72"/>
  <c r="AB33" i="72"/>
  <c r="Y33" i="72"/>
  <c r="X33" i="72"/>
  <c r="V33" i="72"/>
  <c r="U33" i="72"/>
  <c r="T33" i="72"/>
  <c r="S33" i="72"/>
  <c r="R33" i="72"/>
  <c r="N33" i="72"/>
  <c r="L33" i="72"/>
  <c r="K33" i="72"/>
  <c r="AG32" i="72"/>
  <c r="AF32" i="72"/>
  <c r="AB32" i="72"/>
  <c r="AA32" i="72"/>
  <c r="Y32" i="72"/>
  <c r="X32" i="72"/>
  <c r="W32" i="72"/>
  <c r="V32" i="72"/>
  <c r="U32" i="72"/>
  <c r="R32" i="72"/>
  <c r="Q32" i="72"/>
  <c r="P32" i="72"/>
  <c r="O32" i="72"/>
  <c r="N32" i="72"/>
  <c r="M32" i="72"/>
  <c r="L32" i="72"/>
  <c r="AB31" i="72"/>
  <c r="AA31" i="72"/>
  <c r="Z31" i="72"/>
  <c r="Y31" i="72"/>
  <c r="X31" i="72"/>
  <c r="V31" i="72"/>
  <c r="T31" i="72"/>
  <c r="S31" i="72"/>
  <c r="R31" i="72"/>
  <c r="Q31" i="72"/>
  <c r="P31" i="72"/>
  <c r="K31" i="72"/>
  <c r="AG30" i="72"/>
  <c r="AC30" i="72"/>
  <c r="AB30" i="72"/>
  <c r="AA30" i="72"/>
  <c r="Z30" i="72"/>
  <c r="X30" i="72"/>
  <c r="W30" i="72"/>
  <c r="V30" i="72"/>
  <c r="U30" i="72"/>
  <c r="T30" i="72"/>
  <c r="M30" i="72"/>
  <c r="K30" i="72"/>
  <c r="AC40" i="88"/>
  <c r="AF28" i="72"/>
  <c r="AA40" i="88"/>
  <c r="Q28" i="72"/>
  <c r="L40" i="88"/>
  <c r="N28" i="72"/>
  <c r="I40" i="88"/>
  <c r="L28" i="72"/>
  <c r="G40" i="88"/>
  <c r="AG33" i="81"/>
  <c r="T33" i="81"/>
  <c r="S33" i="81"/>
  <c r="Q33" i="81"/>
  <c r="P33" i="81"/>
  <c r="O33" i="81"/>
  <c r="N33" i="81"/>
  <c r="M33" i="81"/>
  <c r="K33" i="81"/>
  <c r="J33" i="81"/>
  <c r="AB32" i="81"/>
  <c r="Y32" i="81"/>
  <c r="X32" i="81"/>
  <c r="V32" i="81"/>
  <c r="U32" i="81"/>
  <c r="T32" i="81"/>
  <c r="S32" i="81"/>
  <c r="R32" i="81"/>
  <c r="P32" i="81"/>
  <c r="AF31" i="81"/>
  <c r="AD31" i="81"/>
  <c r="AC31" i="81"/>
  <c r="AA31" i="81"/>
  <c r="Z31" i="81"/>
  <c r="Y31" i="81"/>
  <c r="X31" i="81"/>
  <c r="W31" i="81"/>
  <c r="S31" i="81"/>
  <c r="R31" i="81"/>
  <c r="Q31" i="81"/>
  <c r="P31" i="81"/>
  <c r="L31" i="81"/>
  <c r="AF30" i="81"/>
  <c r="AE30" i="81"/>
  <c r="AD30" i="81"/>
  <c r="AC30" i="81"/>
  <c r="X28" i="88"/>
  <c r="U30" i="81"/>
  <c r="T30" i="81"/>
  <c r="P30" i="81"/>
  <c r="O30" i="81"/>
  <c r="N30" i="81"/>
  <c r="L30" i="81"/>
  <c r="K30" i="81"/>
  <c r="J30" i="81"/>
  <c r="I30" i="81"/>
  <c r="AC28" i="88"/>
  <c r="I28" i="88"/>
  <c r="AG33" i="68"/>
  <c r="AF33" i="68"/>
  <c r="Y33" i="68"/>
  <c r="X33" i="68"/>
  <c r="V33" i="68"/>
  <c r="U33" i="68"/>
  <c r="T33" i="68"/>
  <c r="S33" i="68"/>
  <c r="R33" i="68"/>
  <c r="P33" i="68"/>
  <c r="O33" i="68"/>
  <c r="N33" i="68"/>
  <c r="M33" i="68"/>
  <c r="L33" i="68"/>
  <c r="J33" i="72"/>
  <c r="AC32" i="68"/>
  <c r="AA32" i="68"/>
  <c r="Z32" i="68"/>
  <c r="Y32" i="68"/>
  <c r="X32" i="68"/>
  <c r="W32" i="68"/>
  <c r="V32" i="68"/>
  <c r="S32" i="68"/>
  <c r="R32" i="68"/>
  <c r="Q32" i="68"/>
  <c r="P32" i="68"/>
  <c r="O32" i="68"/>
  <c r="I32" i="72"/>
  <c r="AE31" i="68"/>
  <c r="AD31" i="68"/>
  <c r="AC31" i="68"/>
  <c r="AB31" i="68"/>
  <c r="Z31" i="68"/>
  <c r="W31" i="68"/>
  <c r="V31" i="68"/>
  <c r="U31" i="68"/>
  <c r="T31" i="68"/>
  <c r="O31" i="68"/>
  <c r="N31" i="68"/>
  <c r="L31" i="68"/>
  <c r="K31" i="68"/>
  <c r="J31" i="72"/>
  <c r="AG30" i="68"/>
  <c r="AD30" i="68"/>
  <c r="AA30" i="68"/>
  <c r="Z30" i="68"/>
  <c r="Y30" i="68"/>
  <c r="X30" i="68"/>
  <c r="T30" i="68"/>
  <c r="S30" i="68"/>
  <c r="M16" i="88"/>
  <c r="L16" i="88"/>
  <c r="K16" i="88"/>
  <c r="J16" i="88"/>
  <c r="M30" i="68"/>
  <c r="AF28" i="68"/>
  <c r="Z28" i="68"/>
  <c r="O16" i="88"/>
  <c r="R28" i="68"/>
  <c r="L28" i="68"/>
  <c r="K28" i="68"/>
  <c r="A2" i="88"/>
  <c r="A1" i="88"/>
  <c r="AC35" i="87"/>
  <c r="AB35" i="87"/>
  <c r="AA35" i="87"/>
  <c r="Z35" i="87"/>
  <c r="Y35" i="87"/>
  <c r="X35" i="87"/>
  <c r="W35" i="87"/>
  <c r="V35" i="87"/>
  <c r="U35" i="87"/>
  <c r="T35" i="87"/>
  <c r="S35" i="87"/>
  <c r="R35" i="87"/>
  <c r="Q35" i="87"/>
  <c r="P35" i="87"/>
  <c r="O35" i="87"/>
  <c r="N35" i="87"/>
  <c r="M35" i="87"/>
  <c r="L35" i="87"/>
  <c r="K35" i="87"/>
  <c r="J35" i="87"/>
  <c r="I35" i="87"/>
  <c r="H35" i="87"/>
  <c r="G35" i="87"/>
  <c r="E35" i="87"/>
  <c r="F35" i="87"/>
  <c r="AC26" i="87"/>
  <c r="AB26" i="87"/>
  <c r="AA26" i="87"/>
  <c r="Z26" i="87"/>
  <c r="Y26" i="87"/>
  <c r="X26" i="87"/>
  <c r="W26" i="87"/>
  <c r="V26" i="87"/>
  <c r="U26" i="87"/>
  <c r="T26" i="87"/>
  <c r="S26" i="87"/>
  <c r="R26" i="87"/>
  <c r="Q26" i="87"/>
  <c r="P26" i="87"/>
  <c r="O26" i="87"/>
  <c r="N26" i="87"/>
  <c r="M26" i="87"/>
  <c r="L26" i="87"/>
  <c r="K26" i="87"/>
  <c r="J26" i="87"/>
  <c r="I26" i="87"/>
  <c r="H26" i="87"/>
  <c r="G26" i="87"/>
  <c r="F26" i="87"/>
  <c r="E26" i="87"/>
  <c r="AC21" i="87"/>
  <c r="AB21" i="87"/>
  <c r="AA21" i="87"/>
  <c r="Z21" i="87"/>
  <c r="Y21" i="87"/>
  <c r="X21" i="87"/>
  <c r="W21" i="87"/>
  <c r="V21" i="87"/>
  <c r="U21" i="87"/>
  <c r="T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E21" i="87"/>
  <c r="G21" i="87"/>
  <c r="F21" i="87"/>
  <c r="AC13" i="87"/>
  <c r="AB13" i="87"/>
  <c r="AA13" i="87"/>
  <c r="Z13" i="87"/>
  <c r="Y13" i="87"/>
  <c r="X13" i="87"/>
  <c r="W13" i="87"/>
  <c r="V13" i="87"/>
  <c r="U13" i="87"/>
  <c r="T13" i="87"/>
  <c r="S13" i="87"/>
  <c r="R13" i="87"/>
  <c r="Q13" i="87"/>
  <c r="P13" i="87"/>
  <c r="O13" i="87"/>
  <c r="N13" i="87"/>
  <c r="M13" i="87"/>
  <c r="L13" i="87"/>
  <c r="K13" i="87"/>
  <c r="J13" i="87"/>
  <c r="I13" i="87"/>
  <c r="H13" i="87"/>
  <c r="G13" i="87"/>
  <c r="F13" i="87"/>
  <c r="E13" i="87"/>
  <c r="A2" i="87"/>
  <c r="A1" i="87"/>
  <c r="A40" i="86"/>
  <c r="Z40" i="88" l="1"/>
  <c r="AD28" i="72"/>
  <c r="I31" i="72"/>
  <c r="I31" i="68"/>
  <c r="J28" i="88"/>
  <c r="N28" i="81"/>
  <c r="R16" i="88"/>
  <c r="V28" i="68"/>
  <c r="M28" i="88"/>
  <c r="Q28" i="81"/>
  <c r="T16" i="88"/>
  <c r="O28" i="88"/>
  <c r="U16" i="88"/>
  <c r="P28" i="88"/>
  <c r="T28" i="81"/>
  <c r="J40" i="88"/>
  <c r="S28" i="68"/>
  <c r="P28" i="72"/>
  <c r="M28" i="72"/>
  <c r="F16" i="88"/>
  <c r="Z16" i="88"/>
  <c r="S40" i="88"/>
  <c r="R28" i="88"/>
  <c r="T40" i="88"/>
  <c r="X28" i="72"/>
  <c r="I16" i="88"/>
  <c r="AC16" i="88"/>
  <c r="U40" i="88"/>
  <c r="Y28" i="72"/>
  <c r="Y28" i="88"/>
  <c r="T28" i="88"/>
  <c r="S28" i="81"/>
  <c r="P16" i="88"/>
  <c r="T28" i="68"/>
  <c r="K28" i="88"/>
  <c r="O28" i="81"/>
  <c r="Q16" i="88"/>
  <c r="U28" i="68"/>
  <c r="L28" i="88"/>
  <c r="P28" i="81"/>
  <c r="AG28" i="81"/>
  <c r="X28" i="68"/>
  <c r="AB30" i="81"/>
  <c r="Q30" i="68"/>
  <c r="R40" i="88"/>
  <c r="P30" i="68"/>
  <c r="N30" i="72"/>
  <c r="G16" i="88"/>
  <c r="AA16" i="88"/>
  <c r="O30" i="68"/>
  <c r="K28" i="72"/>
  <c r="N30" i="68"/>
  <c r="E28" i="88"/>
  <c r="I28" i="81"/>
  <c r="V40" i="88"/>
  <c r="Z28" i="72"/>
  <c r="J30" i="72"/>
  <c r="J30" i="68"/>
  <c r="F28" i="88"/>
  <c r="Z28" i="88"/>
  <c r="U28" i="88"/>
  <c r="W40" i="88"/>
  <c r="AA28" i="72"/>
  <c r="J28" i="68"/>
  <c r="AG28" i="72"/>
  <c r="G28" i="88"/>
  <c r="AA28" i="88"/>
  <c r="V28" i="88"/>
  <c r="X40" i="88"/>
  <c r="AB28" i="72"/>
  <c r="AG28" i="68"/>
  <c r="I30" i="68"/>
  <c r="M28" i="81"/>
  <c r="H16" i="88"/>
  <c r="AB16" i="88"/>
  <c r="H28" i="88"/>
  <c r="AB28" i="88"/>
  <c r="W28" i="88"/>
  <c r="Y40" i="88"/>
  <c r="J31" i="68"/>
  <c r="L28" i="81"/>
  <c r="AE28" i="72"/>
  <c r="S16" i="88"/>
  <c r="N16" i="88"/>
  <c r="N28" i="88"/>
  <c r="H40" i="88"/>
  <c r="AB40" i="88"/>
  <c r="V16" i="88"/>
  <c r="Q28" i="88"/>
  <c r="K40" i="88"/>
  <c r="W16" i="88"/>
  <c r="O40" i="88"/>
  <c r="X16" i="88"/>
  <c r="S28" i="88"/>
  <c r="P40" i="88"/>
  <c r="M40" i="88"/>
  <c r="E16" i="88"/>
  <c r="Y16" i="88"/>
  <c r="Q40" i="88"/>
  <c r="N40" i="88"/>
  <c r="E40" i="88" l="1"/>
  <c r="I28" i="72"/>
  <c r="F40" i="88"/>
  <c r="J28" i="72"/>
  <c r="I9" i="68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72" l="1" a="1"/>
  <c r="P115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<sst xmlns="http://schemas.openxmlformats.org/spreadsheetml/2006/main" count="1129" uniqueCount="335">
  <si>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</si>
  <si>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</si>
  <si>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</si>
  <si>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</si>
  <si>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</si>
  <si>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</si>
  <si>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</si>
  <si>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</si>
  <si>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</si>
  <si>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</si>
  <si>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</si>
  <si>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</si>
  <si>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</si>
  <si>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</si>
  <si>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</si>
  <si>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</si>
  <si>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</si>
  <si>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</si>
  <si>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</si>
  <si>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</si>
  <si>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</si>
  <si>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</si>
  <si>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</si>
  <si>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</si>
  <si>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</si>
  <si>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</si>
  <si>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</si>
  <si>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</si>
  <si>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</si>
  <si>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</si>
  <si>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</si>
  <si>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</si>
  <si>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</si>
  <si>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</si>
  <si>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</si>
  <si>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</si>
  <si>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</si>
  <si>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</si>
  <si>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</si>
  <si>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</si>
  <si>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</si>
  <si>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</si>
  <si>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</si>
  <si>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</si>
  <si>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</si>
  <si>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</si>
  <si>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</si>
  <si>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</si>
  <si>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</si>
  <si>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</si>
  <si>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</si>
  <si>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</si>
  <si>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</si>
  <si>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</si>
  <si>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</si>
  <si>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</si>
  <si>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</si>
  <si>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</si>
  <si>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</si>
  <si>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</si>
  <si>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</si>
  <si>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</si>
  <si>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</si>
  <si>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</si>
  <si>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</si>
  <si>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</si>
  <si>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</si>
  <si>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</si>
  <si>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</si>
  <si>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</si>
  <si>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</si>
  <si>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</si>
  <si>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</si>
  <si>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</si>
  <si>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</si>
  <si>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</si>
  <si>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</si>
  <si>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</si>
  <si>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</si>
  <si>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</si>
  <si>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</si>
  <si>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</si>
  <si>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</si>
  <si>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</si>
  <si>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</si>
  <si>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</si>
  <si>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</si>
  <si>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</si>
  <si>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</si>
  <si>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</si>
  <si>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</si>
  <si>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</si>
  <si>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</si>
  <si>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</si>
  <si>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</si>
  <si>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</si>
  <si>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</si>
  <si>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</si>
  <si>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</si>
  <si>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</si>
  <si>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</si>
  <si>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</si>
  <si>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</si>
  <si>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</si>
  <si>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</si>
  <si>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</si>
  <si>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</si>
  <si>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</si>
  <si>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</si>
  <si>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</si>
  <si>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</si>
  <si>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</si>
  <si>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</si>
  <si>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</si>
  <si>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</si>
  <si>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</si>
  <si>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</si>
  <si>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</si>
  <si>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</si>
  <si>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</si>
  <si>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</si>
  <si>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</si>
  <si>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</si>
  <si>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</si>
  <si>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</si>
  <si>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</si>
  <si>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</si>
  <si>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</si>
  <si>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</si>
  <si>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</si>
  <si>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</si>
  <si>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</si>
  <si>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</si>
  <si>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</si>
  <si>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</si>
  <si>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</si>
  <si>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N/A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</si>
  <si>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</si>
  <si>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</si>
  <si>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</si>
  <si>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</si>
  <si>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</si>
  <si>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</si>
  <si>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</si>
  <si>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</si>
  <si>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</si>
  <si>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</si>
  <si>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</si>
  <si>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</si>
  <si>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</si>
  <si>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</si>
  <si>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</si>
  <si>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</si>
  <si>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</si>
  <si>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</si>
  <si>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</si>
  <si>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</si>
  <si>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</si>
  <si>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</si>
  <si>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</si>
  <si>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</si>
  <si>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</si>
  <si>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</si>
  <si>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</si>
  <si>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</si>
  <si>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</si>
  <si>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</si>
  <si>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</si>
  <si>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</si>
  <si>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</si>
  <si>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</si>
  <si>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</si>
  <si>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</si>
  <si>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</si>
  <si>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</si>
  <si>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</si>
  <si>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</si>
  <si>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</si>
  <si>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</si>
  <si>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</si>
  <si>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</si>
  <si>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</si>
  <si>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</si>
  <si>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</si>
  <si>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</si>
  <si>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</si>
  <si>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</si>
  <si>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</si>
  <si>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</si>
  <si>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</si>
  <si>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</si>
  <si>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</si>
  <si>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</si>
  <si>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</si>
  <si>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</si>
  <si>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</si>
  <si>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</si>
  <si>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</si>
  <si>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</si>
  <si>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</si>
  <si>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</si>
  <si>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</si>
  <si>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</si>
  <si>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</si>
  <si>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</si>
  <si>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</si>
  <si>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</si>
  <si>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</si>
  <si>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</si>
  <si>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</si>
  <si>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</si>
  <si>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</si>
  <si>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</si>
  <si>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</si>
  <si>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</si>
  <si>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</si>
  <si>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</si>
  <si>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</si>
  <si>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</si>
  <si>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</si>
  <si>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</si>
  <si>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</si>
  <si>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</si>
  <si>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</si>
  <si>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</si>
  <si>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</si>
  <si>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</si>
  <si>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</si>
  <si>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</si>
  <si>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</si>
  <si>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</si>
  <si>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</si>
  <si>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</si>
  <si>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</si>
  <si>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</si>
  <si>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</si>
  <si>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</si>
  <si>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</si>
  <si>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</si>
  <si>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</si>
  <si>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</si>
  <si>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</si>
  <si>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</si>
  <si>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</si>
  <si>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</si>
  <si>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</si>
  <si>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</si>
  <si>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COSTS</t>
  </si>
  <si>
    <t>Option 1 - continue existing maintenance with no proactive replacement cost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</si>
  <si>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</si>
  <si>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</si>
  <si>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</si>
  <si>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</si>
  <si>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</si>
  <si>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</si>
  <si>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</si>
  <si>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</si>
  <si>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</si>
  <si>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</si>
  <si>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</si>
  <si>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</si>
  <si>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</si>
  <si>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</si>
  <si>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</si>
  <si>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</si>
  <si>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</si>
  <si>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</si>
  <si>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</si>
  <si>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Relay annual maintenance cost ($)</t>
  </si>
  <si>
    <t>Total opex cost ($)</t>
  </si>
  <si>
    <t>Tx capex profile ($)</t>
  </si>
  <si>
    <t>Total capex ($)</t>
  </si>
  <si>
    <t>SWBD online monitoring annual cost ($)</t>
  </si>
  <si>
    <t>WORKINGS - RISKS</t>
  </si>
  <si>
    <t>Transformer risks</t>
  </si>
  <si>
    <t>Energy at Risk ($, Weighted)</t>
  </si>
  <si>
    <t>Safety Risk</t>
  </si>
  <si>
    <t>Unplanned Replacement Risk</t>
  </si>
  <si>
    <t>Unplanned Fault Risk</t>
  </si>
  <si>
    <t>Unplanned Enviromental Risk</t>
  </si>
  <si>
    <t>Total transformer risks</t>
  </si>
  <si>
    <t>Input Data - Station Configuration</t>
  </si>
  <si>
    <t>Constants</t>
  </si>
  <si>
    <t>POF METHOD</t>
  </si>
  <si>
    <t>WEIBULL</t>
  </si>
  <si>
    <t>Modifier (x)</t>
  </si>
  <si>
    <t>Comment</t>
  </si>
  <si>
    <t>Substation:</t>
  </si>
  <si>
    <t>Major Failure CoC</t>
  </si>
  <si>
    <t>PoF (#1)</t>
  </si>
  <si>
    <t>Asset Type</t>
  </si>
  <si>
    <t>Transformer</t>
  </si>
  <si>
    <t>Minor Failure CoC</t>
  </si>
  <si>
    <t>PoF (#2)</t>
  </si>
  <si>
    <t>Major Failure CoC - used</t>
  </si>
  <si>
    <t>PoF (#3)</t>
  </si>
  <si>
    <t>Load Profile (PoE)</t>
  </si>
  <si>
    <t>Minor Failure CoC - used</t>
  </si>
  <si>
    <t>PoF (#4)</t>
  </si>
  <si>
    <t>Setting</t>
  </si>
  <si>
    <t>Unit Price</t>
  </si>
  <si>
    <t>Model Output</t>
  </si>
  <si>
    <t>Spare Available</t>
  </si>
  <si>
    <t>Online Monitoring</t>
  </si>
  <si>
    <t>Physical Separation</t>
  </si>
  <si>
    <t>More Frequent Maintenance</t>
  </si>
  <si>
    <t>Pr (Terminal Failure)</t>
  </si>
  <si>
    <t>Staggered Maintenance</t>
  </si>
  <si>
    <t>Pr (Repairable Failure)</t>
  </si>
  <si>
    <t>Bunded</t>
  </si>
  <si>
    <t>Refurbish Assets</t>
  </si>
  <si>
    <t>Replace 1 Asset</t>
  </si>
  <si>
    <t>Replace 2 Assets</t>
  </si>
  <si>
    <t>Replace 3 Assets</t>
  </si>
  <si>
    <t>Addiitonal Asset</t>
  </si>
  <si>
    <t>Load Transfers</t>
  </si>
  <si>
    <t>Unplanned Fire Risk</t>
  </si>
  <si>
    <t>Non-Network MW</t>
  </si>
  <si>
    <t>Option Capital Cost</t>
  </si>
  <si>
    <t>Total Life Cycle Cost</t>
  </si>
  <si>
    <t>Safety risk</t>
  </si>
  <si>
    <t>Unplanned replacement risk</t>
  </si>
  <si>
    <t>Unplanned fault risk</t>
  </si>
  <si>
    <t>Enviromental risk</t>
  </si>
  <si>
    <t>Replace 1 transformer</t>
  </si>
  <si>
    <t>Refurbish 1 transformer</t>
  </si>
  <si>
    <t>NC transformer</t>
  </si>
  <si>
    <t>NC transformer replacement</t>
  </si>
  <si>
    <t>Replace #1 transformer completed in 2027-2028</t>
  </si>
  <si>
    <t>Refurbish #1 transformer completed in 2026-2027</t>
  </si>
  <si>
    <t>NC</t>
  </si>
  <si>
    <t>Northcote</t>
  </si>
  <si>
    <t>Scenario #1: NC - Transformer</t>
  </si>
  <si>
    <t>Scenario #2: NC - Transformer</t>
  </si>
  <si>
    <t>Scenario #3: NC - Transformer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</si>
</sst>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0.000%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  <numFmt numFmtId="197" formatCode="_-&quot;$&quot;* #,##0_-;\-&quot;$&quot;* #,##0_-;_-&quot;$&quot;* &quot;-&quot;??_-;_-@_-"/>
    <numFmt numFmtId="198" formatCode="_-* #,##0.0_-;\-* #,##0.0_-;_-* &quot;-&quot;??_-;_-@_-"/>
    <numFmt numFmtId="199" formatCode="#,##0.000_);\(#,##0.000\);\-\-_)"/>
    <numFmt numFmtId="200" formatCode="?0"/>
    <numFmt numFmtId="201" formatCode="0.0"/>
  </numFmts>
  <fonts count="105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10"/>
      <color rgb="FFFFFFFF"/>
      <name val="Calibri"/>
      <family val="2"/>
    </font>
    <font>
      <sz val="10"/>
      <name val="Verdan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rgb="FF000000"/>
      </patternFill>
    </fill>
    <fill>
      <patternFill patternType="solid">
        <fgColor rgb="FFFCCDD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49357"/>
        <bgColor rgb="FF000000"/>
      </patternFill>
    </fill>
    <fill>
      <patternFill patternType="solid">
        <fgColor rgb="FFD5E4FF"/>
        <bgColor rgb="FF000000"/>
      </patternFill>
    </fill>
    <fill>
      <patternFill patternType="solid">
        <fgColor rgb="FF95BD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6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6" applyNumberFormat="0" applyProtection="0">
      <alignment horizontal="left" vertical="center" indent="1"/>
    </xf>
    <xf numFmtId="4" fontId="93" fillId="17" borderId="16" applyNumberFormat="0" applyProtection="0">
      <alignment horizontal="left" vertical="center" indent="1"/>
    </xf>
    <xf numFmtId="4" fontId="93" fillId="0" borderId="16" applyNumberFormat="0" applyProtection="0">
      <alignment horizontal="right" vertical="center"/>
    </xf>
    <xf numFmtId="44" fontId="78" fillId="0" borderId="0" applyFont="0" applyFill="0" applyBorder="0" applyAlignment="0" applyProtection="0"/>
    <xf numFmtId="9" fontId="78" fillId="0" borderId="0" applyFont="0" applyFill="0" applyBorder="0" applyAlignment="0" applyProtection="0"/>
  </cellStyleXfs>
  <cellXfs count="436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0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6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6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2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5" fontId="89" fillId="0" borderId="0" xfId="20" applyNumberFormat="1" applyFont="1" applyAlignment="1">
      <alignment horizontal="left"/>
    </xf>
    <xf numFmtId="0" fontId="90" fillId="0" borderId="0" xfId="20" applyFont="1"/>
    <xf numFmtId="196" fontId="91" fillId="10" borderId="0" xfId="16" applyNumberFormat="1" applyFont="1" applyFill="1" applyAlignment="1">
      <alignment horizontal="right"/>
    </xf>
    <xf numFmtId="196" fontId="92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0" fontId="95" fillId="0" borderId="0" xfId="18" applyFont="1"/>
    <xf numFmtId="0" fontId="24" fillId="18" borderId="0" xfId="18" applyFont="1" applyFill="1" applyAlignment="1">
      <alignment vertical="center"/>
    </xf>
    <xf numFmtId="0" fontId="21" fillId="19" borderId="0" xfId="18" applyFont="1" applyFill="1"/>
    <xf numFmtId="0" fontId="96" fillId="19" borderId="0" xfId="18" applyFont="1" applyFill="1"/>
    <xf numFmtId="0" fontId="97" fillId="19" borderId="0" xfId="0" applyFont="1" applyFill="1"/>
    <xf numFmtId="0" fontId="98" fillId="0" borderId="0" xfId="18" applyFont="1"/>
    <xf numFmtId="0" fontId="94" fillId="0" borderId="0" xfId="18" applyFont="1"/>
    <xf numFmtId="0" fontId="98" fillId="20" borderId="0" xfId="18" applyFont="1" applyFill="1" applyAlignment="1">
      <alignment horizontal="right"/>
    </xf>
    <xf numFmtId="0" fontId="99" fillId="0" borderId="0" xfId="18" applyFont="1" applyAlignment="1">
      <alignment horizontal="right"/>
    </xf>
    <xf numFmtId="0" fontId="98" fillId="0" borderId="0" xfId="18" applyFont="1" applyAlignment="1">
      <alignment horizontal="right"/>
    </xf>
    <xf numFmtId="197" fontId="98" fillId="21" borderId="0" xfId="34" applyNumberFormat="1" applyFont="1" applyFill="1" applyBorder="1"/>
    <xf numFmtId="0" fontId="99" fillId="0" borderId="12" xfId="18" applyFont="1" applyBorder="1" applyAlignment="1">
      <alignment horizontal="right"/>
    </xf>
    <xf numFmtId="197" fontId="98" fillId="0" borderId="12" xfId="34" applyNumberFormat="1" applyFont="1" applyFill="1" applyBorder="1"/>
    <xf numFmtId="0" fontId="98" fillId="19" borderId="0" xfId="18" applyFont="1" applyFill="1"/>
    <xf numFmtId="0" fontId="98" fillId="0" borderId="12" xfId="18" applyFont="1" applyBorder="1" applyAlignment="1">
      <alignment horizontal="right"/>
    </xf>
    <xf numFmtId="197" fontId="98" fillId="0" borderId="12" xfId="18" applyNumberFormat="1" applyFont="1" applyBorder="1"/>
    <xf numFmtId="0" fontId="98" fillId="21" borderId="0" xfId="18" applyFont="1" applyFill="1"/>
    <xf numFmtId="199" fontId="98" fillId="0" borderId="0" xfId="18" applyNumberFormat="1" applyFont="1"/>
    <xf numFmtId="0" fontId="98" fillId="0" borderId="0" xfId="18" applyFont="1" applyAlignment="1">
      <alignment horizontal="left"/>
    </xf>
    <xf numFmtId="0" fontId="99" fillId="0" borderId="0" xfId="18" applyFont="1"/>
    <xf numFmtId="197" fontId="98" fillId="21" borderId="0" xfId="18" applyNumberFormat="1" applyFont="1" applyFill="1"/>
    <xf numFmtId="0" fontId="98" fillId="0" borderId="12" xfId="18" applyFont="1" applyBorder="1"/>
    <xf numFmtId="0" fontId="100" fillId="19" borderId="0" xfId="20" applyFont="1" applyFill="1" applyAlignment="1">
      <alignment horizontal="left" vertical="center"/>
    </xf>
    <xf numFmtId="0" fontId="100" fillId="19" borderId="0" xfId="20" applyFont="1" applyFill="1" applyAlignment="1">
      <alignment vertical="center"/>
    </xf>
    <xf numFmtId="0" fontId="100" fillId="22" borderId="0" xfId="20" applyFont="1" applyFill="1" applyAlignment="1">
      <alignment vertical="center"/>
    </xf>
    <xf numFmtId="9" fontId="93" fillId="23" borderId="17" xfId="19" applyFont="1" applyFill="1" applyBorder="1" applyAlignment="1" applyProtection="1">
      <alignment horizontal="center" vertical="center"/>
      <protection locked="0"/>
    </xf>
    <xf numFmtId="0" fontId="93" fillId="0" borderId="0" xfId="20" applyFont="1" applyAlignment="1">
      <alignment horizontal="left"/>
    </xf>
    <xf numFmtId="200" fontId="93" fillId="23" borderId="17" xfId="20" applyNumberFormat="1" applyFont="1" applyFill="1" applyBorder="1" applyAlignment="1" applyProtection="1">
      <alignment horizontal="left" vertical="center"/>
      <protection locked="0"/>
    </xf>
    <xf numFmtId="0" fontId="93" fillId="0" borderId="0" xfId="20" applyFont="1"/>
    <xf numFmtId="197" fontId="101" fillId="23" borderId="17" xfId="29" applyNumberFormat="1" applyFont="1" applyFill="1" applyBorder="1"/>
    <xf numFmtId="189" fontId="101" fillId="21" borderId="17" xfId="19" applyNumberFormat="1" applyFont="1" applyFill="1" applyBorder="1" applyAlignment="1" applyProtection="1">
      <alignment horizontal="center" vertical="center"/>
      <protection locked="0"/>
    </xf>
    <xf numFmtId="9" fontId="101" fillId="21" borderId="17" xfId="19" applyFont="1" applyFill="1" applyBorder="1" applyAlignment="1" applyProtection="1">
      <alignment horizontal="center" vertical="center"/>
      <protection locked="0"/>
    </xf>
    <xf numFmtId="9" fontId="101" fillId="24" borderId="17" xfId="19" applyFont="1" applyFill="1" applyBorder="1" applyAlignment="1" applyProtection="1">
      <alignment horizontal="left" vertical="center"/>
      <protection locked="0"/>
    </xf>
    <xf numFmtId="44" fontId="101" fillId="24" borderId="17" xfId="19" applyNumberFormat="1" applyFont="1" applyFill="1" applyBorder="1" applyAlignment="1" applyProtection="1">
      <alignment horizontal="left" vertical="center"/>
      <protection locked="0"/>
    </xf>
    <xf numFmtId="197" fontId="101" fillId="24" borderId="17" xfId="19" applyNumberFormat="1" applyFont="1" applyFill="1" applyBorder="1" applyAlignment="1" applyProtection="1">
      <alignment horizontal="left" vertical="center"/>
      <protection locked="0"/>
    </xf>
    <xf numFmtId="9" fontId="101" fillId="24" borderId="17" xfId="35" applyFont="1" applyFill="1" applyBorder="1" applyAlignment="1" applyProtection="1">
      <alignment horizontal="right" vertical="center"/>
      <protection locked="0"/>
    </xf>
    <xf numFmtId="10" fontId="101" fillId="21" borderId="17" xfId="19" applyNumberFormat="1" applyFont="1" applyFill="1" applyBorder="1" applyAlignment="1" applyProtection="1">
      <alignment horizontal="center" vertical="center"/>
      <protection locked="0"/>
    </xf>
    <xf numFmtId="0" fontId="100" fillId="19" borderId="0" xfId="20" applyFont="1" applyFill="1" applyAlignment="1">
      <alignment horizontal="left" vertical="center" wrapText="1"/>
    </xf>
    <xf numFmtId="0" fontId="100" fillId="19" borderId="0" xfId="20" applyFont="1" applyFill="1" applyAlignment="1">
      <alignment horizontal="center" vertical="center"/>
    </xf>
    <xf numFmtId="0" fontId="100" fillId="25" borderId="0" xfId="20" applyFont="1" applyFill="1" applyAlignment="1">
      <alignment vertical="center"/>
    </xf>
    <xf numFmtId="9" fontId="101" fillId="0" borderId="0" xfId="20" applyNumberFormat="1" applyFont="1" applyAlignment="1">
      <alignment horizontal="center"/>
    </xf>
    <xf numFmtId="197" fontId="101" fillId="0" borderId="0" xfId="20" applyNumberFormat="1" applyFont="1" applyAlignment="1">
      <alignment horizontal="left"/>
    </xf>
    <xf numFmtId="198" fontId="101" fillId="0" borderId="0" xfId="30" applyNumberFormat="1" applyFont="1" applyFill="1" applyBorder="1"/>
    <xf numFmtId="198" fontId="101" fillId="21" borderId="17" xfId="30" applyNumberFormat="1" applyFont="1" applyFill="1" applyBorder="1"/>
    <xf numFmtId="10" fontId="101" fillId="21" borderId="17" xfId="30" applyNumberFormat="1" applyFont="1" applyFill="1" applyBorder="1"/>
    <xf numFmtId="201" fontId="101" fillId="0" borderId="0" xfId="20" applyNumberFormat="1" applyFont="1" applyAlignment="1">
      <alignment horizontal="center"/>
    </xf>
    <xf numFmtId="197" fontId="101" fillId="0" borderId="0" xfId="34" applyNumberFormat="1" applyFont="1" applyFill="1" applyBorder="1"/>
    <xf numFmtId="44" fontId="93" fillId="0" borderId="0" xfId="20" applyNumberFormat="1" applyFont="1" applyAlignment="1">
      <alignment horizontal="left"/>
    </xf>
    <xf numFmtId="197" fontId="93" fillId="0" borderId="0" xfId="20" applyNumberFormat="1" applyFont="1" applyAlignment="1">
      <alignment horizontal="left"/>
    </xf>
    <xf numFmtId="0" fontId="93" fillId="0" borderId="18" xfId="20" applyFont="1" applyBorder="1" applyAlignment="1">
      <alignment horizontal="left"/>
    </xf>
    <xf numFmtId="0" fontId="102" fillId="26" borderId="18" xfId="20" applyFont="1" applyFill="1" applyBorder="1" applyAlignment="1">
      <alignment horizontal="left"/>
    </xf>
    <xf numFmtId="197" fontId="102" fillId="26" borderId="18" xfId="20" applyNumberFormat="1" applyFont="1" applyFill="1" applyBorder="1" applyAlignment="1">
      <alignment horizontal="left"/>
    </xf>
    <xf numFmtId="0" fontId="101" fillId="0" borderId="0" xfId="20" applyFont="1" applyAlignment="1">
      <alignment horizontal="left"/>
    </xf>
    <xf numFmtId="0" fontId="102" fillId="27" borderId="0" xfId="20" applyFont="1" applyFill="1" applyAlignment="1">
      <alignment horizontal="left"/>
    </xf>
    <xf numFmtId="197" fontId="93" fillId="27" borderId="0" xfId="20" applyNumberFormat="1" applyFont="1" applyFill="1" applyAlignment="1">
      <alignment horizontal="left"/>
    </xf>
    <xf numFmtId="0" fontId="103" fillId="22" borderId="0" xfId="20" applyFont="1" applyFill="1" applyAlignment="1">
      <alignment vertical="center"/>
    </xf>
    <xf numFmtId="9" fontId="4" fillId="23" borderId="17" xfId="19" applyFont="1" applyFill="1" applyBorder="1" applyAlignment="1" applyProtection="1">
      <alignment horizontal="center" vertical="center"/>
      <protection locked="0"/>
    </xf>
    <xf numFmtId="0" fontId="103" fillId="19" borderId="0" xfId="20" applyFont="1" applyFill="1" applyAlignment="1">
      <alignment vertical="center"/>
    </xf>
    <xf numFmtId="0" fontId="4" fillId="0" borderId="0" xfId="20" applyFont="1"/>
    <xf numFmtId="189" fontId="104" fillId="21" borderId="17" xfId="19" applyNumberFormat="1" applyFont="1" applyFill="1" applyBorder="1" applyAlignment="1" applyProtection="1">
      <alignment horizontal="center" vertical="center"/>
      <protection locked="0"/>
    </xf>
    <xf numFmtId="9" fontId="104" fillId="21" borderId="17" xfId="19" applyFont="1" applyFill="1" applyBorder="1" applyAlignment="1" applyProtection="1">
      <alignment horizontal="center" vertical="center"/>
      <protection locked="0"/>
    </xf>
    <xf numFmtId="10" fontId="104" fillId="21" borderId="17" xfId="19" applyNumberFormat="1" applyFont="1" applyFill="1" applyBorder="1" applyAlignment="1" applyProtection="1">
      <alignment horizontal="center" vertical="center"/>
      <protection locked="0"/>
    </xf>
    <xf numFmtId="0" fontId="56" fillId="8" borderId="0" xfId="20" applyFont="1" applyFill="1" applyAlignment="1">
      <alignment horizontal="left" vertical="center" wrapText="1"/>
    </xf>
    <xf numFmtId="0" fontId="56" fillId="8" borderId="0" xfId="20" applyFont="1" applyFill="1" applyAlignment="1">
      <alignment horizontal="center" vertical="center"/>
    </xf>
    <xf numFmtId="0" fontId="56" fillId="8" borderId="0" xfId="20" applyFont="1" applyFill="1" applyAlignment="1">
      <alignment vertical="center"/>
    </xf>
    <xf numFmtId="0" fontId="56" fillId="8" borderId="0" xfId="20" applyFont="1" applyFill="1" applyAlignment="1">
      <alignment horizontal="left" vertical="center"/>
    </xf>
    <xf numFmtId="0" fontId="56" fillId="28" borderId="0" xfId="20" applyFont="1" applyFill="1" applyAlignment="1">
      <alignment vertical="center"/>
    </xf>
    <xf numFmtId="0" fontId="34" fillId="0" borderId="0" xfId="20" applyFont="1" applyAlignment="1">
      <alignment horizontal="left"/>
    </xf>
    <xf numFmtId="9" fontId="15" fillId="0" borderId="0" xfId="20" applyNumberFormat="1" applyFont="1" applyAlignment="1">
      <alignment horizontal="center"/>
    </xf>
    <xf numFmtId="197" fontId="15" fillId="0" borderId="0" xfId="20" applyNumberFormat="1" applyFont="1" applyAlignment="1">
      <alignment horizontal="left"/>
    </xf>
    <xf numFmtId="198" fontId="15" fillId="0" borderId="0" xfId="30" applyNumberFormat="1" applyFont="1"/>
    <xf numFmtId="198" fontId="15" fillId="2" borderId="17" xfId="30" applyNumberFormat="1" applyFont="1" applyFill="1" applyBorder="1"/>
    <xf numFmtId="10" fontId="15" fillId="2" borderId="17" xfId="30" applyNumberFormat="1" applyFont="1" applyFill="1" applyBorder="1"/>
    <xf numFmtId="201" fontId="15" fillId="0" borderId="0" xfId="20" applyNumberFormat="1" applyFont="1" applyAlignment="1">
      <alignment horizontal="center"/>
    </xf>
    <xf numFmtId="197" fontId="15" fillId="0" borderId="0" xfId="34" applyNumberFormat="1" applyFont="1" applyFill="1" applyBorder="1"/>
    <xf numFmtId="197" fontId="15" fillId="0" borderId="0" xfId="34" applyNumberFormat="1" applyFont="1" applyFill="1"/>
    <xf numFmtId="44" fontId="34" fillId="0" borderId="0" xfId="20" applyNumberFormat="1" applyFont="1" applyAlignment="1">
      <alignment horizontal="left"/>
    </xf>
    <xf numFmtId="197" fontId="34" fillId="0" borderId="0" xfId="20" applyNumberFormat="1" applyFont="1" applyAlignment="1">
      <alignment horizontal="left"/>
    </xf>
    <xf numFmtId="0" fontId="34" fillId="0" borderId="18" xfId="20" applyFont="1" applyBorder="1" applyAlignment="1">
      <alignment horizontal="left"/>
    </xf>
    <xf numFmtId="0" fontId="36" fillId="29" borderId="18" xfId="20" applyFont="1" applyFill="1" applyBorder="1" applyAlignment="1">
      <alignment horizontal="left"/>
    </xf>
    <xf numFmtId="197" fontId="36" fillId="29" borderId="18" xfId="20" applyNumberFormat="1" applyFont="1" applyFill="1" applyBorder="1" applyAlignment="1">
      <alignment horizontal="left"/>
    </xf>
    <xf numFmtId="0" fontId="36" fillId="30" borderId="0" xfId="20" applyFont="1" applyFill="1" applyAlignment="1">
      <alignment horizontal="left"/>
    </xf>
    <xf numFmtId="197" fontId="34" fillId="30" borderId="0" xfId="20" applyNumberFormat="1" applyFont="1" applyFill="1" applyAlignment="1">
      <alignment horizontal="left"/>
    </xf>
    <xf numFmtId="0" fontId="56" fillId="31" borderId="0" xfId="20" applyFont="1" applyFill="1" applyAlignment="1">
      <alignment vertical="center"/>
    </xf>
    <xf numFmtId="9" fontId="34" fillId="32" borderId="17" xfId="19" applyFont="1" applyFill="1" applyBorder="1" applyAlignment="1" applyProtection="1">
      <alignment horizontal="center" vertical="center"/>
      <protection locked="0"/>
    </xf>
    <xf numFmtId="200" fontId="34" fillId="32" borderId="17" xfId="20" applyNumberFormat="1" applyFont="1" applyFill="1" applyBorder="1" applyAlignment="1" applyProtection="1">
      <alignment horizontal="left" vertical="center"/>
      <protection locked="0"/>
    </xf>
    <xf numFmtId="0" fontId="34" fillId="0" borderId="0" xfId="20" applyFont="1"/>
    <xf numFmtId="197" fontId="15" fillId="32" borderId="17" xfId="29" applyNumberFormat="1" applyFont="1" applyFill="1" applyBorder="1"/>
    <xf numFmtId="189" fontId="15" fillId="2" borderId="17" xfId="19" applyNumberFormat="1" applyFont="1" applyFill="1" applyBorder="1" applyAlignment="1" applyProtection="1">
      <alignment horizontal="center" vertical="center"/>
      <protection locked="0"/>
    </xf>
    <xf numFmtId="9" fontId="15" fillId="2" borderId="17" xfId="19" applyFont="1" applyFill="1" applyBorder="1" applyAlignment="1" applyProtection="1">
      <alignment horizontal="center" vertical="center"/>
      <protection locked="0"/>
    </xf>
    <xf numFmtId="9" fontId="15" fillId="33" borderId="17" xfId="19" applyFont="1" applyFill="1" applyBorder="1" applyAlignment="1" applyProtection="1">
      <alignment horizontal="left" vertical="center"/>
      <protection locked="0"/>
    </xf>
    <xf numFmtId="44" fontId="15" fillId="33" borderId="17" xfId="19" applyNumberFormat="1" applyFont="1" applyFill="1" applyBorder="1" applyAlignment="1" applyProtection="1">
      <alignment horizontal="left" vertical="center"/>
      <protection locked="0"/>
    </xf>
    <xf numFmtId="197" fontId="15" fillId="33" borderId="17" xfId="19" applyNumberFormat="1" applyFont="1" applyFill="1" applyBorder="1" applyAlignment="1" applyProtection="1">
      <alignment horizontal="left" vertical="center"/>
      <protection locked="0"/>
    </xf>
    <xf numFmtId="9" fontId="15" fillId="33" borderId="17" xfId="35" applyFont="1" applyFill="1" applyBorder="1" applyAlignment="1" applyProtection="1">
      <alignment horizontal="right" vertical="center"/>
      <protection locked="0"/>
    </xf>
    <xf numFmtId="10" fontId="15" fillId="2" borderId="17" xfId="19" applyNumberFormat="1" applyFont="1" applyFill="1" applyBorder="1" applyAlignment="1" applyProtection="1">
      <alignment horizontal="center" vertical="center"/>
      <protection locked="0"/>
    </xf>
    <xf numFmtId="177" fontId="34" fillId="2" borderId="0" xfId="18" applyNumberFormat="1" applyFont="1" applyFill="1" applyAlignment="1">
      <alignment horizontal="right" vertical="center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6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" xfId="34" builtinId="4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" xfId="35" builtinId="5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0.36058205622282508</c:v>
                </c:pt>
                <c:pt idx="1">
                  <c:v>0.36058205622282508</c:v>
                </c:pt>
                <c:pt idx="2">
                  <c:v>0.36058205622282508</c:v>
                </c:pt>
                <c:pt idx="3">
                  <c:v>0.36058205622282508</c:v>
                </c:pt>
                <c:pt idx="4">
                  <c:v>0.36058205622282508</c:v>
                </c:pt>
                <c:pt idx="5">
                  <c:v>0.36058205622282508</c:v>
                </c:pt>
                <c:pt idx="6">
                  <c:v>0.36058205622282508</c:v>
                </c:pt>
                <c:pt idx="7">
                  <c:v>0.36058205622282508</c:v>
                </c:pt>
                <c:pt idx="8">
                  <c:v>0.36058205622282508</c:v>
                </c:pt>
                <c:pt idx="9">
                  <c:v>0.36058205622282508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0.99429591492635971</c:v>
                </c:pt>
                <c:pt idx="1">
                  <c:v>1.0452790629131301</c:v>
                </c:pt>
                <c:pt idx="2">
                  <c:v>1.1048322975647333</c:v>
                </c:pt>
                <c:pt idx="3">
                  <c:v>1.165305009129278</c:v>
                </c:pt>
                <c:pt idx="4">
                  <c:v>1.2216281294944957</c:v>
                </c:pt>
                <c:pt idx="5">
                  <c:v>1.2806000437582359</c:v>
                </c:pt>
                <c:pt idx="6">
                  <c:v>1.349037248456977</c:v>
                </c:pt>
                <c:pt idx="7">
                  <c:v>1.4279814609419492</c:v>
                </c:pt>
                <c:pt idx="8">
                  <c:v>1.4933028082123307</c:v>
                </c:pt>
                <c:pt idx="9">
                  <c:v>1.5314254405590819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369444444444442E-2"/>
          <c:y val="7.7035475234270415E-2"/>
          <c:w val="0.91102968750000002"/>
          <c:h val="0.82528681392235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0.85935477503484614</c:v>
                </c:pt>
                <c:pt idx="1">
                  <c:v>0.90435173152310133</c:v>
                </c:pt>
                <c:pt idx="2">
                  <c:v>0.95703973253107022</c:v>
                </c:pt>
                <c:pt idx="3">
                  <c:v>1.0105444225448998</c:v>
                </c:pt>
                <c:pt idx="4">
                  <c:v>1.0603110715302069</c:v>
                </c:pt>
                <c:pt idx="5">
                  <c:v>1.1124483669099128</c:v>
                </c:pt>
                <c:pt idx="6">
                  <c:v>1.1730812690906434</c:v>
                </c:pt>
                <c:pt idx="7">
                  <c:v>1.2431458494889607</c:v>
                </c:pt>
                <c:pt idx="8">
                  <c:v>1.3009604193666071</c:v>
                </c:pt>
                <c:pt idx="9">
                  <c:v>1.3343265341563417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72C-8A8A-2EB688C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447261</xdr:colOff>
      <xdr:row>1</xdr:row>
      <xdr:rowOff>16563</xdr:rowOff>
    </xdr:from>
    <xdr:to>
      <xdr:col>10</xdr:col>
      <xdr:colOff>265634</xdr:colOff>
      <xdr:row>2</xdr:row>
      <xdr:rowOff>151775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12BCC6-C173-42FF-A9BC-31DE36F0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391" y="207063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6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="115" zoomScaleNormal="115" workbookViewId="0">
      <selection activeCell="A30" sqref="A30"/>
    </sheetView>
  </sheetViews>
  <sheetFormatPr defaultColWidth="0" defaultRowHeight="15" customHeight="1" zeroHeight="1" x14ac:dyDescent="0.25"/>
  <cols>
    <col min="1" max="1" width="8" style="128" customWidth="1"/>
    <col min="2" max="2" width="1.875" style="128" customWidth="1"/>
    <col min="3" max="3" width="14" style="128" customWidth="1"/>
    <col min="4" max="4" width="8" style="128" customWidth="1"/>
    <col min="5" max="5" width="9.375" style="128" customWidth="1"/>
    <col min="6" max="11" width="8" style="128" customWidth="1"/>
    <col min="12" max="19" width="8" style="128" hidden="1" customWidth="1"/>
    <col min="20" max="16384" width="0" style="128" hidden="1"/>
  </cols>
  <sheetData>
    <row r="1" spans="1:19" x14ac:dyDescent="0.25">
      <c r="A1" s="309"/>
    </row>
    <row r="2" spans="1:19" ht="23.25" x14ac:dyDescent="0.35">
      <c r="A2" s="309"/>
      <c r="C2" s="310" t="s">
        <v>42</v>
      </c>
      <c r="D2" s="311"/>
      <c r="E2" s="311"/>
    </row>
    <row r="3" spans="1:19" ht="15.75" x14ac:dyDescent="0.25">
      <c r="A3" s="309"/>
      <c r="C3" s="312" t="s">
        <v>242</v>
      </c>
      <c r="D3" s="311"/>
      <c r="E3" s="311"/>
    </row>
    <row r="4" spans="1:19" x14ac:dyDescent="0.25">
      <c r="A4" s="309"/>
      <c r="D4" s="311"/>
      <c r="E4" s="311"/>
    </row>
    <row r="5" spans="1:19" x14ac:dyDescent="0.25">
      <c r="A5" s="309"/>
      <c r="C5" s="313" t="s">
        <v>326</v>
      </c>
    </row>
    <row r="6" spans="1:19" x14ac:dyDescent="0.25">
      <c r="A6" s="309"/>
      <c r="C6" s="314" t="s">
        <v>243</v>
      </c>
      <c r="D6" s="328">
        <v>4.01</v>
      </c>
      <c r="E6" s="314"/>
    </row>
    <row r="7" spans="1:19" x14ac:dyDescent="0.25">
      <c r="A7" s="309"/>
      <c r="F7" s="315"/>
      <c r="G7" s="315"/>
      <c r="H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x14ac:dyDescent="0.25">
      <c r="A8" s="309"/>
      <c r="C8" s="316">
        <v>45688</v>
      </c>
      <c r="F8" s="315"/>
      <c r="G8" s="315"/>
      <c r="H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x14ac:dyDescent="0.25">
      <c r="A9" s="309"/>
      <c r="C9" s="317"/>
      <c r="D9" s="317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x14ac:dyDescent="0.25">
      <c r="A10" s="309"/>
      <c r="C10" s="317"/>
      <c r="D10" s="317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x14ac:dyDescent="0.25">
      <c r="A11" s="309"/>
      <c r="C11" s="317"/>
      <c r="D11" s="317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x14ac:dyDescent="0.25">
      <c r="A12" s="309"/>
      <c r="C12" s="317"/>
      <c r="D12" s="317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x14ac:dyDescent="0.25">
      <c r="A13" s="309"/>
      <c r="C13" s="317"/>
      <c r="D13" s="317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x14ac:dyDescent="0.25">
      <c r="A14" s="309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x14ac:dyDescent="0.25">
      <c r="A15" s="309"/>
      <c r="C15" s="313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x14ac:dyDescent="0.25">
      <c r="A16" s="309"/>
      <c r="C16" s="313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x14ac:dyDescent="0.25">
      <c r="A17" s="309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x14ac:dyDescent="0.25">
      <c r="A18" s="309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x14ac:dyDescent="0.25">
      <c r="A19" s="309"/>
      <c r="C19" s="315"/>
      <c r="D19" s="315"/>
      <c r="E19" s="315"/>
      <c r="F19" s="315"/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x14ac:dyDescent="0.25">
      <c r="A20" s="309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ht="16.5" customHeight="1" x14ac:dyDescent="0.25">
      <c r="A21" s="309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x14ac:dyDescent="0.25">
      <c r="A22" s="309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x14ac:dyDescent="0.25">
      <c r="A23" s="309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x14ac:dyDescent="0.25">
      <c r="A24" s="309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x14ac:dyDescent="0.25">
      <c r="A25" s="309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x14ac:dyDescent="0.25">
      <c r="A26" s="309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x14ac:dyDescent="0.25">
      <c r="A27" s="309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x14ac:dyDescent="0.25">
      <c r="A28" s="309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x14ac:dyDescent="0.25">
      <c r="A29" s="309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x14ac:dyDescent="0.25">
      <c r="A30" s="309"/>
      <c r="C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x14ac:dyDescent="0.25">
      <c r="A31" s="309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x14ac:dyDescent="0.25">
      <c r="A32" s="309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x14ac:dyDescent="0.25">
      <c r="A33" s="309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x14ac:dyDescent="0.25">
      <c r="A34" s="309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x14ac:dyDescent="0.25">
      <c r="A35" s="309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x14ac:dyDescent="0.25">
      <c r="A36" s="309"/>
    </row>
    <row r="37" spans="1:19" x14ac:dyDescent="0.25">
      <c r="A37" s="309"/>
    </row>
    <row r="38" spans="1:19" x14ac:dyDescent="0.25">
      <c r="A38" s="309"/>
    </row>
    <row r="39" spans="1:19" x14ac:dyDescent="0.25">
      <c r="A39" s="309"/>
    </row>
    <row r="40" spans="1:19" x14ac:dyDescent="0.25">
      <c r="A40" s="309">
        <f ca="1">_xlfn.SHEETS()</f>
        <v>15</v>
      </c>
    </row>
    <row r="41" spans="1:19" x14ac:dyDescent="0.25">
      <c r="A41" s="30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NC transformer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2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1" t="s">
        <v>189</v>
      </c>
      <c r="H7" s="151" t="s">
        <v>190</v>
      </c>
      <c r="I7" s="151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3">
        <f>output_dollars</f>
        <v>46203</v>
      </c>
      <c r="H8" s="183">
        <f>output_dollars</f>
        <v>46203</v>
      </c>
      <c r="I8" s="183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426" t="str">
        <f>INDEX(Assumptions!$E$14:$E$18, MATCH(C9, Assumptions!$C$14:$C$18,0))</f>
        <v>No change to existing practices</v>
      </c>
      <c r="E9" s="427"/>
      <c r="F9" s="427"/>
      <c r="G9" s="102">
        <f>IF(Data!$C9, "", INDEX(Consol!$F$15:$F$82, MATCH($C9&amp;G$7, Consol!$D$15:$D$82,0))/mill_conv)</f>
        <v>0</v>
      </c>
      <c r="H9" s="102">
        <f>IF(Data!$C9, "", INDEX(Consol!$F$15:$F$82, MATCH($C9&amp;H$7, Consol!$D$15:$D$82,0))/mill_conv)</f>
        <v>0</v>
      </c>
      <c r="I9" s="102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428" t="str">
        <f>INDEX(Assumptions!$E$14:$E$18, MATCH(C10, Assumptions!$C$14:$C$18,0))</f>
        <v>Replace #1 transformer completed in 2027-2028</v>
      </c>
      <c r="E10" s="429"/>
      <c r="F10" s="429"/>
      <c r="G10" s="102">
        <f>IF(Data!$C10, "", INDEX(Consol!$F$15:$F$82, MATCH($C10&amp;G$7, Consol!$D$15:$D$82,0))/mill_conv)</f>
        <v>-4.7450673458774517</v>
      </c>
      <c r="H10" s="102">
        <f>IF(Data!$C10, "", INDEX(Consol!$F$15:$F$82, MATCH($C10&amp;H$7, Consol!$D$15:$D$82,0))/mill_conv)</f>
        <v>15.506327038920157</v>
      </c>
      <c r="I10" s="102">
        <f>IF(Data!$C10, "", INDEX(Consol!$F$15:$F$82, MATCH($C10&amp;I$7, Consol!$D$15:$D$82,0))/mill_conv)</f>
        <v>10.761259693042705</v>
      </c>
    </row>
    <row r="11" spans="1:13" s="7" customFormat="1" ht="12.75" x14ac:dyDescent="0.2">
      <c r="C11" s="91" t="str">
        <v>Option 3</v>
      </c>
      <c r="D11" s="428" t="str">
        <f>INDEX(Assumptions!$E$14:$E$18, MATCH(C11, Assumptions!$C$14:$C$18,0))</f>
        <v>Refurbish #1 transformer completed in 2026-2027</v>
      </c>
      <c r="E11" s="429"/>
      <c r="F11" s="429"/>
      <c r="G11" s="102">
        <f>IF(Data!$C11, "", INDEX(Consol!$F$15:$F$82, MATCH($C11&amp;G$7, Consol!$D$15:$D$82,0))/mill_conv)</f>
        <v>-0.54696672539062174</v>
      </c>
      <c r="H11" s="102">
        <f>IF(Data!$C11, "", INDEX(Consol!$F$15:$F$82, MATCH($C11&amp;H$7, Consol!$D$15:$D$82,0))/mill_conv)</f>
        <v>1.0771134388653503</v>
      </c>
      <c r="I11" s="102">
        <f>IF(Data!$C11, "", INDEX(Consol!$F$15:$F$82, MATCH($C11&amp;I$7, Consol!$D$15:$D$82,0))/mill_conv)</f>
        <v>0.53014671347472875</v>
      </c>
    </row>
    <row r="12" spans="1:13" s="7" customFormat="1" ht="12.75" x14ac:dyDescent="0.2">
      <c r="C12" s="91" t="str">
        <v>Option 4</v>
      </c>
      <c r="D12" s="428">
        <f>INDEX(Assumptions!$E$14:$E$18, MATCH(C12, Assumptions!$C$14:$C$18,0))</f>
        <v>0</v>
      </c>
      <c r="E12" s="429"/>
      <c r="F12" s="429"/>
      <c r="G12" s="102" t="str">
        <f>IF(Data!$C12, "", INDEX(Consol!$F$15:$F$82, MATCH($C12&amp;G$7, Consol!$D$15:$D$82,0))/mill_conv)</f>
        <v/>
      </c>
      <c r="H12" s="102" t="str">
        <f>IF(Data!$C12, "", INDEX(Consol!$F$15:$F$82, MATCH($C12&amp;H$7, Consol!$D$15:$D$82,0))/mill_conv)</f>
        <v/>
      </c>
      <c r="I12" s="102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428">
        <f>INDEX(Assumptions!$E$14:$E$18, MATCH(C13, Assumptions!$C$14:$C$18,0))</f>
        <v>0</v>
      </c>
      <c r="E13" s="429"/>
      <c r="F13" s="429"/>
      <c r="G13" s="102" t="str">
        <f>IF(Data!$C13, "", INDEX(Consol!$F$15:$F$82, MATCH($C13&amp;G$7, Consol!$D$15:$D$82,0))/mill_conv)</f>
        <v/>
      </c>
      <c r="H13" s="102" t="str">
        <f>IF(Data!$C13, "", INDEX(Consol!$F$15:$F$82, MATCH($C13&amp;H$7, Consol!$D$15:$D$82,0))/mill_conv)</f>
        <v/>
      </c>
      <c r="I13" s="102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6"/>
      <c r="E14" s="246"/>
      <c r="F14" s="240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1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3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425" t="str">
        <f>INDEX($D$9:$D$13,MATCH(G18, $I$9:$I$13,0))</f>
        <v>Replace #1 transformer completed in 2027-2028</v>
      </c>
      <c r="E18" s="425"/>
      <c r="F18" s="425"/>
      <c r="G18" s="103">
        <f>_xlfn.MAXIFS(I9:I13, IF(compliance, Data!$F$9:$F$13, Data!$C$9:$C$13),FALSE)</f>
        <v>10.761259693042705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8">
        <f>output_dollars</f>
        <v>46203</v>
      </c>
      <c r="E29" s="184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4">
        <f>-INDEX(Consol!$I$15:$Q$82,MATCH($C$26&amp;$C30,Consol!$D$15:$D$82,0), MATCH(F$29, Consol!$I$9:$Q$9,0))/mill_conv</f>
        <v>5.6384499478436405</v>
      </c>
      <c r="G30" s="104">
        <f>-INDEX(Consol!$I$15:$Q$82,MATCH($C$26&amp;$C30,Consol!$D$15:$D$82,0), MATCH(G$29, Consol!$I$9:$Q$9,0))/mill_conv</f>
        <v>2.8192249739218203</v>
      </c>
      <c r="H30" s="104">
        <f>-INDEX(Consol!$I$15:$Q$82,MATCH($C$26&amp;$C30,Consol!$D$15:$D$82,0), MATCH(H$29, Consol!$I$9:$Q$9,0))/mill_conv</f>
        <v>0</v>
      </c>
      <c r="I30" s="104">
        <f>-INDEX(Consol!$I$15:$Q$82,MATCH($C$26&amp;$C30,Consol!$D$15:$D$82,0), MATCH(I$29, Consol!$I$9:$Q$9,0))/mill_conv</f>
        <v>0</v>
      </c>
      <c r="J30" s="104">
        <f>-INDEX(Consol!$I$15:$Q$82,MATCH($C$26&amp;$C30,Consol!$D$15:$D$82,0), MATCH(J$29, Consol!$I$9:$Q$9,0))/mill_conv</f>
        <v>0</v>
      </c>
      <c r="K30" s="185"/>
      <c r="L30" s="185">
        <f>SUM(F30:J30)</f>
        <v>8.4576749217654612</v>
      </c>
    </row>
    <row r="31" spans="1:13" s="8" customFormat="1" ht="12.75" x14ac:dyDescent="0.2">
      <c r="C31" s="4" t="s">
        <v>31</v>
      </c>
      <c r="D31" s="28"/>
      <c r="E31" s="28"/>
      <c r="F31" s="104">
        <f>-INDEX(Consol!$I$15:$Q$82,MATCH($C$26&amp;$C31,Consol!$D$15:$D$82,0), MATCH(F$29, Consol!$I$9:$Q$9,0))/mill_conv</f>
        <v>0</v>
      </c>
      <c r="G31" s="104">
        <f>-INDEX(Consol!$I$15:$Q$82,MATCH($C$26&amp;$C31,Consol!$D$15:$D$82,0), MATCH(G$29, Consol!$I$9:$Q$9,0))/mill_conv</f>
        <v>0</v>
      </c>
      <c r="H31" s="104">
        <f>-INDEX(Consol!$I$15:$Q$82,MATCH($C$26&amp;$C31,Consol!$D$15:$D$82,0), MATCH(H$29, Consol!$I$9:$Q$9,0))/mill_conv</f>
        <v>0</v>
      </c>
      <c r="I31" s="104">
        <f>-INDEX(Consol!$I$15:$Q$82,MATCH($C$26&amp;$C31,Consol!$D$15:$D$82,0), MATCH(I$29, Consol!$I$9:$Q$9,0))/mill_conv</f>
        <v>0</v>
      </c>
      <c r="J31" s="104">
        <f>-INDEX(Consol!$I$15:$Q$82,MATCH($C$26&amp;$C31,Consol!$D$15:$D$82,0), MATCH(J$29, Consol!$I$9:$Q$9,0))/mill_conv</f>
        <v>0</v>
      </c>
      <c r="K31" s="185"/>
      <c r="L31" s="185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21" t="s">
        <v>239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</row>
    <row r="66" spans="3:13" s="8" customFormat="1" ht="12.75" x14ac:dyDescent="0.2">
      <c r="C66" s="256" t="s">
        <v>220</v>
      </c>
      <c r="D66" s="184">
        <f>output_dollars</f>
        <v>46203</v>
      </c>
      <c r="E66" s="184"/>
      <c r="F66" s="257" t="str">
        <f>Sensitivity_calcs!C89</f>
        <v>Option 1 (base case)</v>
      </c>
      <c r="G66" s="257" t="str">
        <f>Sensitivity_calcs!D89</f>
        <v>Option 2</v>
      </c>
      <c r="H66" s="257" t="str">
        <f>Sensitivity_calcs!E89</f>
        <v>Option 3</v>
      </c>
      <c r="I66" s="257" t="str">
        <f>Sensitivity_calcs!F89</f>
        <v>Option 4</v>
      </c>
      <c r="J66" s="257" t="str">
        <f>Sensitivity_calcs!G89</f>
        <v>Option 5</v>
      </c>
      <c r="K66" s="261"/>
      <c r="L66" s="286" t="s">
        <v>218</v>
      </c>
      <c r="M66" s="261"/>
    </row>
    <row r="67" spans="3:13" s="8" customFormat="1" ht="12.75" x14ac:dyDescent="0.2">
      <c r="C67" s="284" t="str">
        <f>Sensitivity_calcs!B90</f>
        <v>None</v>
      </c>
      <c r="D67" s="264"/>
      <c r="E67" s="264"/>
      <c r="F67" s="285">
        <f>Sensitivity_calcs!C90</f>
        <v>0</v>
      </c>
      <c r="G67" s="285">
        <f>Sensitivity_calcs!D90</f>
        <v>10.761259693042705</v>
      </c>
      <c r="H67" s="285">
        <f>Sensitivity_calcs!E90</f>
        <v>0.53014671347472875</v>
      </c>
      <c r="I67" s="285" t="str">
        <f>Sensitivity_calcs!F90</f>
        <v/>
      </c>
      <c r="J67" s="285" t="str">
        <f>Sensitivity_calcs!G90</f>
        <v/>
      </c>
      <c r="K67" s="255"/>
      <c r="L67" s="287" t="str">
        <f>Sensitivity_calcs!K90</f>
        <v>Option 2</v>
      </c>
      <c r="M67" s="255"/>
    </row>
    <row r="68" spans="3:13" s="8" customFormat="1" ht="12.75" x14ac:dyDescent="0.2">
      <c r="C68" s="263" t="str">
        <f>Sensitivity_calcs!B91</f>
        <v>Capex 10% higher</v>
      </c>
      <c r="D68" s="263"/>
      <c r="E68" s="263"/>
      <c r="F68" s="277">
        <f>Sensitivity_calcs!C91</f>
        <v>0</v>
      </c>
      <c r="G68" s="272">
        <f>Sensitivity_calcs!D91</f>
        <v>10.286752958454962</v>
      </c>
      <c r="H68" s="272">
        <f>Sensitivity_calcs!E91</f>
        <v>0.47545004093566651</v>
      </c>
      <c r="I68" s="272" t="str">
        <f>Sensitivity_calcs!F91</f>
        <v/>
      </c>
      <c r="J68" s="272" t="str">
        <f>Sensitivity_calcs!G91</f>
        <v/>
      </c>
      <c r="K68" s="255"/>
      <c r="L68" s="280" t="str">
        <f>Sensitivity_calcs!K91</f>
        <v>Option 2</v>
      </c>
      <c r="M68" s="255"/>
    </row>
    <row r="69" spans="3:13" s="8" customFormat="1" ht="12.75" x14ac:dyDescent="0.2">
      <c r="C69" s="263" t="str">
        <f>Sensitivity_calcs!B92</f>
        <v>Capex 10% lower</v>
      </c>
      <c r="D69" s="263"/>
      <c r="E69" s="263"/>
      <c r="F69" s="278">
        <f>Sensitivity_calcs!C92</f>
        <v>0</v>
      </c>
      <c r="G69" s="273">
        <f>Sensitivity_calcs!D92</f>
        <v>11.235766427630448</v>
      </c>
      <c r="H69" s="273">
        <f>Sensitivity_calcs!E92</f>
        <v>0.58484338601379093</v>
      </c>
      <c r="I69" s="273" t="str">
        <f>Sensitivity_calcs!F92</f>
        <v/>
      </c>
      <c r="J69" s="273" t="str">
        <f>Sensitivity_calcs!G92</f>
        <v/>
      </c>
      <c r="K69" s="255"/>
      <c r="L69" s="280" t="str">
        <f>Sensitivity_calcs!K92</f>
        <v>Option 2</v>
      </c>
      <c r="M69" s="255"/>
    </row>
    <row r="70" spans="3:13" s="8" customFormat="1" ht="12.75" x14ac:dyDescent="0.2">
      <c r="C70" s="263" t="str">
        <f>Sensitivity_calcs!B93</f>
        <v>Total benefits 10% higher</v>
      </c>
      <c r="D70" s="263"/>
      <c r="E70" s="263"/>
      <c r="F70" s="278">
        <f>Sensitivity_calcs!C93</f>
        <v>0</v>
      </c>
      <c r="G70" s="273">
        <f>Sensitivity_calcs!D93</f>
        <v>12.311892396934725</v>
      </c>
      <c r="H70" s="273">
        <f>Sensitivity_calcs!E93</f>
        <v>0.63785805736126377</v>
      </c>
      <c r="I70" s="273" t="str">
        <f>Sensitivity_calcs!F93</f>
        <v/>
      </c>
      <c r="J70" s="273" t="str">
        <f>Sensitivity_calcs!G93</f>
        <v/>
      </c>
      <c r="K70" s="255"/>
      <c r="L70" s="280" t="str">
        <f>Sensitivity_calcs!K93</f>
        <v>Option 2</v>
      </c>
      <c r="M70" s="255"/>
    </row>
    <row r="71" spans="3:13" s="8" customFormat="1" ht="12.75" x14ac:dyDescent="0.2">
      <c r="C71" s="263" t="str">
        <f>Sensitivity_calcs!B94</f>
        <v>Total benefits 10% lower</v>
      </c>
      <c r="D71" s="263"/>
      <c r="E71" s="263"/>
      <c r="F71" s="278">
        <f>Sensitivity_calcs!C94</f>
        <v>0</v>
      </c>
      <c r="G71" s="273">
        <f>Sensitivity_calcs!D94</f>
        <v>9.2106269891506898</v>
      </c>
      <c r="H71" s="273">
        <f>Sensitivity_calcs!E94</f>
        <v>0.42243536958819367</v>
      </c>
      <c r="I71" s="273" t="str">
        <f>Sensitivity_calcs!F94</f>
        <v/>
      </c>
      <c r="J71" s="273" t="str">
        <f>Sensitivity_calcs!G94</f>
        <v/>
      </c>
      <c r="K71" s="255"/>
      <c r="L71" s="280" t="str">
        <f>Sensitivity_calcs!K94</f>
        <v>Option 2</v>
      </c>
      <c r="M71" s="255"/>
    </row>
    <row r="72" spans="3:13" s="8" customFormat="1" ht="12.75" x14ac:dyDescent="0.2">
      <c r="C72" s="263" t="str">
        <f>Sensitivity_calcs!B95</f>
        <v>Capex 10% higher &amp; Total benefits 10% lower</v>
      </c>
      <c r="D72" s="263"/>
      <c r="E72" s="263"/>
      <c r="F72" s="278">
        <f>Sensitivity_calcs!C95</f>
        <v>0</v>
      </c>
      <c r="G72" s="273">
        <f>Sensitivity_calcs!D95</f>
        <v>8.7361202545629446</v>
      </c>
      <c r="H72" s="273">
        <f>Sensitivity_calcs!E95</f>
        <v>0.36773869704913148</v>
      </c>
      <c r="I72" s="273" t="str">
        <f>Sensitivity_calcs!F95</f>
        <v/>
      </c>
      <c r="J72" s="273" t="str">
        <f>Sensitivity_calcs!G95</f>
        <v/>
      </c>
      <c r="K72" s="255"/>
      <c r="L72" s="280" t="str">
        <f>Sensitivity_calcs!K95</f>
        <v>Option 2</v>
      </c>
      <c r="M72" s="255"/>
    </row>
    <row r="73" spans="3:13" s="8" customFormat="1" ht="12.75" x14ac:dyDescent="0.2">
      <c r="C73" s="263">
        <f>Sensitivity_calcs!B96</f>
        <v>0</v>
      </c>
      <c r="D73" s="263"/>
      <c r="E73" s="263"/>
      <c r="F73" s="278" t="str">
        <f>Sensitivity_calcs!C96</f>
        <v/>
      </c>
      <c r="G73" s="273" t="str">
        <f>Sensitivity_calcs!D96</f>
        <v/>
      </c>
      <c r="H73" s="273" t="str">
        <f>Sensitivity_calcs!E96</f>
        <v/>
      </c>
      <c r="I73" s="273" t="str">
        <f>Sensitivity_calcs!F96</f>
        <v/>
      </c>
      <c r="J73" s="273" t="str">
        <f>Sensitivity_calcs!G96</f>
        <v/>
      </c>
      <c r="K73" s="255"/>
      <c r="L73" s="280" t="str">
        <f>Sensitivity_calcs!K96</f>
        <v/>
      </c>
      <c r="M73" s="255"/>
    </row>
    <row r="74" spans="3:13" s="8" customFormat="1" ht="12.75" x14ac:dyDescent="0.2">
      <c r="C74" s="263">
        <f>Sensitivity_calcs!B97</f>
        <v>0</v>
      </c>
      <c r="D74" s="258"/>
      <c r="E74" s="258"/>
      <c r="F74" s="278" t="str">
        <f>Sensitivity_calcs!C97</f>
        <v/>
      </c>
      <c r="G74" s="273" t="str">
        <f>Sensitivity_calcs!D97</f>
        <v/>
      </c>
      <c r="H74" s="273" t="str">
        <f>Sensitivity_calcs!E97</f>
        <v/>
      </c>
      <c r="I74" s="273" t="str">
        <f>Sensitivity_calcs!F97</f>
        <v/>
      </c>
      <c r="J74" s="273" t="str">
        <f>Sensitivity_calcs!G97</f>
        <v/>
      </c>
      <c r="K74" s="265">
        <f>IF(C74=0,0, INDEX($F$66:$J$66, MATCH(MAX($F74:$I74),$F74:$I74,0)))</f>
        <v>0</v>
      </c>
      <c r="L74" s="280" t="str">
        <f>Sensitivity_calcs!K97</f>
        <v/>
      </c>
    </row>
    <row r="75" spans="3:13" s="8" customFormat="1" ht="12.75" x14ac:dyDescent="0.2">
      <c r="D75" s="263">
        <f>Sensitivity_calcs!B98</f>
        <v>0</v>
      </c>
      <c r="E75" s="263"/>
      <c r="F75" s="278" t="str">
        <f>Sensitivity_calcs!C98</f>
        <v/>
      </c>
      <c r="G75" s="273" t="str">
        <f>Sensitivity_calcs!D98</f>
        <v/>
      </c>
      <c r="H75" s="273" t="str">
        <f>Sensitivity_calcs!E98</f>
        <v/>
      </c>
      <c r="I75" s="273" t="str">
        <f>Sensitivity_calcs!F98</f>
        <v/>
      </c>
      <c r="J75" s="273" t="str">
        <f>Sensitivity_calcs!G98</f>
        <v/>
      </c>
      <c r="K75" s="255"/>
      <c r="L75" s="280" t="str">
        <f>Sensitivity_calcs!K98</f>
        <v/>
      </c>
      <c r="M75" s="255"/>
    </row>
    <row r="76" spans="3:13" s="8" customFormat="1" ht="12.75" x14ac:dyDescent="0.2">
      <c r="D76" s="263">
        <f>Sensitivity_calcs!B99</f>
        <v>0</v>
      </c>
      <c r="E76" s="263"/>
      <c r="F76" s="279"/>
      <c r="G76" s="104"/>
      <c r="H76" s="104"/>
      <c r="I76" s="104"/>
      <c r="J76" s="104"/>
      <c r="K76" s="255"/>
      <c r="L76" s="255"/>
    </row>
    <row r="77" spans="3:13" s="8" customFormat="1" ht="12.75" x14ac:dyDescent="0.2">
      <c r="F77" s="262"/>
      <c r="G77" s="104"/>
      <c r="H77" s="104"/>
      <c r="I77" s="104"/>
      <c r="J77" s="104"/>
    </row>
    <row r="78" spans="3:13" s="8" customFormat="1" ht="12.75" x14ac:dyDescent="0.2">
      <c r="F78" s="262"/>
      <c r="G78" s="262"/>
      <c r="H78" s="262"/>
      <c r="I78" s="262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3"/>
      <c r="E81" s="243"/>
      <c r="F81" s="243"/>
    </row>
    <row r="82" spans="4:6" s="8" customFormat="1" ht="12.75" x14ac:dyDescent="0.2">
      <c r="D82" s="243"/>
      <c r="E82" s="243"/>
      <c r="F82" s="243"/>
    </row>
    <row r="83" spans="4:6" s="8" customFormat="1" ht="12.75" hidden="1" x14ac:dyDescent="0.2">
      <c r="D83" s="243"/>
      <c r="E83" s="243"/>
      <c r="F83" s="243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NC transformer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433" t="s">
        <v>327</v>
      </c>
      <c r="F8" s="433"/>
      <c r="G8" s="433"/>
      <c r="H8" s="433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434" t="s">
        <v>58</v>
      </c>
      <c r="F14" s="434"/>
      <c r="G14" s="434"/>
      <c r="H14" s="434"/>
      <c r="I14" s="434"/>
      <c r="J14" s="434"/>
      <c r="K14" s="434"/>
      <c r="L14"/>
    </row>
    <row r="15" spans="1:16" s="1" customFormat="1" ht="12.75" customHeight="1" x14ac:dyDescent="0.2">
      <c r="C15" s="61" t="str">
        <v>Option 2</v>
      </c>
      <c r="D15" s="61"/>
      <c r="E15" s="435" t="s">
        <v>328</v>
      </c>
      <c r="F15" s="435"/>
      <c r="G15" s="435"/>
      <c r="H15" s="435"/>
      <c r="I15" s="435"/>
      <c r="J15" s="435"/>
      <c r="K15" s="435"/>
      <c r="L15"/>
    </row>
    <row r="16" spans="1:16" s="1" customFormat="1" ht="12.75" customHeight="1" x14ac:dyDescent="0.2">
      <c r="C16" s="61" t="str">
        <v>Option 3</v>
      </c>
      <c r="D16" s="61"/>
      <c r="E16" s="435" t="s">
        <v>329</v>
      </c>
      <c r="F16" s="435"/>
      <c r="G16" s="435"/>
      <c r="H16" s="435"/>
      <c r="I16" s="435"/>
      <c r="J16" s="435"/>
      <c r="K16" s="435"/>
      <c r="L16"/>
    </row>
    <row r="17" spans="1:16" s="1" customFormat="1" ht="12.75" customHeight="1" x14ac:dyDescent="0.2">
      <c r="C17" s="61" t="str">
        <v>Option 4</v>
      </c>
      <c r="D17" s="61"/>
      <c r="E17" s="435"/>
      <c r="F17" s="435"/>
      <c r="G17" s="435"/>
      <c r="H17" s="435"/>
      <c r="I17" s="435"/>
      <c r="J17" s="435"/>
      <c r="K17" s="435"/>
      <c r="L17"/>
    </row>
    <row r="18" spans="1:16" s="1" customFormat="1" ht="12.75" customHeight="1" x14ac:dyDescent="0.2">
      <c r="C18" s="61" t="str">
        <v>Option 5</v>
      </c>
      <c r="D18" s="61"/>
      <c r="E18" s="435"/>
      <c r="F18" s="435"/>
      <c r="G18" s="435"/>
      <c r="H18" s="435"/>
      <c r="I18" s="435"/>
      <c r="J18" s="435"/>
      <c r="K18" s="435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89" t="s">
        <v>223</v>
      </c>
      <c r="D20"/>
      <c r="E20" s="290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95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1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2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3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04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0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2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7" customFormat="1" x14ac:dyDescent="0.2">
      <c r="A41" s="126"/>
      <c r="B41" s="126"/>
      <c r="C41" s="1" t="s">
        <v>245</v>
      </c>
      <c r="D41" s="239" t="s">
        <v>246</v>
      </c>
      <c r="E41" s="324" t="s">
        <v>330</v>
      </c>
      <c r="F41" s="325"/>
      <c r="G41" s="326" t="s">
        <v>331</v>
      </c>
      <c r="H41" s="130">
        <v>35890.696556723749</v>
      </c>
      <c r="I41" s="327" t="s">
        <v>215</v>
      </c>
      <c r="J41" s="126"/>
      <c r="M41" s="126"/>
      <c r="N41" s="126"/>
      <c r="O41" s="126"/>
      <c r="P41" s="126"/>
      <c r="Q41" s="126"/>
      <c r="R41" s="126"/>
      <c r="S41" s="126"/>
      <c r="T41" s="126"/>
    </row>
    <row r="42" spans="1:20" s="127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6"/>
      <c r="N42" s="126"/>
      <c r="O42" s="126"/>
      <c r="P42" s="126"/>
      <c r="Q42" s="126"/>
      <c r="R42" s="126"/>
      <c r="S42" s="126"/>
      <c r="T42" s="126"/>
    </row>
    <row r="43" spans="1:20" s="127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6"/>
      <c r="N43" s="126"/>
      <c r="O43" s="126"/>
      <c r="P43" s="126"/>
      <c r="Q43" s="126"/>
      <c r="R43" s="126"/>
      <c r="S43" s="126"/>
      <c r="T43" s="126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05">
        <v>5400000</v>
      </c>
      <c r="H50" s="69">
        <v>45107</v>
      </c>
    </row>
    <row r="52" spans="3:8" x14ac:dyDescent="0.2">
      <c r="C52" s="8" t="s">
        <v>165</v>
      </c>
      <c r="G52" s="163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3">
        <f>Data!F85</f>
        <v>1</v>
      </c>
    </row>
    <row r="56" spans="3:8" x14ac:dyDescent="0.2">
      <c r="C56" s="8" t="str">
        <f>Data!B86</f>
        <v>Harm to property from bushfire</v>
      </c>
      <c r="G56" s="303">
        <f>Data!F86</f>
        <v>1</v>
      </c>
    </row>
    <row r="57" spans="3:8" x14ac:dyDescent="0.2">
      <c r="C57" s="8" t="str">
        <f>Data!B87</f>
        <v>Harm to environment</v>
      </c>
      <c r="G57" s="303">
        <f>Data!F87</f>
        <v>1</v>
      </c>
    </row>
    <row r="58" spans="3:8" x14ac:dyDescent="0.2">
      <c r="C58" s="8" t="str">
        <f>Data!B88</f>
        <v>Safety - Public trespass</v>
      </c>
      <c r="G58" s="303">
        <f>Data!F88</f>
        <v>1</v>
      </c>
    </row>
    <row r="59" spans="3:8" x14ac:dyDescent="0.2">
      <c r="C59" s="8" t="str">
        <f>Data!B89</f>
        <v>Safety - Single fatality or serious injury ^</v>
      </c>
      <c r="G59" s="303">
        <f>Data!F89</f>
        <v>3</v>
      </c>
    </row>
    <row r="60" spans="3:8" x14ac:dyDescent="0.2">
      <c r="C60" s="8" t="str">
        <f>Data!B90</f>
        <v>Safety from bushfire in HBRA</v>
      </c>
      <c r="G60" s="303">
        <f>Data!F90</f>
        <v>3</v>
      </c>
    </row>
    <row r="61" spans="3:8" x14ac:dyDescent="0.2">
      <c r="C61" s="8" t="str">
        <f>Data!B91</f>
        <v>Safety - Multiple fatality or serious injury ^</v>
      </c>
      <c r="G61" s="303">
        <f>Data!F91</f>
        <v>6</v>
      </c>
    </row>
    <row r="62" spans="3:8" x14ac:dyDescent="0.2">
      <c r="C62" s="8" t="str">
        <f>Data!B92</f>
        <v>Safety from bushfire (REFCL declared areas)</v>
      </c>
      <c r="G62" s="303">
        <f>Data!F92</f>
        <v>6</v>
      </c>
    </row>
    <row r="63" spans="3:8" x14ac:dyDescent="0.2">
      <c r="C63" s="8" t="str">
        <f>Data!B93</f>
        <v>Safety from bushfire (electric line construction areas)</v>
      </c>
      <c r="G63" s="303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56" t="s">
        <v>68</v>
      </c>
      <c r="H69" s="156" t="s">
        <v>166</v>
      </c>
      <c r="I69" s="156" t="s">
        <v>180</v>
      </c>
      <c r="J69" s="155" t="s">
        <v>184</v>
      </c>
      <c r="K69" s="156"/>
      <c r="L69" s="156"/>
      <c r="M69" s="156"/>
    </row>
    <row r="70" spans="2:16" x14ac:dyDescent="0.2">
      <c r="C70" s="8" t="s">
        <v>167</v>
      </c>
      <c r="G70" s="157">
        <f>G50*INDEX(hy_escalation, MATCH(input_dollars,hy_dates,0))/INDEX(hy_escalation, MATCH(H50,hy_dates,0))</f>
        <v>5607473.5197347086</v>
      </c>
      <c r="H70" s="162">
        <v>0</v>
      </c>
      <c r="I70" s="164">
        <v>0</v>
      </c>
      <c r="J70" s="430">
        <v>0</v>
      </c>
      <c r="K70" s="431"/>
      <c r="L70" s="431"/>
      <c r="M70" s="432"/>
    </row>
    <row r="71" spans="2:16" x14ac:dyDescent="0.2">
      <c r="C71" s="8" t="s">
        <v>168</v>
      </c>
      <c r="G71" s="157">
        <f>G52*INDEX(hy_escalation, MATCH(input_dollars,hy_dates,0))/INDEX(hy_escalation, MATCH(H52,hy_dates,0))</f>
        <v>0</v>
      </c>
      <c r="H71" s="161">
        <v>0</v>
      </c>
      <c r="I71" s="164">
        <v>0</v>
      </c>
      <c r="J71" s="430">
        <v>0</v>
      </c>
      <c r="K71" s="431"/>
      <c r="L71" s="431"/>
      <c r="M71" s="432"/>
    </row>
    <row r="72" spans="2:16" x14ac:dyDescent="0.2">
      <c r="I72" s="160"/>
      <c r="M72"/>
    </row>
    <row r="73" spans="2:16" x14ac:dyDescent="0.2">
      <c r="G73" s="165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3">
        <v>0</v>
      </c>
      <c r="H78" s="69">
        <f>input_dollars</f>
        <v>45291</v>
      </c>
    </row>
    <row r="79" spans="2:16" x14ac:dyDescent="0.2">
      <c r="C79" s="8" t="s">
        <v>170</v>
      </c>
      <c r="G79" s="153">
        <v>0</v>
      </c>
      <c r="H79" s="69">
        <f>input_dollars</f>
        <v>45291</v>
      </c>
    </row>
    <row r="81" spans="1:16" x14ac:dyDescent="0.2">
      <c r="C81" s="8" t="s">
        <v>171</v>
      </c>
      <c r="G81" s="158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6">
        <v>2.4730486797759084E-2</v>
      </c>
      <c r="L90" s="306">
        <v>2.2340740091772258E-2</v>
      </c>
      <c r="M90" s="306">
        <v>2.0196329122153123E-2</v>
      </c>
      <c r="N90" s="306">
        <v>1.806294207659629E-2</v>
      </c>
      <c r="O90" s="306">
        <v>1.5913397615084226E-2</v>
      </c>
      <c r="P90" s="306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5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5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5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6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6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6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6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6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0"/>
      <c r="C110" s="297"/>
      <c r="D110" s="59"/>
      <c r="E110" s="298"/>
      <c r="F110" s="297"/>
      <c r="G110" s="297" t="s">
        <v>17</v>
      </c>
      <c r="H110" s="297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6"/>
      <c r="G111" s="307">
        <v>0.1</v>
      </c>
      <c r="H111" s="307">
        <v>0</v>
      </c>
      <c r="I111" s="260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6"/>
      <c r="G112" s="307">
        <v>-0.1</v>
      </c>
      <c r="H112" s="307">
        <v>0</v>
      </c>
      <c r="I112" s="260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6"/>
      <c r="G113" s="308">
        <v>0</v>
      </c>
      <c r="H113" s="307">
        <v>0.1</v>
      </c>
      <c r="I113" s="260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6"/>
      <c r="G114" s="308">
        <v>0</v>
      </c>
      <c r="H114" s="307">
        <v>-0.1</v>
      </c>
      <c r="I114" s="260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6"/>
      <c r="G115" s="307">
        <v>0.1</v>
      </c>
      <c r="H115" s="307">
        <v>-0.1</v>
      </c>
      <c r="I115" s="260"/>
      <c r="J115"/>
      <c r="K115"/>
      <c r="L115"/>
      <c r="M115"/>
      <c r="N115"/>
      <c r="O115"/>
      <c r="P115"/>
    </row>
    <row r="116" spans="2:16" x14ac:dyDescent="0.2">
      <c r="E116" s="266"/>
      <c r="H116"/>
      <c r="I116"/>
      <c r="J116"/>
      <c r="K116"/>
      <c r="L116"/>
      <c r="M116"/>
      <c r="N116"/>
      <c r="O116"/>
      <c r="P116"/>
    </row>
    <row r="117" spans="2:16" x14ac:dyDescent="0.2">
      <c r="E117" s="259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NC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142</v>
      </c>
      <c r="B3" s="5"/>
      <c r="C3" s="133"/>
      <c r="D3" s="94"/>
    </row>
    <row r="4" spans="1:43" x14ac:dyDescent="0.2">
      <c r="A4" s="166"/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">
        <v>92</v>
      </c>
      <c r="B6" s="97"/>
      <c r="C6" s="98"/>
      <c r="D6" s="97"/>
      <c r="E6" s="99"/>
      <c r="F6" s="99"/>
      <c r="G6" s="99"/>
      <c r="H6" s="150">
        <v>0</v>
      </c>
      <c r="I6" s="100">
        <f t="shared" ref="I6:AG6" si="0">H6+1</f>
        <v>1</v>
      </c>
      <c r="J6" s="100">
        <f t="shared" si="0"/>
        <v>2</v>
      </c>
      <c r="K6" s="100">
        <f t="shared" si="0"/>
        <v>3</v>
      </c>
      <c r="L6" s="100">
        <f t="shared" si="0"/>
        <v>4</v>
      </c>
      <c r="M6" s="100">
        <f t="shared" si="0"/>
        <v>5</v>
      </c>
      <c r="N6" s="100">
        <f t="shared" si="0"/>
        <v>6</v>
      </c>
      <c r="O6" s="100">
        <f t="shared" si="0"/>
        <v>7</v>
      </c>
      <c r="P6" s="100">
        <f t="shared" si="0"/>
        <v>8</v>
      </c>
      <c r="Q6" s="100">
        <f t="shared" si="0"/>
        <v>9</v>
      </c>
      <c r="R6" s="100">
        <f t="shared" si="0"/>
        <v>10</v>
      </c>
      <c r="S6" s="100">
        <f t="shared" si="0"/>
        <v>11</v>
      </c>
      <c r="T6" s="100">
        <f t="shared" si="0"/>
        <v>12</v>
      </c>
      <c r="U6" s="100">
        <f t="shared" si="0"/>
        <v>13</v>
      </c>
      <c r="V6" s="100">
        <f t="shared" si="0"/>
        <v>14</v>
      </c>
      <c r="W6" s="100">
        <f t="shared" si="0"/>
        <v>15</v>
      </c>
      <c r="X6" s="100">
        <f t="shared" si="0"/>
        <v>16</v>
      </c>
      <c r="Y6" s="100">
        <f t="shared" si="0"/>
        <v>17</v>
      </c>
      <c r="Z6" s="100">
        <f t="shared" si="0"/>
        <v>18</v>
      </c>
      <c r="AA6" s="100">
        <f t="shared" si="0"/>
        <v>19</v>
      </c>
      <c r="AB6" s="100">
        <f t="shared" si="0"/>
        <v>20</v>
      </c>
      <c r="AC6" s="100">
        <f t="shared" si="0"/>
        <v>21</v>
      </c>
      <c r="AD6" s="100">
        <f t="shared" si="0"/>
        <v>22</v>
      </c>
      <c r="AE6" s="100">
        <f t="shared" si="0"/>
        <v>23</v>
      </c>
      <c r="AF6" s="100">
        <f t="shared" si="0"/>
        <v>24</v>
      </c>
      <c r="AG6" s="100">
        <f t="shared" si="0"/>
        <v>25</v>
      </c>
    </row>
    <row r="7" spans="1:43" hidden="1" outlineLevel="1" x14ac:dyDescent="0.2">
      <c r="A7" s="97" t="s">
        <v>127</v>
      </c>
      <c r="B7" s="97"/>
      <c r="G7" s="159" t="s">
        <v>63</v>
      </c>
      <c r="I7" s="98">
        <f>IF(ISBLANK(Assumptions!K90), H7,Assumptions!K90*thous_conv)</f>
        <v>24.730486797759085</v>
      </c>
      <c r="J7" s="98">
        <f>IF(ISBLANK(Assumptions!L90), I7,Assumptions!L90*thous_conv)</f>
        <v>22.340740091772258</v>
      </c>
      <c r="K7" s="98">
        <f>IF(ISBLANK(Assumptions!M90), J7,Assumptions!M90*thous_conv)</f>
        <v>20.196329122153124</v>
      </c>
      <c r="L7" s="98">
        <f>IF(ISBLANK(Assumptions!N90), K7,Assumptions!N90*thous_conv)</f>
        <v>18.06294207659629</v>
      </c>
      <c r="M7" s="98">
        <f>IF(ISBLANK(Assumptions!O90), L7,Assumptions!O90*thous_conv)</f>
        <v>15.913397615084225</v>
      </c>
      <c r="N7" s="98">
        <f>IF(ISBLANK(Assumptions!P90), M7,Assumptions!P90*thous_conv)</f>
        <v>13.715069432539002</v>
      </c>
      <c r="O7" s="98">
        <f>IF(ISBLANK(Assumptions!Q90), N7,Assumptions!Q90*thous_conv)</f>
        <v>13.715069432539002</v>
      </c>
      <c r="P7" s="98">
        <f>IF(ISBLANK(Assumptions!R90), O7,Assumptions!R90*thous_conv)</f>
        <v>13.715069432539002</v>
      </c>
      <c r="Q7" s="98">
        <f>IF(ISBLANK(Assumptions!S90), P7,Assumptions!S90*thous_conv)</f>
        <v>13.715069432539002</v>
      </c>
      <c r="R7" s="98">
        <f>IF(ISBLANK(Assumptions!T90), Q7,Assumptions!T90*thous_conv)</f>
        <v>13.715069432539002</v>
      </c>
      <c r="S7" s="98">
        <f>IF(ISBLANK(Assumptions!U90), R7,Assumptions!U90*thous_conv)</f>
        <v>13.715069432539002</v>
      </c>
      <c r="T7" s="98">
        <f>IF(ISBLANK(Assumptions!V90), S7,Assumptions!V90*thous_conv)</f>
        <v>13.715069432539002</v>
      </c>
      <c r="U7" s="98">
        <f>IF(ISBLANK(Assumptions!W90), T7,Assumptions!W90*thous_conv)</f>
        <v>13.715069432539002</v>
      </c>
      <c r="V7" s="98">
        <f>IF(ISBLANK(Assumptions!X90), U7,Assumptions!X90*thous_conv)</f>
        <v>13.715069432539002</v>
      </c>
      <c r="W7" s="98">
        <f>IF(ISBLANK(Assumptions!Y90), V7,Assumptions!Y90*thous_conv)</f>
        <v>13.715069432539002</v>
      </c>
      <c r="X7" s="98">
        <f>IF(ISBLANK(Assumptions!Z90), W7,Assumptions!Z90*thous_conv)</f>
        <v>13.715069432539002</v>
      </c>
      <c r="Y7" s="98">
        <f>IF(ISBLANK(Assumptions!AA90), X7,Assumptions!AA90*thous_conv)</f>
        <v>13.715069432539002</v>
      </c>
      <c r="Z7" s="98">
        <f>IF(ISBLANK(Assumptions!AB90), Y7,Assumptions!AB90*thous_conv)</f>
        <v>13.715069432539002</v>
      </c>
      <c r="AA7" s="98">
        <f>IF(ISBLANK(Assumptions!AC90), Z7,Assumptions!AC90*thous_conv)</f>
        <v>13.715069432539002</v>
      </c>
      <c r="AB7" s="98">
        <f>IF(ISBLANK(Assumptions!AD90), AA7,Assumptions!AD90*thous_conv)</f>
        <v>13.715069432539002</v>
      </c>
      <c r="AC7" s="98">
        <f>IF(ISBLANK(Assumptions!AE90), AB7,Assumptions!AE90*thous_conv)</f>
        <v>13.715069432539002</v>
      </c>
      <c r="AD7" s="98">
        <f>IF(ISBLANK(Assumptions!AF90), AC7,Assumptions!AF90*thous_conv)</f>
        <v>13.715069432539002</v>
      </c>
      <c r="AE7" s="98">
        <f>IF(ISBLANK(Assumptions!AG90), AD7,Assumptions!AG90*thous_conv)</f>
        <v>13.715069432539002</v>
      </c>
      <c r="AF7" s="98">
        <f>IF(ISBLANK(Assumptions!AH90), AE7,Assumptions!AH90*thous_conv)</f>
        <v>13.715069432539002</v>
      </c>
      <c r="AG7" s="98">
        <f>IF(ISBLANK(Assumptions!AI90), AF7,Assumptions!AI90*thous_conv)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0"/>
      <c r="B9" s="180"/>
      <c r="C9" s="180"/>
      <c r="D9" s="180"/>
      <c r="E9" s="180"/>
      <c r="F9" s="181"/>
      <c r="G9" s="180" t="s">
        <v>25</v>
      </c>
      <c r="H9" s="319">
        <f>DATE(LEFT(I9,4), 6,30)</f>
        <v>46203</v>
      </c>
      <c r="I9" s="182" t="str">
        <f>start</f>
        <v>2026-27</v>
      </c>
      <c r="J9" s="182" t="str">
        <f t="shared" ref="J9:AG9" si="1">LEFT(I9,4)+1&amp;"-"&amp;RIGHT(I9,2)+1</f>
        <v>2027-28</v>
      </c>
      <c r="K9" s="182" t="str">
        <f t="shared" si="1"/>
        <v>2028-29</v>
      </c>
      <c r="L9" s="182" t="str">
        <f t="shared" si="1"/>
        <v>2029-30</v>
      </c>
      <c r="M9" s="182" t="str">
        <f t="shared" si="1"/>
        <v>2030-31</v>
      </c>
      <c r="N9" s="182" t="str">
        <f t="shared" si="1"/>
        <v>2031-32</v>
      </c>
      <c r="O9" s="182" t="str">
        <f t="shared" si="1"/>
        <v>2032-33</v>
      </c>
      <c r="P9" s="182" t="str">
        <f t="shared" si="1"/>
        <v>2033-34</v>
      </c>
      <c r="Q9" s="182" t="str">
        <f t="shared" si="1"/>
        <v>2034-35</v>
      </c>
      <c r="R9" s="182" t="str">
        <f t="shared" si="1"/>
        <v>2035-36</v>
      </c>
      <c r="S9" s="182" t="str">
        <f t="shared" si="1"/>
        <v>2036-37</v>
      </c>
      <c r="T9" s="182" t="str">
        <f t="shared" si="1"/>
        <v>2037-38</v>
      </c>
      <c r="U9" s="182" t="str">
        <f t="shared" si="1"/>
        <v>2038-39</v>
      </c>
      <c r="V9" s="182" t="str">
        <f t="shared" si="1"/>
        <v>2039-40</v>
      </c>
      <c r="W9" s="182" t="str">
        <f t="shared" si="1"/>
        <v>2040-41</v>
      </c>
      <c r="X9" s="182" t="str">
        <f t="shared" si="1"/>
        <v>2041-42</v>
      </c>
      <c r="Y9" s="182" t="str">
        <f t="shared" si="1"/>
        <v>2042-43</v>
      </c>
      <c r="Z9" s="182" t="str">
        <f t="shared" si="1"/>
        <v>2043-44</v>
      </c>
      <c r="AA9" s="182" t="str">
        <f t="shared" si="1"/>
        <v>2044-45</v>
      </c>
      <c r="AB9" s="182" t="str">
        <f t="shared" si="1"/>
        <v>2045-46</v>
      </c>
      <c r="AC9" s="182" t="str">
        <f t="shared" si="1"/>
        <v>2046-47</v>
      </c>
      <c r="AD9" s="182" t="str">
        <f t="shared" si="1"/>
        <v>2047-48</v>
      </c>
      <c r="AE9" s="182" t="str">
        <f t="shared" si="1"/>
        <v>2048-49</v>
      </c>
      <c r="AF9" s="182" t="str">
        <f t="shared" si="1"/>
        <v>2049-50</v>
      </c>
      <c r="AG9" s="182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AB17" si="2">SUM(I14:I16)</f>
        <v>0</v>
      </c>
      <c r="J17" s="105">
        <f t="shared" si="2"/>
        <v>0</v>
      </c>
      <c r="K17" s="105">
        <f t="shared" si="2"/>
        <v>0</v>
      </c>
      <c r="L17" s="105">
        <f t="shared" si="2"/>
        <v>0</v>
      </c>
      <c r="M17" s="105">
        <f t="shared" si="2"/>
        <v>0</v>
      </c>
      <c r="N17" s="105">
        <f t="shared" si="2"/>
        <v>0</v>
      </c>
      <c r="O17" s="105">
        <f t="shared" si="2"/>
        <v>0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105">
        <f t="shared" si="2"/>
        <v>0</v>
      </c>
      <c r="U17" s="105">
        <f t="shared" si="2"/>
        <v>0</v>
      </c>
      <c r="V17" s="105">
        <f t="shared" si="2"/>
        <v>0</v>
      </c>
      <c r="W17" s="105">
        <f t="shared" si="2"/>
        <v>0</v>
      </c>
      <c r="X17" s="105">
        <f t="shared" si="2"/>
        <v>0</v>
      </c>
      <c r="Y17" s="105">
        <f t="shared" si="2"/>
        <v>0</v>
      </c>
      <c r="Z17" s="105">
        <f t="shared" si="2"/>
        <v>0</v>
      </c>
      <c r="AA17" s="105">
        <f t="shared" si="2"/>
        <v>0</v>
      </c>
      <c r="AB17" s="105">
        <f t="shared" si="2"/>
        <v>0</v>
      </c>
      <c r="AC17" s="105">
        <f>SUM(AC14:AC16)</f>
        <v>0</v>
      </c>
      <c r="AD17" s="105">
        <f>SUM(AD14:AD16)</f>
        <v>0</v>
      </c>
      <c r="AE17" s="105">
        <f>SUM(AE14:AE16)</f>
        <v>0</v>
      </c>
      <c r="AF17" s="105">
        <f>SUM(AF14:AF16)</f>
        <v>0</v>
      </c>
      <c r="AG17" s="105">
        <f>SUM(AG14:AG16)</f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135">
        <v>0</v>
      </c>
      <c r="Z24" s="135">
        <v>0</v>
      </c>
      <c r="AA24" s="135">
        <v>0</v>
      </c>
      <c r="AB24" s="135">
        <v>0</v>
      </c>
      <c r="AC24" s="135">
        <v>0</v>
      </c>
      <c r="AD24" s="135">
        <v>0</v>
      </c>
      <c r="AE24" s="135">
        <v>0</v>
      </c>
      <c r="AF24" s="135">
        <v>0</v>
      </c>
      <c r="AG24" s="135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35890.696556723749</v>
      </c>
      <c r="F28" s="237" t="str">
        <f>IF(AND(SUM(I27:AG27)&lt;&gt;0, E28=0), "!", "")</f>
        <v/>
      </c>
      <c r="G28" s="206">
        <f>input_dollars</f>
        <v>45291</v>
      </c>
      <c r="H28"/>
      <c r="I28" s="32">
        <f>Workings_risks!E11</f>
        <v>859354.77503484616</v>
      </c>
      <c r="J28" s="32">
        <f>Workings_risks!F11</f>
        <v>904351.73152310133</v>
      </c>
      <c r="K28" s="32">
        <f>Workings_risks!G11</f>
        <v>957039.73253107024</v>
      </c>
      <c r="L28" s="32">
        <f>Workings_risks!H11</f>
        <v>1010544.4225448999</v>
      </c>
      <c r="M28" s="32">
        <f>Workings_risks!I11</f>
        <v>1060311.0715302068</v>
      </c>
      <c r="N28" s="32">
        <f>Workings_risks!J11</f>
        <v>1112448.3669099128</v>
      </c>
      <c r="O28" s="32">
        <f>Workings_risks!K11</f>
        <v>1173081.2690906434</v>
      </c>
      <c r="P28" s="32">
        <f>Workings_risks!L11</f>
        <v>1243145.8494889606</v>
      </c>
      <c r="Q28" s="32">
        <f>Workings_risks!M11</f>
        <v>1300960.4193666072</v>
      </c>
      <c r="R28" s="32">
        <f>Workings_risks!N11</f>
        <v>1334326.5341563418</v>
      </c>
      <c r="S28" s="32">
        <f>Workings_risks!O11</f>
        <v>1368047.2256372187</v>
      </c>
      <c r="T28" s="32">
        <f>Workings_risks!P11</f>
        <v>1402121.2717193926</v>
      </c>
      <c r="U28" s="32">
        <f>Workings_risks!Q11</f>
        <v>1436547.4797425719</v>
      </c>
      <c r="V28" s="32">
        <f>Workings_risks!R11</f>
        <v>1471324.6855554748</v>
      </c>
      <c r="W28" s="32">
        <f>Workings_risks!S11</f>
        <v>1506451.7526373356</v>
      </c>
      <c r="X28" s="32">
        <f>Workings_risks!T11</f>
        <v>1541927.571259059</v>
      </c>
      <c r="Y28" s="32">
        <f>Workings_risks!U11</f>
        <v>1577751.0576816348</v>
      </c>
      <c r="Z28" s="32">
        <f>Workings_risks!V11</f>
        <v>1613921.1533897456</v>
      </c>
      <c r="AA28" s="32">
        <f>Workings_risks!W11</f>
        <v>1650436.8243585015</v>
      </c>
      <c r="AB28" s="32">
        <f>Workings_risks!X11</f>
        <v>1687297.0603515038</v>
      </c>
      <c r="AC28" s="32">
        <f>Workings_risks!Y11</f>
        <v>1724500.8742484988</v>
      </c>
      <c r="AD28" s="32">
        <f>Workings_risks!Z11</f>
        <v>1762047.3014009651</v>
      </c>
      <c r="AE28" s="32">
        <f>Workings_risks!AA11</f>
        <v>1799935.3990142036</v>
      </c>
      <c r="AF28" s="32">
        <f>Workings_risks!AB11</f>
        <v>1838164.2455544423</v>
      </c>
      <c r="AG28" s="32">
        <f>Workings_risks!AC11</f>
        <v>1876732.9401797226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Workings_risks!D12</f>
        <v>Safety risk</v>
      </c>
      <c r="D30" s="204" t="s">
        <v>208</v>
      </c>
      <c r="G30" s="206">
        <f>input_dollars</f>
        <v>45291</v>
      </c>
      <c r="H30" s="148"/>
      <c r="I30" s="32">
        <f>Workings_risks!E12</f>
        <v>499.9606476632685</v>
      </c>
      <c r="J30" s="32">
        <f>Workings_risks!F12</f>
        <v>514.45160661307796</v>
      </c>
      <c r="K30" s="32">
        <f>Workings_risks!G12</f>
        <v>529.11262193484367</v>
      </c>
      <c r="L30" s="32">
        <f>Workings_risks!H12</f>
        <v>543.94285239230419</v>
      </c>
      <c r="M30" s="32">
        <f>Workings_risks!I12</f>
        <v>558.94147449060438</v>
      </c>
      <c r="N30" s="32">
        <f>Workings_risks!J12</f>
        <v>574.10768182484969</v>
      </c>
      <c r="O30" s="32">
        <f>Workings_risks!K12</f>
        <v>589.44068446244296</v>
      </c>
      <c r="P30" s="32">
        <f>Workings_risks!L12</f>
        <v>604.93970835695484</v>
      </c>
      <c r="Q30" s="32">
        <f>Workings_risks!M12</f>
        <v>620.60399479146929</v>
      </c>
      <c r="R30" s="32">
        <f>Workings_risks!N12</f>
        <v>636.43279984949004</v>
      </c>
      <c r="S30" s="32">
        <f>Workings_risks!O12</f>
        <v>652.42539391166656</v>
      </c>
      <c r="T30" s="32">
        <f>Workings_risks!P12</f>
        <v>668.58106117671628</v>
      </c>
      <c r="U30" s="32">
        <f>Workings_risks!Q12</f>
        <v>684.8990992050484</v>
      </c>
      <c r="V30" s="32">
        <f>Workings_risks!R12</f>
        <v>701.37881848371387</v>
      </c>
      <c r="W30" s="32">
        <f>Workings_risks!S12</f>
        <v>718.01954201138676</v>
      </c>
      <c r="X30" s="32">
        <f>Workings_risks!T12</f>
        <v>734.82060490221204</v>
      </c>
      <c r="Y30" s="32">
        <f>Workings_risks!U12</f>
        <v>751.78135400739791</v>
      </c>
      <c r="Z30" s="32">
        <f>Workings_risks!V12</f>
        <v>768.90114755354796</v>
      </c>
      <c r="AA30" s="32">
        <f>Workings_risks!W12</f>
        <v>786.17935479675998</v>
      </c>
      <c r="AB30" s="32">
        <f>Workings_risks!X12</f>
        <v>803.61535569163129</v>
      </c>
      <c r="AC30" s="32">
        <f>Workings_risks!Y12</f>
        <v>821.20854057432996</v>
      </c>
      <c r="AD30" s="32">
        <f>Workings_risks!Z12</f>
        <v>838.95830985895975</v>
      </c>
      <c r="AE30" s="32">
        <f>Workings_risks!AA12</f>
        <v>838.95830985895975</v>
      </c>
      <c r="AF30" s="32">
        <f>Workings_risks!AB12</f>
        <v>838.95830985895975</v>
      </c>
      <c r="AG30" s="32">
        <f>Workings_risks!AC12</f>
        <v>838.95830985895975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Workings_risks!D13</f>
        <v>Unplanned replacement risk</v>
      </c>
      <c r="D31" s="205"/>
      <c r="E31"/>
      <c r="G31" s="206">
        <f>input_dollars</f>
        <v>45291</v>
      </c>
      <c r="H31" s="148"/>
      <c r="I31" s="32">
        <f>Workings_risks!E13</f>
        <v>25689.870365060837</v>
      </c>
      <c r="J31" s="32">
        <f>Workings_risks!F13</f>
        <v>26434.470682357714</v>
      </c>
      <c r="K31" s="32">
        <f>Workings_risks!G13</f>
        <v>27187.809139687673</v>
      </c>
      <c r="L31" s="32">
        <f>Workings_risks!H13</f>
        <v>27949.842511147614</v>
      </c>
      <c r="M31" s="32">
        <f>Workings_risks!I13</f>
        <v>28720.528482455069</v>
      </c>
      <c r="N31" s="32">
        <f>Workings_risks!J13</f>
        <v>29499.825617474406</v>
      </c>
      <c r="O31" s="32">
        <f>Workings_risks!K13</f>
        <v>30287.693326478988</v>
      </c>
      <c r="P31" s="32">
        <f>Workings_risks!L13</f>
        <v>31084.091836033611</v>
      </c>
      <c r="Q31" s="32">
        <f>Workings_risks!M13</f>
        <v>31888.982160391472</v>
      </c>
      <c r="R31" s="32">
        <f>Workings_risks!N13</f>
        <v>32702.326074307377</v>
      </c>
      <c r="S31" s="32">
        <f>Workings_risks!O13</f>
        <v>33524.086087177573</v>
      </c>
      <c r="T31" s="32">
        <f>Workings_risks!P13</f>
        <v>34354.225418422924</v>
      </c>
      <c r="U31" s="32">
        <f>Workings_risks!Q13</f>
        <v>35192.707974038647</v>
      </c>
      <c r="V31" s="32">
        <f>Workings_risks!R13</f>
        <v>36039.498324239663</v>
      </c>
      <c r="W31" s="32">
        <f>Workings_risks!S13</f>
        <v>36894.561682135507</v>
      </c>
      <c r="X31" s="32">
        <f>Workings_risks!T13</f>
        <v>37757.863883374433</v>
      </c>
      <c r="Y31" s="32">
        <f>Workings_risks!U13</f>
        <v>38629.371366699415</v>
      </c>
      <c r="Z31" s="32">
        <f>Workings_risks!V13</f>
        <v>39509.051155364337</v>
      </c>
      <c r="AA31" s="32">
        <f>Workings_risks!W13</f>
        <v>40396.870839360199</v>
      </c>
      <c r="AB31" s="32">
        <f>Workings_risks!X13</f>
        <v>41292.798558407441</v>
      </c>
      <c r="AC31" s="32">
        <f>Workings_risks!Y13</f>
        <v>42196.802985670845</v>
      </c>
      <c r="AD31" s="32">
        <f>Workings_risks!Z13</f>
        <v>43108.853312157727</v>
      </c>
      <c r="AE31" s="32">
        <f>Workings_risks!AA13</f>
        <v>43108.853312157727</v>
      </c>
      <c r="AF31" s="32">
        <f>Workings_risks!AB13</f>
        <v>43108.853312157727</v>
      </c>
      <c r="AG31" s="32">
        <f>Workings_risks!AC13</f>
        <v>43108.853312157727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Workings_risks!D14</f>
        <v>Unplanned fault risk</v>
      </c>
      <c r="D32" s="204"/>
      <c r="E32"/>
      <c r="G32" s="206">
        <f>input_dollars</f>
        <v>45291</v>
      </c>
      <c r="H32"/>
      <c r="I32" s="32">
        <f>Workings_risks!E14</f>
        <v>1880.6461253749828</v>
      </c>
      <c r="J32" s="32">
        <f>Workings_risks!F14</f>
        <v>1935.1551470935922</v>
      </c>
      <c r="K32" s="32">
        <f>Workings_risks!G14</f>
        <v>1990.3038508721988</v>
      </c>
      <c r="L32" s="32">
        <f>Workings_risks!H14</f>
        <v>2046.0890723263199</v>
      </c>
      <c r="M32" s="32">
        <f>Workings_risks!I14</f>
        <v>2102.5077138073384</v>
      </c>
      <c r="N32" s="32">
        <f>Workings_risks!J14</f>
        <v>2159.5567419520344</v>
      </c>
      <c r="O32" s="32">
        <f>Workings_risks!K14</f>
        <v>2217.2331853591872</v>
      </c>
      <c r="P32" s="32">
        <f>Workings_risks!L14</f>
        <v>2275.534132384802</v>
      </c>
      <c r="Q32" s="32">
        <f>Workings_risks!M14</f>
        <v>2334.4567290481982</v>
      </c>
      <c r="R32" s="32">
        <f>Workings_risks!N14</f>
        <v>2393.9981770417858</v>
      </c>
      <c r="S32" s="32">
        <f>Workings_risks!O14</f>
        <v>2454.1557318379469</v>
      </c>
      <c r="T32" s="32">
        <f>Workings_risks!P14</f>
        <v>2514.9267008869483</v>
      </c>
      <c r="U32" s="32">
        <f>Workings_risks!Q14</f>
        <v>2576.3084419002403</v>
      </c>
      <c r="V32" s="32">
        <f>Workings_risks!R14</f>
        <v>2638.2983612139769</v>
      </c>
      <c r="W32" s="32">
        <f>Workings_risks!S14</f>
        <v>2700.8939122278884</v>
      </c>
      <c r="X32" s="32">
        <f>Workings_risks!T14</f>
        <v>2764.092593915118</v>
      </c>
      <c r="Y32" s="32">
        <f>Workings_risks!U14</f>
        <v>2827.8919493988083</v>
      </c>
      <c r="Z32" s="32">
        <f>Workings_risks!V14</f>
        <v>2892.2895645916574</v>
      </c>
      <c r="AA32" s="32">
        <f>Workings_risks!W14</f>
        <v>2957.2830668947786</v>
      </c>
      <c r="AB32" s="32">
        <f>Workings_risks!X14</f>
        <v>3022.8701239526367</v>
      </c>
      <c r="AC32" s="32">
        <f>Workings_risks!Y14</f>
        <v>3089.0484424608912</v>
      </c>
      <c r="AD32" s="32">
        <f>Workings_risks!Z14</f>
        <v>3155.8157670242467</v>
      </c>
      <c r="AE32" s="32">
        <f>Workings_risks!AA14</f>
        <v>3155.8157670242467</v>
      </c>
      <c r="AF32" s="32">
        <f>Workings_risks!AB14</f>
        <v>3155.8157670242467</v>
      </c>
      <c r="AG32" s="32">
        <f>Workings_risks!AC14</f>
        <v>3155.8157670242467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Workings_risks!D15</f>
        <v>Enviromental risk</v>
      </c>
      <c r="D33" s="204" t="s">
        <v>208</v>
      </c>
      <c r="E33"/>
      <c r="G33" s="206">
        <f>input_dollars</f>
        <v>45291</v>
      </c>
      <c r="H33"/>
      <c r="I33" s="32">
        <f>Workings_risks!E15</f>
        <v>5992.5</v>
      </c>
      <c r="J33" s="32">
        <f>Workings_risks!F15</f>
        <v>5992.5</v>
      </c>
      <c r="K33" s="32">
        <f>Workings_risks!G15</f>
        <v>5992.5</v>
      </c>
      <c r="L33" s="32">
        <f>Workings_risks!H15</f>
        <v>5992.5</v>
      </c>
      <c r="M33" s="32">
        <f>Workings_risks!I15</f>
        <v>5992.5</v>
      </c>
      <c r="N33" s="32">
        <f>Workings_risks!J15</f>
        <v>5992.5</v>
      </c>
      <c r="O33" s="32">
        <f>Workings_risks!K15</f>
        <v>5992.5</v>
      </c>
      <c r="P33" s="32">
        <f>Workings_risks!L15</f>
        <v>5992.5</v>
      </c>
      <c r="Q33" s="32">
        <f>Workings_risks!M15</f>
        <v>5992.5</v>
      </c>
      <c r="R33" s="32">
        <f>Workings_risks!N15</f>
        <v>5992.5</v>
      </c>
      <c r="S33" s="32">
        <f>Workings_risks!O15</f>
        <v>5992.5</v>
      </c>
      <c r="T33" s="32">
        <f>Workings_risks!P15</f>
        <v>5992.5</v>
      </c>
      <c r="U33" s="32">
        <f>Workings_risks!Q15</f>
        <v>5992.5</v>
      </c>
      <c r="V33" s="32">
        <f>Workings_risks!R15</f>
        <v>5992.5</v>
      </c>
      <c r="W33" s="32">
        <f>Workings_risks!S15</f>
        <v>5992.5</v>
      </c>
      <c r="X33" s="32">
        <f>Workings_risks!T15</f>
        <v>5992.5</v>
      </c>
      <c r="Y33" s="32">
        <f>Workings_risks!U15</f>
        <v>5992.5</v>
      </c>
      <c r="Z33" s="32">
        <f>Workings_risks!V15</f>
        <v>5992.5</v>
      </c>
      <c r="AA33" s="32">
        <f>Workings_risks!W15</f>
        <v>5992.5</v>
      </c>
      <c r="AB33" s="32">
        <f>Workings_risks!X15</f>
        <v>5992.5</v>
      </c>
      <c r="AC33" s="32">
        <f>Workings_risks!Y15</f>
        <v>5992.5</v>
      </c>
      <c r="AD33" s="32">
        <f>Workings_risks!Z15</f>
        <v>5992.5</v>
      </c>
      <c r="AE33" s="32">
        <f>Workings_risks!AA15</f>
        <v>5992.5</v>
      </c>
      <c r="AF33" s="32">
        <f>Workings_risks!AB15</f>
        <v>5992.5</v>
      </c>
      <c r="AG33" s="32">
        <f>Workings_risks!AC15</f>
        <v>5992.5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05">
        <f>SUM(I28:I34)</f>
        <v>893417.75217294518</v>
      </c>
      <c r="J36" s="105">
        <f t="shared" ref="J36:AB36" si="3">SUM(J28:J34)</f>
        <v>939228.3089591657</v>
      </c>
      <c r="K36" s="105">
        <f t="shared" si="3"/>
        <v>992739.45814356499</v>
      </c>
      <c r="L36" s="105">
        <f t="shared" si="3"/>
        <v>1047076.7969807661</v>
      </c>
      <c r="M36" s="105">
        <f t="shared" si="3"/>
        <v>1097685.5492009597</v>
      </c>
      <c r="N36" s="105">
        <f t="shared" si="3"/>
        <v>1150674.3569511641</v>
      </c>
      <c r="O36" s="105">
        <f t="shared" si="3"/>
        <v>1212168.1362869442</v>
      </c>
      <c r="P36" s="105">
        <f t="shared" si="3"/>
        <v>1283102.9151657359</v>
      </c>
      <c r="Q36" s="105">
        <f t="shared" si="3"/>
        <v>1341796.9622508383</v>
      </c>
      <c r="R36" s="105">
        <f t="shared" si="3"/>
        <v>1376051.7912075403</v>
      </c>
      <c r="S36" s="105">
        <f t="shared" si="3"/>
        <v>1410670.3928501459</v>
      </c>
      <c r="T36" s="105">
        <f t="shared" si="3"/>
        <v>1445651.5048998792</v>
      </c>
      <c r="U36" s="105">
        <f t="shared" si="3"/>
        <v>1480993.8952577158</v>
      </c>
      <c r="V36" s="105">
        <f t="shared" si="3"/>
        <v>1516696.3610594121</v>
      </c>
      <c r="W36" s="105">
        <f t="shared" si="3"/>
        <v>1552757.7277737104</v>
      </c>
      <c r="X36" s="105">
        <f t="shared" si="3"/>
        <v>1589176.8483412508</v>
      </c>
      <c r="Y36" s="105">
        <f t="shared" si="3"/>
        <v>1625952.6023517405</v>
      </c>
      <c r="Z36" s="105">
        <f t="shared" si="3"/>
        <v>1663083.8952572551</v>
      </c>
      <c r="AA36" s="105">
        <f t="shared" si="3"/>
        <v>1700569.6576195532</v>
      </c>
      <c r="AB36" s="105">
        <f t="shared" si="3"/>
        <v>1738408.8443895555</v>
      </c>
      <c r="AC36" s="105">
        <f>SUM(AC28:AC34)</f>
        <v>1776600.4342172048</v>
      </c>
      <c r="AD36" s="105">
        <f>SUM(AD28:AD34)</f>
        <v>1815143.4287900061</v>
      </c>
      <c r="AE36" s="105">
        <f>SUM(AE28:AE34)</f>
        <v>1853031.5264032446</v>
      </c>
      <c r="AF36" s="105">
        <f>SUM(AF28:AF34)</f>
        <v>1891260.3729434833</v>
      </c>
      <c r="AG36" s="105">
        <f>SUM(AG28:AG34)</f>
        <v>1929829.0675687636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31">
        <f t="shared" ref="I42:AG42" si="4">I41*I7</f>
        <v>0</v>
      </c>
      <c r="J42" s="31">
        <f t="shared" si="4"/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05" cm="1">
        <f t="array" ref="I57">SUMPRODUCT((I$45:I$52)*($E$45:$E$52))+SUM(I54:I55)+I42</f>
        <v>0</v>
      </c>
      <c r="J57" s="105" cm="1">
        <f t="array" ref="J57">SUMPRODUCT((J$45:J$52)*($E$45:$E$52))+SUM(J54:J55)+J42</f>
        <v>0</v>
      </c>
      <c r="K57" s="105" cm="1">
        <f t="array" ref="K57">SUMPRODUCT((K$45:K$52)*($E$45:$E$52))+SUM(K54:K55)+K42</f>
        <v>0</v>
      </c>
      <c r="L57" s="105" cm="1">
        <f t="array" ref="L57">SUMPRODUCT((L$45:L$52)*($E$45:$E$52))+SUM(L54:L55)+L42</f>
        <v>0</v>
      </c>
      <c r="M57" s="105" cm="1">
        <f t="array" ref="M57">SUMPRODUCT((M$45:M$52)*($E$45:$E$52))+SUM(M54:M55)+M42</f>
        <v>0</v>
      </c>
      <c r="N57" s="105" cm="1">
        <f t="array" ref="N57">SUMPRODUCT((N$45:N$52)*($E$45:$E$52))+SUM(N54:N55)+N42</f>
        <v>0</v>
      </c>
      <c r="O57" s="105" cm="1">
        <f t="array" ref="O57">SUMPRODUCT((O$45:O$52)*($E$45:$E$52))+SUM(O54:O55)+O42</f>
        <v>0</v>
      </c>
      <c r="P57" s="105" cm="1">
        <f t="array" ref="P57">SUMPRODUCT((P$45:P$52)*($E$45:$E$52))+SUM(P54:P55)+P42</f>
        <v>0</v>
      </c>
      <c r="Q57" s="105" cm="1">
        <f t="array" ref="Q57">SUMPRODUCT((Q$45:Q$52)*($E$45:$E$52))+SUM(Q54:Q55)+Q42</f>
        <v>0</v>
      </c>
      <c r="R57" s="105" cm="1">
        <f t="array" ref="R57">SUMPRODUCT((R$45:R$52)*($E$45:$E$52))+SUM(R54:R55)+R42</f>
        <v>0</v>
      </c>
      <c r="S57" s="105" cm="1">
        <f t="array" ref="S57">SUMPRODUCT((S$45:S$52)*($E$45:$E$52))+SUM(S54:S55)+S42</f>
        <v>0</v>
      </c>
      <c r="T57" s="105" cm="1">
        <f t="array" ref="T57">SUMPRODUCT((T$45:T$52)*($E$45:$E$52))+SUM(T54:T55)+T42</f>
        <v>0</v>
      </c>
      <c r="U57" s="105" cm="1">
        <f t="array" ref="U57">SUMPRODUCT((U$45:U$52)*($E$45:$E$52))+SUM(U54:U55)+U42</f>
        <v>0</v>
      </c>
      <c r="V57" s="105" cm="1">
        <f t="array" ref="V57">SUMPRODUCT((V$45:V$52)*($E$45:$E$52))+SUM(V54:V55)+V42</f>
        <v>0</v>
      </c>
      <c r="W57" s="105" cm="1">
        <f t="array" ref="W57">SUMPRODUCT((W$45:W$52)*($E$45:$E$52))+SUM(W54:W55)+W42</f>
        <v>0</v>
      </c>
      <c r="X57" s="105" cm="1">
        <f t="array" ref="X57">SUMPRODUCT((X$45:X$52)*($E$45:$E$52))+SUM(X54:X55)+X42</f>
        <v>0</v>
      </c>
      <c r="Y57" s="105" cm="1">
        <f t="array" ref="Y57">SUMPRODUCT((Y$45:Y$52)*($E$45:$E$52))+SUM(Y54:Y55)+Y42</f>
        <v>0</v>
      </c>
      <c r="Z57" s="105" cm="1">
        <f t="array" ref="Z57">SUMPRODUCT((Z$45:Z$52)*($E$45:$E$52))+SUM(Z54:Z55)+Z42</f>
        <v>0</v>
      </c>
      <c r="AA57" s="105" cm="1">
        <f t="array" ref="AA57">SUMPRODUCT((AA$45:AA$52)*($E$45:$E$52))+SUM(AA54:AA55)+AA42</f>
        <v>0</v>
      </c>
      <c r="AB57" s="105" cm="1">
        <f t="array" ref="AB57">SUMPRODUCT((AB$45:AB$52)*($E$45:$E$52))+SUM(AB54:AB55)+AB42</f>
        <v>0</v>
      </c>
      <c r="AC57" s="105" cm="1">
        <f t="array" ref="AC57">SUMPRODUCT((AC$45:AC$52)*($E$45:$E$52))+SUM(AC54:AC55)+AC42</f>
        <v>0</v>
      </c>
      <c r="AD57" s="105" cm="1">
        <f t="array" ref="AD57">SUMPRODUCT((AD$45:AD$52)*($E$45:$E$52))+SUM(AD54:AD55)+AD42</f>
        <v>0</v>
      </c>
      <c r="AE57" s="105" cm="1">
        <f t="array" ref="AE57">SUMPRODUCT((AE$45:AE$52)*($E$45:$E$52))+SUM(AE54:AE55)+AE42</f>
        <v>0</v>
      </c>
      <c r="AF57" s="105" cm="1">
        <f t="array" ref="AF57">SUMPRODUCT((AF$45:AF$52)*($E$45:$E$52))+SUM(AF54:AF55)+AF42</f>
        <v>0</v>
      </c>
      <c r="AG57" s="105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</row>
    <row r="64" spans="1:43" x14ac:dyDescent="0.2">
      <c r="C64" s="4" t="s">
        <v>121</v>
      </c>
      <c r="G64" s="209">
        <f>input_dollars</f>
        <v>45291</v>
      </c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6"/>
      <c r="G67" s="209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6"/>
      <c r="G68" s="209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6"/>
      <c r="G69" s="209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8"/>
      <c r="F76" s="96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6"/>
      <c r="G77" s="209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6"/>
      <c r="G78" s="209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6"/>
      <c r="G79" s="209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9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8"/>
      <c r="F83" s="96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6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6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9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39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E89" s="64"/>
      <c r="F89" s="139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/>
      <c r="D90" s="82"/>
      <c r="E90" s="230"/>
      <c r="F90" s="231"/>
      <c r="G90" s="23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0"/>
      <c r="D91" s="230"/>
      <c r="E91" s="230"/>
      <c r="F91" s="230"/>
      <c r="G91" s="230"/>
    </row>
    <row r="92" spans="1:33" x14ac:dyDescent="0.2">
      <c r="C92" s="230"/>
      <c r="D92" s="230"/>
      <c r="E92" s="230"/>
      <c r="F92" s="230"/>
      <c r="G92" s="230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 s="251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NC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130</v>
      </c>
      <c r="B3" s="5"/>
      <c r="C3" s="199" t="str">
        <f>INDEX(Assumptions!$E$14:$E$18, MATCH(A3,_xlfn.ANCHORARRAY( Assumptions!$C$14),0))</f>
        <v>Replace #1 transformer completed in 2027-2028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324</v>
      </c>
      <c r="D14"/>
      <c r="E14" s="147">
        <v>50</v>
      </c>
      <c r="G14" s="206">
        <f>input_dollars</f>
        <v>45291</v>
      </c>
      <c r="H14" s="148"/>
      <c r="I14" s="32">
        <f>Workings_costs!E20</f>
        <v>5066390.3999999994</v>
      </c>
      <c r="J14" s="32">
        <f>Workings_costs!F20</f>
        <v>2533195.1999999997</v>
      </c>
      <c r="K14" s="32">
        <f>Workings_costs!G20</f>
        <v>0</v>
      </c>
      <c r="L14" s="32">
        <f>Workings_costs!H20</f>
        <v>0</v>
      </c>
      <c r="M14" s="32">
        <f>Workings_costs!I20</f>
        <v>0</v>
      </c>
      <c r="N14" s="32">
        <f>Workings_costs!J20</f>
        <v>0</v>
      </c>
      <c r="O14" s="32">
        <f>Workings_costs!K20</f>
        <v>0</v>
      </c>
      <c r="P14" s="32">
        <f>Workings_costs!L20</f>
        <v>0</v>
      </c>
      <c r="Q14" s="32">
        <f>Workings_costs!M20</f>
        <v>0</v>
      </c>
      <c r="R14" s="32">
        <f>Workings_costs!N20</f>
        <v>0</v>
      </c>
      <c r="S14" s="32">
        <f>Workings_costs!O20</f>
        <v>0</v>
      </c>
      <c r="T14" s="32">
        <f>Workings_costs!P20</f>
        <v>0</v>
      </c>
      <c r="U14" s="32">
        <f>Workings_costs!Q20</f>
        <v>0</v>
      </c>
      <c r="V14" s="32">
        <f>Workings_costs!R20</f>
        <v>0</v>
      </c>
      <c r="W14" s="32">
        <f>Workings_costs!S20</f>
        <v>0</v>
      </c>
      <c r="X14" s="32">
        <f>Workings_costs!T20</f>
        <v>0</v>
      </c>
      <c r="Y14" s="32">
        <f>Workings_costs!U20</f>
        <v>0</v>
      </c>
      <c r="Z14" s="32">
        <f>Workings_costs!V20</f>
        <v>0</v>
      </c>
      <c r="AA14" s="32">
        <f>Workings_costs!W20</f>
        <v>0</v>
      </c>
      <c r="AB14" s="32">
        <f>Workings_costs!X20</f>
        <v>0</v>
      </c>
      <c r="AC14" s="32">
        <f>Workings_costs!Y20</f>
        <v>0</v>
      </c>
      <c r="AD14" s="32">
        <f>Workings_costs!Z20</f>
        <v>0</v>
      </c>
      <c r="AE14" s="32">
        <f>Workings_costs!AA20</f>
        <v>0</v>
      </c>
      <c r="AF14" s="32">
        <f>Workings_costs!AB20</f>
        <v>0</v>
      </c>
      <c r="AG14" s="32">
        <f>Workings_costs!AC20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6">
        <f>input_dollars</f>
        <v>45291</v>
      </c>
      <c r="H17" s="106"/>
      <c r="I17" s="105">
        <f t="shared" ref="I17:Q17" si="0">SUM(I14:I16)</f>
        <v>5066390.3999999994</v>
      </c>
      <c r="J17" s="105">
        <f t="shared" si="0"/>
        <v>2533195.1999999997</v>
      </c>
      <c r="K17" s="105">
        <f t="shared" si="0"/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35890.696556723749</v>
      </c>
      <c r="F28" s="237" t="str">
        <f>IF(AND(SUM(I27:AG27)&lt;&gt;0, E28=0), "!", "")</f>
        <v/>
      </c>
      <c r="G28" s="206">
        <f>input_dollars</f>
        <v>45291</v>
      </c>
      <c r="H28"/>
      <c r="I28" s="32">
        <f>Workings_risks!E23</f>
        <v>859354.77503484616</v>
      </c>
      <c r="J28" s="32">
        <f>Workings_risks!F23</f>
        <v>904351.73152310133</v>
      </c>
      <c r="K28" s="32">
        <f>Workings_risks!G23</f>
        <v>28934.20078007162</v>
      </c>
      <c r="L28" s="32">
        <f>Workings_risks!H23</f>
        <v>54313.453435811738</v>
      </c>
      <c r="M28" s="32">
        <f>Workings_risks!I23</f>
        <v>79350.867415058252</v>
      </c>
      <c r="N28" s="32">
        <f>Workings_risks!J23</f>
        <v>104900.48362471958</v>
      </c>
      <c r="O28" s="32">
        <f>Workings_risks!K23</f>
        <v>131968.87151260156</v>
      </c>
      <c r="P28" s="32">
        <f>Workings_risks!L23</f>
        <v>161187.29035514549</v>
      </c>
      <c r="Q28" s="32">
        <f>Workings_risks!M23</f>
        <v>189854.00561018521</v>
      </c>
      <c r="R28" s="32">
        <f>Workings_risks!N23</f>
        <v>215391.4795415707</v>
      </c>
      <c r="S28" s="32">
        <f>Workings_risks!O23</f>
        <v>241070.55334632285</v>
      </c>
      <c r="T28" s="32">
        <f>Workings_risks!P23</f>
        <v>266929.64052876848</v>
      </c>
      <c r="U28" s="32">
        <f>Workings_risks!Q23</f>
        <v>292997.81062081322</v>
      </c>
      <c r="V28" s="32">
        <f>Workings_risks!R23</f>
        <v>319297.5695176181</v>
      </c>
      <c r="W28" s="32">
        <f>Workings_risks!S23</f>
        <v>345846.65993583755</v>
      </c>
      <c r="X28" s="32">
        <f>Workings_risks!T23</f>
        <v>372659.27496284118</v>
      </c>
      <c r="Y28" s="32">
        <f>Workings_risks!U23</f>
        <v>399746.9034257849</v>
      </c>
      <c r="Z28" s="32">
        <f>Workings_risks!V23</f>
        <v>427118.93527409539</v>
      </c>
      <c r="AA28" s="32">
        <f>Workings_risks!W23</f>
        <v>454783.10540377867</v>
      </c>
      <c r="AB28" s="32">
        <f>Workings_risks!X23</f>
        <v>482745.82568068302</v>
      </c>
      <c r="AC28" s="32">
        <f>Workings_risks!Y23</f>
        <v>511012.43772892148</v>
      </c>
      <c r="AD28" s="32">
        <f>Workings_risks!Z23</f>
        <v>539587.4083831053</v>
      </c>
      <c r="AE28" s="32">
        <f>Workings_risks!AA23</f>
        <v>568474.48288270447</v>
      </c>
      <c r="AF28" s="32">
        <f>Workings_risks!AB23</f>
        <v>597676.80641024804</v>
      </c>
      <c r="AG28" s="32">
        <f>Workings_risks!AC23</f>
        <v>627197.02156770776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risk</v>
      </c>
      <c r="D30" s="204" t="s">
        <v>208</v>
      </c>
      <c r="G30" s="206">
        <f>input_dollars</f>
        <v>45291</v>
      </c>
      <c r="H30" s="148"/>
      <c r="I30" s="32">
        <f>Workings_risks!E24</f>
        <v>499.9606476632685</v>
      </c>
      <c r="J30" s="32">
        <f>Workings_risks!F24</f>
        <v>514.45160661307796</v>
      </c>
      <c r="K30" s="32">
        <f>Workings_risks!G24</f>
        <v>264.80035062021943</v>
      </c>
      <c r="L30" s="32">
        <f>Workings_risks!H24</f>
        <v>272.76430790503815</v>
      </c>
      <c r="M30" s="32">
        <f>Workings_risks!I24</f>
        <v>281.05039694860835</v>
      </c>
      <c r="N30" s="32">
        <f>Workings_risks!J24</f>
        <v>289.62992118470362</v>
      </c>
      <c r="O30" s="32">
        <f>Workings_risks!K24</f>
        <v>298.48483453765152</v>
      </c>
      <c r="P30" s="32">
        <f>Workings_risks!L24</f>
        <v>307.60218369622879</v>
      </c>
      <c r="Q30" s="32">
        <f>Workings_risks!M24</f>
        <v>316.97197037507362</v>
      </c>
      <c r="R30" s="32">
        <f>Workings_risks!N24</f>
        <v>326.58610942220281</v>
      </c>
      <c r="S30" s="32">
        <f>Workings_risks!O24</f>
        <v>336.43784659974597</v>
      </c>
      <c r="T30" s="32">
        <f>Workings_risks!P24</f>
        <v>346.52140217620763</v>
      </c>
      <c r="U30" s="32">
        <f>Workings_risks!Q24</f>
        <v>356.83173792926772</v>
      </c>
      <c r="V30" s="32">
        <f>Workings_risks!R24</f>
        <v>367.3643970405904</v>
      </c>
      <c r="W30" s="32">
        <f>Workings_risks!S24</f>
        <v>378.11538967835645</v>
      </c>
      <c r="X30" s="32">
        <f>Workings_risks!T24</f>
        <v>389.08110859550379</v>
      </c>
      <c r="Y30" s="32">
        <f>Workings_risks!U24</f>
        <v>400.25826521655307</v>
      </c>
      <c r="Z30" s="32">
        <f>Workings_risks!V24</f>
        <v>411.64384016123665</v>
      </c>
      <c r="AA30" s="32">
        <f>Workings_risks!W24</f>
        <v>423.23504421720713</v>
      </c>
      <c r="AB30" s="32">
        <f>Workings_risks!X24</f>
        <v>435.02928705129239</v>
      </c>
      <c r="AC30" s="32">
        <f>Workings_risks!Y24</f>
        <v>447.02415176703272</v>
      </c>
      <c r="AD30" s="32">
        <f>Workings_risks!Z24</f>
        <v>459.2173739565045</v>
      </c>
      <c r="AE30" s="32">
        <f>Workings_risks!AA24</f>
        <v>459.2173739565045</v>
      </c>
      <c r="AF30" s="32">
        <f>Workings_risks!AB24</f>
        <v>459.2173739565045</v>
      </c>
      <c r="AG30" s="32">
        <f>Workings_risks!AC24</f>
        <v>459.2173739565045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 risk</v>
      </c>
      <c r="D31" s="205"/>
      <c r="E31"/>
      <c r="G31" s="206">
        <f>input_dollars</f>
        <v>45291</v>
      </c>
      <c r="H31" s="148"/>
      <c r="I31" s="32">
        <f>Workings_risks!E25</f>
        <v>25689.870365060837</v>
      </c>
      <c r="J31" s="32">
        <f>Workings_risks!F25</f>
        <v>26434.470682357714</v>
      </c>
      <c r="K31" s="32">
        <f>Workings_risks!G25</f>
        <v>13606.444250863944</v>
      </c>
      <c r="L31" s="32">
        <f>Workings_risks!H25</f>
        <v>14015.662518733841</v>
      </c>
      <c r="M31" s="32">
        <f>Workings_risks!I25</f>
        <v>14441.433135596553</v>
      </c>
      <c r="N31" s="32">
        <f>Workings_risks!J25</f>
        <v>14882.28156326647</v>
      </c>
      <c r="O31" s="32">
        <f>Workings_risks!K25</f>
        <v>15337.280526073415</v>
      </c>
      <c r="P31" s="32">
        <f>Workings_risks!L25</f>
        <v>15805.764433860095</v>
      </c>
      <c r="Q31" s="32">
        <f>Workings_risks!M25</f>
        <v>16287.219536882361</v>
      </c>
      <c r="R31" s="32">
        <f>Workings_risks!N25</f>
        <v>16781.230389430038</v>
      </c>
      <c r="S31" s="32">
        <f>Workings_risks!O25</f>
        <v>17287.449933197397</v>
      </c>
      <c r="T31" s="32">
        <f>Workings_risks!P25</f>
        <v>17805.581183704649</v>
      </c>
      <c r="U31" s="32">
        <f>Workings_risks!Q25</f>
        <v>18335.365258019956</v>
      </c>
      <c r="V31" s="32">
        <f>Workings_risks!R25</f>
        <v>18876.573147948726</v>
      </c>
      <c r="W31" s="32">
        <f>Workings_risks!S25</f>
        <v>19428.999840831068</v>
      </c>
      <c r="X31" s="32">
        <f>Workings_risks!T25</f>
        <v>19992.459982659959</v>
      </c>
      <c r="Y31" s="32">
        <f>Workings_risks!U25</f>
        <v>20566.784593980425</v>
      </c>
      <c r="Z31" s="32">
        <f>Workings_risks!V25</f>
        <v>21151.818527606349</v>
      </c>
      <c r="AA31" s="32">
        <f>Workings_risks!W25</f>
        <v>21747.418463250495</v>
      </c>
      <c r="AB31" s="32">
        <f>Workings_risks!X25</f>
        <v>22353.451299790402</v>
      </c>
      <c r="AC31" s="32">
        <f>Workings_risks!Y25</f>
        <v>22969.792847938312</v>
      </c>
      <c r="AD31" s="32">
        <f>Workings_risks!Z25</f>
        <v>23596.326753844616</v>
      </c>
      <c r="AE31" s="32">
        <f>Workings_risks!AA25</f>
        <v>23596.326753844616</v>
      </c>
      <c r="AF31" s="32">
        <f>Workings_risks!AB25</f>
        <v>23596.326753844616</v>
      </c>
      <c r="AG31" s="32">
        <f>Workings_risks!AC25</f>
        <v>23596.326753844616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Unplanned fault risk</v>
      </c>
      <c r="D32" s="204"/>
      <c r="E32"/>
      <c r="G32" s="206">
        <f>input_dollars</f>
        <v>45291</v>
      </c>
      <c r="H32"/>
      <c r="I32" s="32">
        <f>Workings_risks!E26</f>
        <v>1880.6461253749828</v>
      </c>
      <c r="J32" s="32">
        <f>Workings_risks!F26</f>
        <v>1935.1551470935922</v>
      </c>
      <c r="K32" s="32">
        <f>Workings_risks!G26</f>
        <v>996.06990214009943</v>
      </c>
      <c r="L32" s="32">
        <f>Workings_risks!H26</f>
        <v>1026.0270307268152</v>
      </c>
      <c r="M32" s="32">
        <f>Workings_risks!I26</f>
        <v>1057.1958863700256</v>
      </c>
      <c r="N32" s="32">
        <f>Workings_risks!J26</f>
        <v>1089.4685244018106</v>
      </c>
      <c r="O32" s="32">
        <f>Workings_risks!K26</f>
        <v>1122.7770629149627</v>
      </c>
      <c r="P32" s="32">
        <f>Workings_risks!L26</f>
        <v>1157.0727768854704</v>
      </c>
      <c r="Q32" s="32">
        <f>Workings_risks!M26</f>
        <v>1192.3180568800428</v>
      </c>
      <c r="R32" s="32">
        <f>Workings_risks!N26</f>
        <v>1228.4824898855334</v>
      </c>
      <c r="S32" s="32">
        <f>Workings_risks!O26</f>
        <v>1265.5406692397569</v>
      </c>
      <c r="T32" s="32">
        <f>Workings_risks!P26</f>
        <v>1303.4708539723124</v>
      </c>
      <c r="U32" s="32">
        <f>Workings_risks!Q26</f>
        <v>1342.2540923650413</v>
      </c>
      <c r="V32" s="32">
        <f>Workings_risks!R26</f>
        <v>1381.8736197022122</v>
      </c>
      <c r="W32" s="32">
        <f>Workings_risks!S26</f>
        <v>1422.3144278791137</v>
      </c>
      <c r="X32" s="32">
        <f>Workings_risks!T26</f>
        <v>1463.5629479173829</v>
      </c>
      <c r="Y32" s="32">
        <f>Workings_risks!U26</f>
        <v>1505.6068095499547</v>
      </c>
      <c r="Z32" s="32">
        <f>Workings_risks!V26</f>
        <v>1548.4346551113263</v>
      </c>
      <c r="AA32" s="32">
        <f>Workings_risks!W26</f>
        <v>1592.0359927329494</v>
      </c>
      <c r="AB32" s="32">
        <f>Workings_risks!X26</f>
        <v>1636.4010786478577</v>
      </c>
      <c r="AC32" s="32">
        <f>Workings_risks!Y26</f>
        <v>1681.5208214865929</v>
      </c>
      <c r="AD32" s="32">
        <f>Workings_risks!Z26</f>
        <v>1727.3867034787911</v>
      </c>
      <c r="AE32" s="32">
        <f>Workings_risks!AA26</f>
        <v>1727.3867034787911</v>
      </c>
      <c r="AF32" s="32">
        <f>Workings_risks!AB26</f>
        <v>1727.3867034787911</v>
      </c>
      <c r="AG32" s="32">
        <f>Workings_risks!AC26</f>
        <v>1727.3867034787911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Enviromental risk</v>
      </c>
      <c r="D33" s="204" t="s">
        <v>208</v>
      </c>
      <c r="E33"/>
      <c r="G33" s="206">
        <f>input_dollars</f>
        <v>45291</v>
      </c>
      <c r="H33"/>
      <c r="I33" s="32">
        <f>Workings_risks!E27</f>
        <v>5992.5</v>
      </c>
      <c r="J33" s="32">
        <f>Workings_risks!F27</f>
        <v>5992.5</v>
      </c>
      <c r="K33" s="32">
        <f>Workings_risks!G27</f>
        <v>1175</v>
      </c>
      <c r="L33" s="32">
        <f>Workings_risks!H27</f>
        <v>1175</v>
      </c>
      <c r="M33" s="32">
        <f>Workings_risks!I27</f>
        <v>1175</v>
      </c>
      <c r="N33" s="32">
        <f>Workings_risks!J27</f>
        <v>1175</v>
      </c>
      <c r="O33" s="32">
        <f>Workings_risks!K27</f>
        <v>1175</v>
      </c>
      <c r="P33" s="32">
        <f>Workings_risks!L27</f>
        <v>1175</v>
      </c>
      <c r="Q33" s="32">
        <f>Workings_risks!M27</f>
        <v>1175</v>
      </c>
      <c r="R33" s="32">
        <f>Workings_risks!N27</f>
        <v>1175</v>
      </c>
      <c r="S33" s="32">
        <f>Workings_risks!O27</f>
        <v>1175</v>
      </c>
      <c r="T33" s="32">
        <f>Workings_risks!P27</f>
        <v>1175</v>
      </c>
      <c r="U33" s="32">
        <f>Workings_risks!Q27</f>
        <v>1175</v>
      </c>
      <c r="V33" s="32">
        <f>Workings_risks!R27</f>
        <v>1175</v>
      </c>
      <c r="W33" s="32">
        <f>Workings_risks!S27</f>
        <v>1175</v>
      </c>
      <c r="X33" s="32">
        <f>Workings_risks!T27</f>
        <v>1175</v>
      </c>
      <c r="Y33" s="32">
        <f>Workings_risks!U27</f>
        <v>1175</v>
      </c>
      <c r="Z33" s="32">
        <f>Workings_risks!V27</f>
        <v>1175</v>
      </c>
      <c r="AA33" s="32">
        <f>Workings_risks!W27</f>
        <v>1175</v>
      </c>
      <c r="AB33" s="32">
        <f>Workings_risks!X27</f>
        <v>1175</v>
      </c>
      <c r="AC33" s="32">
        <f>Workings_risks!Y27</f>
        <v>1175</v>
      </c>
      <c r="AD33" s="32">
        <f>Workings_risks!Z27</f>
        <v>1175</v>
      </c>
      <c r="AE33" s="32">
        <f>Workings_risks!AA27</f>
        <v>1175</v>
      </c>
      <c r="AF33" s="32">
        <f>Workings_risks!AB27</f>
        <v>1175</v>
      </c>
      <c r="AG33" s="32">
        <f>Workings_risks!AC27</f>
        <v>1175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173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893417.75217294518</v>
      </c>
      <c r="J36" s="169">
        <f t="shared" ref="J36:AG36" si="2">SUM(J28:J34)</f>
        <v>939228.3089591657</v>
      </c>
      <c r="K36" s="169">
        <f t="shared" si="2"/>
        <v>44976.51528369588</v>
      </c>
      <c r="L36" s="169">
        <f t="shared" si="2"/>
        <v>70802.907293177443</v>
      </c>
      <c r="M36" s="169">
        <f t="shared" si="2"/>
        <v>96305.546833973436</v>
      </c>
      <c r="N36" s="169">
        <f t="shared" si="2"/>
        <v>122336.86363357256</v>
      </c>
      <c r="O36" s="169">
        <f t="shared" si="2"/>
        <v>149902.41393612759</v>
      </c>
      <c r="P36" s="169">
        <f t="shared" si="2"/>
        <v>179632.72974958731</v>
      </c>
      <c r="Q36" s="169">
        <f t="shared" si="2"/>
        <v>208825.51517432267</v>
      </c>
      <c r="R36" s="169">
        <f t="shared" si="2"/>
        <v>234902.77853030848</v>
      </c>
      <c r="S36" s="169">
        <f t="shared" si="2"/>
        <v>261134.98179535978</v>
      </c>
      <c r="T36" s="169">
        <f t="shared" si="2"/>
        <v>287560.21396862163</v>
      </c>
      <c r="U36" s="169">
        <f t="shared" si="2"/>
        <v>314207.26170912746</v>
      </c>
      <c r="V36" s="169">
        <f t="shared" si="2"/>
        <v>341098.38068230962</v>
      </c>
      <c r="W36" s="169">
        <f t="shared" si="2"/>
        <v>368251.0895942261</v>
      </c>
      <c r="X36" s="169">
        <f t="shared" si="2"/>
        <v>395679.379002014</v>
      </c>
      <c r="Y36" s="169">
        <f t="shared" si="2"/>
        <v>423394.55309453182</v>
      </c>
      <c r="Z36" s="169">
        <f t="shared" si="2"/>
        <v>451405.83229697432</v>
      </c>
      <c r="AA36" s="169">
        <f t="shared" si="2"/>
        <v>479720.79490397935</v>
      </c>
      <c r="AB36" s="169">
        <f t="shared" si="2"/>
        <v>508345.7073461726</v>
      </c>
      <c r="AC36" s="169">
        <f t="shared" si="2"/>
        <v>537285.77555011341</v>
      </c>
      <c r="AD36" s="169">
        <f t="shared" si="2"/>
        <v>566545.33921438514</v>
      </c>
      <c r="AE36" s="169">
        <f t="shared" si="2"/>
        <v>595432.41371398431</v>
      </c>
      <c r="AF36" s="169">
        <f t="shared" si="2"/>
        <v>624634.73724152788</v>
      </c>
      <c r="AG36" s="169">
        <f t="shared" si="2"/>
        <v>654154.9523989876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4220.9953699573898</v>
      </c>
      <c r="G47" s="206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2">
      <c r="C49" s="1" t="s">
        <v>9</v>
      </c>
      <c r="D49" s="204" t="s">
        <v>206</v>
      </c>
      <c r="E49" s="111">
        <f>Assumptions!G98</f>
        <v>0.54769380678923496</v>
      </c>
      <c r="G49" s="206" t="s">
        <v>207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2">
      <c r="C50" s="1" t="s">
        <v>10</v>
      </c>
      <c r="D50" s="204" t="s">
        <v>206</v>
      </c>
      <c r="E50" s="111">
        <f>Assumptions!G99</f>
        <v>0.54769380678923496</v>
      </c>
      <c r="G50" s="206" t="s">
        <v>207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947762.9428598691</v>
      </c>
      <c r="L64" s="131">
        <f>(1-INDEX(Data!$C$9:$C$13, MATCH($A$3, options,0)))*('Option1 (base case)'!L36-L36)</f>
        <v>976273.88968758867</v>
      </c>
      <c r="M64" s="131">
        <f>(1-INDEX(Data!$C$9:$C$13, MATCH($A$3, options,0)))*('Option1 (base case)'!M36-M36)</f>
        <v>1001380.0023669864</v>
      </c>
      <c r="N64" s="131">
        <f>(1-INDEX(Data!$C$9:$C$13, MATCH($A$3, options,0)))*('Option1 (base case)'!N36-N36)</f>
        <v>1028337.4933175915</v>
      </c>
      <c r="O64" s="131">
        <f>(1-INDEX(Data!$C$9:$C$13, MATCH($A$3, options,0)))*('Option1 (base case)'!O36-O36)</f>
        <v>1062265.7223508165</v>
      </c>
      <c r="P64" s="131">
        <f>(1-INDEX(Data!$C$9:$C$13, MATCH($A$3, options,0)))*('Option1 (base case)'!P36-P36)</f>
        <v>1103470.1854161485</v>
      </c>
      <c r="Q64" s="131">
        <f>(1-INDEX(Data!$C$9:$C$13, MATCH($A$3, options,0)))*('Option1 (base case)'!Q36-Q36)</f>
        <v>1132971.4470765155</v>
      </c>
      <c r="R64" s="131">
        <f>(1-INDEX(Data!$C$9:$C$13, MATCH($A$3, options,0)))*('Option1 (base case)'!R36-R36)</f>
        <v>1141149.0126772318</v>
      </c>
      <c r="S64" s="131">
        <f>(1-INDEX(Data!$C$9:$C$13, MATCH($A$3, options,0)))*('Option1 (base case)'!S36-S36)</f>
        <v>1149535.4110547861</v>
      </c>
      <c r="T64" s="131">
        <f>(1-INDEX(Data!$C$9:$C$13, MATCH($A$3, options,0)))*('Option1 (base case)'!T36-T36)</f>
        <v>1158091.2909312577</v>
      </c>
      <c r="U64" s="131">
        <f>(1-INDEX(Data!$C$9:$C$13, MATCH($A$3, options,0)))*('Option1 (base case)'!U36-U36)</f>
        <v>1166786.6335485885</v>
      </c>
      <c r="V64" s="131">
        <f>(1-INDEX(Data!$C$9:$C$13, MATCH($A$3, options,0)))*('Option1 (base case)'!V36-V36)</f>
        <v>1175597.9803771025</v>
      </c>
      <c r="W64" s="131">
        <f>(1-INDEX(Data!$C$9:$C$13, MATCH($A$3, options,0)))*('Option1 (base case)'!W36-W36)</f>
        <v>1184506.6381794843</v>
      </c>
      <c r="X64" s="131">
        <f>(1-INDEX(Data!$C$9:$C$13, MATCH($A$3, options,0)))*('Option1 (base case)'!X36-X36)</f>
        <v>1193497.4693392368</v>
      </c>
      <c r="Y64" s="131">
        <f>(1-INDEX(Data!$C$9:$C$13, MATCH($A$3, options,0)))*('Option1 (base case)'!Y36-Y36)</f>
        <v>1202558.0492572086</v>
      </c>
      <c r="Z64" s="131">
        <f>(1-INDEX(Data!$C$9:$C$13, MATCH($A$3, options,0)))*('Option1 (base case)'!Z36-Z36)</f>
        <v>1211678.0629602808</v>
      </c>
      <c r="AA64" s="131">
        <f>(1-INDEX(Data!$C$9:$C$13, MATCH($A$3, options,0)))*('Option1 (base case)'!AA36-AA36)</f>
        <v>1220848.8627155737</v>
      </c>
      <c r="AB64" s="131">
        <f>(1-INDEX(Data!$C$9:$C$13, MATCH($A$3, options,0)))*('Option1 (base case)'!AB36-AB36)</f>
        <v>1230063.137043383</v>
      </c>
      <c r="AC64" s="131">
        <f>(1-INDEX(Data!$C$9:$C$13, MATCH($A$3, options,0)))*('Option1 (base case)'!AC36-AC36)</f>
        <v>1239314.6586670913</v>
      </c>
      <c r="AD64" s="131">
        <f>(1-INDEX(Data!$C$9:$C$13, MATCH($A$3, options,0)))*('Option1 (base case)'!AD36-AD36)</f>
        <v>1248598.0895756208</v>
      </c>
      <c r="AE64" s="131">
        <f>(1-INDEX(Data!$C$9:$C$13, MATCH($A$3, options,0)))*('Option1 (base case)'!AE36-AE36)</f>
        <v>1257599.1126892604</v>
      </c>
      <c r="AF64" s="131">
        <f>(1-INDEX(Data!$C$9:$C$13, MATCH($A$3, options,0)))*('Option1 (base case)'!AF36-AF36)</f>
        <v>1266625.6357019553</v>
      </c>
      <c r="AG64" s="131">
        <f>(1-INDEX(Data!$C$9:$C$13, MATCH($A$3, options,0)))*('Option1 (base case)'!AG36-AG36)</f>
        <v>1275674.1151697761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Replace 1 transformer</v>
      </c>
      <c r="D67" s="38"/>
      <c r="F67" s="96"/>
      <c r="G67" s="209">
        <f>input_dollars</f>
        <v>45291</v>
      </c>
      <c r="H67" s="31"/>
      <c r="I67" s="118">
        <f t="shared" ref="I67:AG67" si="4">-I14</f>
        <v>-5066390.3999999994</v>
      </c>
      <c r="J67" s="118">
        <f t="shared" si="4"/>
        <v>-2533195.1999999997</v>
      </c>
      <c r="K67" s="118">
        <f t="shared" si="4"/>
        <v>0</v>
      </c>
      <c r="L67" s="118">
        <f t="shared" si="4"/>
        <v>0</v>
      </c>
      <c r="M67" s="118">
        <f t="shared" si="4"/>
        <v>0</v>
      </c>
      <c r="N67" s="118">
        <f t="shared" si="4"/>
        <v>0</v>
      </c>
      <c r="O67" s="118">
        <f t="shared" si="4"/>
        <v>0</v>
      </c>
      <c r="P67" s="118">
        <f t="shared" si="4"/>
        <v>0</v>
      </c>
      <c r="Q67" s="118">
        <f t="shared" si="4"/>
        <v>0</v>
      </c>
      <c r="R67" s="118">
        <f t="shared" si="4"/>
        <v>0</v>
      </c>
      <c r="S67" s="118">
        <f t="shared" si="4"/>
        <v>0</v>
      </c>
      <c r="T67" s="118">
        <f t="shared" si="4"/>
        <v>0</v>
      </c>
      <c r="U67" s="118">
        <f t="shared" si="4"/>
        <v>0</v>
      </c>
      <c r="V67" s="118">
        <f t="shared" si="4"/>
        <v>0</v>
      </c>
      <c r="W67" s="118">
        <f t="shared" si="4"/>
        <v>0</v>
      </c>
      <c r="X67" s="118">
        <f t="shared" si="4"/>
        <v>0</v>
      </c>
      <c r="Y67" s="118">
        <f t="shared" si="4"/>
        <v>0</v>
      </c>
      <c r="Z67" s="118">
        <f t="shared" si="4"/>
        <v>0</v>
      </c>
      <c r="AA67" s="118">
        <f t="shared" si="4"/>
        <v>0</v>
      </c>
      <c r="AB67" s="118">
        <f t="shared" si="4"/>
        <v>0</v>
      </c>
      <c r="AC67" s="118">
        <f t="shared" si="4"/>
        <v>0</v>
      </c>
      <c r="AD67" s="118">
        <f t="shared" si="4"/>
        <v>0</v>
      </c>
      <c r="AE67" s="118">
        <f t="shared" si="4"/>
        <v>0</v>
      </c>
      <c r="AF67" s="118">
        <f t="shared" si="4"/>
        <v>0</v>
      </c>
      <c r="AG67" s="118">
        <f t="shared" si="4"/>
        <v>0</v>
      </c>
    </row>
    <row r="68" spans="1:33" x14ac:dyDescent="0.2">
      <c r="A68" s="8"/>
      <c r="B68" s="8"/>
      <c r="C68" s="4">
        <f>C15</f>
        <v>0</v>
      </c>
      <c r="D68" s="38"/>
      <c r="F68" s="96"/>
      <c r="G68" s="209">
        <f>input_dollars</f>
        <v>45291</v>
      </c>
      <c r="H68" s="31"/>
      <c r="I68" s="118">
        <f t="shared" ref="I68:AG68" si="5">-I15</f>
        <v>0</v>
      </c>
      <c r="J68" s="118">
        <f t="shared" si="5"/>
        <v>0</v>
      </c>
      <c r="K68" s="118">
        <f t="shared" si="5"/>
        <v>0</v>
      </c>
      <c r="L68" s="118">
        <f t="shared" si="5"/>
        <v>0</v>
      </c>
      <c r="M68" s="118">
        <f t="shared" si="5"/>
        <v>0</v>
      </c>
      <c r="N68" s="118">
        <f t="shared" si="5"/>
        <v>0</v>
      </c>
      <c r="O68" s="118">
        <f t="shared" si="5"/>
        <v>0</v>
      </c>
      <c r="P68" s="118">
        <f t="shared" si="5"/>
        <v>0</v>
      </c>
      <c r="Q68" s="118">
        <f t="shared" si="5"/>
        <v>0</v>
      </c>
      <c r="R68" s="118">
        <f t="shared" si="5"/>
        <v>0</v>
      </c>
      <c r="S68" s="118">
        <f t="shared" si="5"/>
        <v>0</v>
      </c>
      <c r="T68" s="118">
        <f t="shared" si="5"/>
        <v>0</v>
      </c>
      <c r="U68" s="118">
        <f t="shared" si="5"/>
        <v>0</v>
      </c>
      <c r="V68" s="118">
        <f t="shared" si="5"/>
        <v>0</v>
      </c>
      <c r="W68" s="118">
        <f t="shared" si="5"/>
        <v>0</v>
      </c>
      <c r="X68" s="118">
        <f t="shared" si="5"/>
        <v>0</v>
      </c>
      <c r="Y68" s="118">
        <f t="shared" si="5"/>
        <v>0</v>
      </c>
      <c r="Z68" s="118">
        <f t="shared" si="5"/>
        <v>0</v>
      </c>
      <c r="AA68" s="118">
        <f t="shared" si="5"/>
        <v>0</v>
      </c>
      <c r="AB68" s="118">
        <f t="shared" si="5"/>
        <v>0</v>
      </c>
      <c r="AC68" s="118">
        <f t="shared" si="5"/>
        <v>0</v>
      </c>
      <c r="AD68" s="118">
        <f t="shared" si="5"/>
        <v>0</v>
      </c>
      <c r="AE68" s="118">
        <f t="shared" si="5"/>
        <v>0</v>
      </c>
      <c r="AF68" s="118">
        <f t="shared" si="5"/>
        <v>0</v>
      </c>
      <c r="AG68" s="118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6"/>
      <c r="G69" s="209">
        <f>input_dollars</f>
        <v>45291</v>
      </c>
      <c r="H69" s="31"/>
      <c r="I69" s="118">
        <f t="shared" ref="I69:AG69" si="6">-I16</f>
        <v>0</v>
      </c>
      <c r="J69" s="118">
        <f t="shared" si="6"/>
        <v>0</v>
      </c>
      <c r="K69" s="118">
        <f t="shared" si="6"/>
        <v>0</v>
      </c>
      <c r="L69" s="118">
        <f t="shared" si="6"/>
        <v>0</v>
      </c>
      <c r="M69" s="118">
        <f t="shared" si="6"/>
        <v>0</v>
      </c>
      <c r="N69" s="118">
        <f t="shared" si="6"/>
        <v>0</v>
      </c>
      <c r="O69" s="118">
        <f t="shared" si="6"/>
        <v>0</v>
      </c>
      <c r="P69" s="118">
        <f t="shared" si="6"/>
        <v>0</v>
      </c>
      <c r="Q69" s="118">
        <f t="shared" si="6"/>
        <v>0</v>
      </c>
      <c r="R69" s="118">
        <f t="shared" si="6"/>
        <v>0</v>
      </c>
      <c r="S69" s="118">
        <f t="shared" si="6"/>
        <v>0</v>
      </c>
      <c r="T69" s="118">
        <f t="shared" si="6"/>
        <v>0</v>
      </c>
      <c r="U69" s="118">
        <f t="shared" si="6"/>
        <v>0</v>
      </c>
      <c r="V69" s="118">
        <f t="shared" si="6"/>
        <v>0</v>
      </c>
      <c r="W69" s="118">
        <f t="shared" si="6"/>
        <v>0</v>
      </c>
      <c r="X69" s="118">
        <f t="shared" si="6"/>
        <v>0</v>
      </c>
      <c r="Y69" s="118">
        <f t="shared" si="6"/>
        <v>0</v>
      </c>
      <c r="Z69" s="118">
        <f t="shared" si="6"/>
        <v>0</v>
      </c>
      <c r="AA69" s="118">
        <f t="shared" si="6"/>
        <v>0</v>
      </c>
      <c r="AB69" s="118">
        <f t="shared" si="6"/>
        <v>0</v>
      </c>
      <c r="AC69" s="118">
        <f t="shared" si="6"/>
        <v>0</v>
      </c>
      <c r="AD69" s="118">
        <f t="shared" si="6"/>
        <v>0</v>
      </c>
      <c r="AE69" s="118">
        <f t="shared" si="6"/>
        <v>0</v>
      </c>
      <c r="AF69" s="118">
        <f t="shared" si="6"/>
        <v>0</v>
      </c>
      <c r="AG69" s="118">
        <f t="shared" si="6"/>
        <v>0</v>
      </c>
    </row>
    <row r="70" spans="1:33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Replace 1 transformer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-5066390.3999999994</v>
      </c>
      <c r="J72" s="118" cm="1">
        <f t="array" ref="J72">SUMPRODUCT(($I67:J67))-SUMPRODUCT(($I67:J67)*($I$6:J$6&lt;=(J$6-$E14)))</f>
        <v>-7599585.5999999996</v>
      </c>
      <c r="K72" s="118" cm="1">
        <f t="array" ref="K72">SUMPRODUCT(($I67:K67))-SUMPRODUCT(($I67:K67)*($I$6:K$6&lt;=(K$6-$E14)))</f>
        <v>-7599585.5999999996</v>
      </c>
      <c r="L72" s="118" cm="1">
        <f t="array" ref="L72">SUMPRODUCT(($I67:L67))-SUMPRODUCT(($I67:L67)*($I$6:L$6&lt;=(L$6-$E14)))</f>
        <v>-7599585.5999999996</v>
      </c>
      <c r="M72" s="118" cm="1">
        <f t="array" ref="M72">SUMPRODUCT(($I67:M67))-SUMPRODUCT(($I67:M67)*($I$6:M$6&lt;=(M$6-$E14)))</f>
        <v>-7599585.5999999996</v>
      </c>
      <c r="N72" s="118" cm="1">
        <f t="array" ref="N72">SUMPRODUCT(($I67:N67))-SUMPRODUCT(($I67:N67)*($I$6:N$6&lt;=(N$6-$E14)))</f>
        <v>-7599585.5999999996</v>
      </c>
      <c r="O72" s="118" cm="1">
        <f t="array" ref="O72">SUMPRODUCT(($I67:O67))-SUMPRODUCT(($I67:O67)*($I$6:O$6&lt;=(O$6-$E14)))</f>
        <v>-7599585.5999999996</v>
      </c>
      <c r="P72" s="118" cm="1">
        <f t="array" ref="P72">SUMPRODUCT(($I67:P67))-SUMPRODUCT(($I67:P67)*($I$6:P$6&lt;=(P$6-$E14)))</f>
        <v>-7599585.5999999996</v>
      </c>
      <c r="Q72" s="118" cm="1">
        <f t="array" ref="Q72">SUMPRODUCT(($I67:Q67))-SUMPRODUCT(($I67:Q67)*($I$6:Q$6&lt;=(Q$6-$E14)))</f>
        <v>-7599585.5999999996</v>
      </c>
      <c r="R72" s="118" cm="1">
        <f t="array" ref="R72">SUMPRODUCT(($I67:R67))-SUMPRODUCT(($I67:R67)*($I$6:R$6&lt;=(R$6-$E14)))</f>
        <v>-7599585.5999999996</v>
      </c>
      <c r="S72" s="118" cm="1">
        <f t="array" ref="S72">SUMPRODUCT(($I67:S67))-SUMPRODUCT(($I67:S67)*($I$6:S$6&lt;=(S$6-$E14)))</f>
        <v>-7599585.5999999996</v>
      </c>
      <c r="T72" s="118" cm="1">
        <f t="array" ref="T72">SUMPRODUCT(($I67:T67))-SUMPRODUCT(($I67:T67)*($I$6:T$6&lt;=(T$6-$E14)))</f>
        <v>-7599585.5999999996</v>
      </c>
      <c r="U72" s="118" cm="1">
        <f t="array" ref="U72">SUMPRODUCT(($I67:U67))-SUMPRODUCT(($I67:U67)*($I$6:U$6&lt;=(U$6-$E14)))</f>
        <v>-7599585.5999999996</v>
      </c>
      <c r="V72" s="118" cm="1">
        <f t="array" ref="V72">SUMPRODUCT(($I67:V67))-SUMPRODUCT(($I67:V67)*($I$6:V$6&lt;=(V$6-$E14)))</f>
        <v>-7599585.5999999996</v>
      </c>
      <c r="W72" s="118" cm="1">
        <f t="array" ref="W72">SUMPRODUCT(($I67:W67))-SUMPRODUCT(($I67:W67)*($I$6:W$6&lt;=(W$6-$E14)))</f>
        <v>-7599585.5999999996</v>
      </c>
      <c r="X72" s="118" cm="1">
        <f t="array" ref="X72">SUMPRODUCT(($I67:X67))-SUMPRODUCT(($I67:X67)*($I$6:X$6&lt;=(X$6-$E14)))</f>
        <v>-7599585.5999999996</v>
      </c>
      <c r="Y72" s="118" cm="1">
        <f t="array" ref="Y72">SUMPRODUCT(($I67:Y67))-SUMPRODUCT(($I67:Y67)*($I$6:Y$6&lt;=(Y$6-$E14)))</f>
        <v>-7599585.5999999996</v>
      </c>
      <c r="Z72" s="118" cm="1">
        <f t="array" ref="Z72">SUMPRODUCT(($I67:Z67))-SUMPRODUCT(($I67:Z67)*($I$6:Z$6&lt;=(Z$6-$E14)))</f>
        <v>-7599585.5999999996</v>
      </c>
      <c r="AA72" s="118" cm="1">
        <f t="array" ref="AA72">SUMPRODUCT(($I67:AA67))-SUMPRODUCT(($I67:AA67)*($I$6:AA$6&lt;=(AA$6-$E14)))</f>
        <v>-7599585.5999999996</v>
      </c>
      <c r="AB72" s="118" cm="1">
        <f t="array" ref="AB72">SUMPRODUCT(($I67:AB67))-SUMPRODUCT(($I67:AB67)*($I$6:AB$6&lt;=(AB$6-$E14)))</f>
        <v>-7599585.5999999996</v>
      </c>
      <c r="AC72" s="118" cm="1">
        <f t="array" ref="AC72">SUMPRODUCT(($I67:AC67))-SUMPRODUCT(($I67:AC67)*($I$6:AC$6&lt;=(AC$6-$E14)))</f>
        <v>-7599585.5999999996</v>
      </c>
      <c r="AD72" s="118" cm="1">
        <f t="array" ref="AD72">SUMPRODUCT(($I67:AD67))-SUMPRODUCT(($I67:AD67)*($I$6:AD$6&lt;=(AD$6-$E14)))</f>
        <v>-7599585.5999999996</v>
      </c>
      <c r="AE72" s="118" cm="1">
        <f t="array" ref="AE72">SUMPRODUCT(($I67:AE67))-SUMPRODUCT(($I67:AE67)*($I$6:AE$6&lt;=(AE$6-$E14)))</f>
        <v>-7599585.5999999996</v>
      </c>
      <c r="AF72" s="118" cm="1">
        <f t="array" ref="AF72">SUMPRODUCT(($I67:AF67))-SUMPRODUCT(($I67:AF67)*($I$6:AF$6&lt;=(AF$6-$E14)))</f>
        <v>-7599585.5999999996</v>
      </c>
      <c r="AG72" s="118" cm="1">
        <f t="array" ref="AG72">SUMPRODUCT(($I67:AG67))-SUMPRODUCT(($I67:AG67)*($I$6:AG$6&lt;=(AG$6-$E14)))</f>
        <v>-7599585.5999999996</v>
      </c>
    </row>
    <row r="73" spans="1:33" x14ac:dyDescent="0.2">
      <c r="A73" s="8"/>
      <c r="B73" s="8"/>
      <c r="C73" s="4">
        <f>C15</f>
        <v>0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8"/>
      <c r="F76" s="96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Replace 1 transformer</v>
      </c>
      <c r="D77" s="38"/>
      <c r="F77" s="96"/>
      <c r="G77" s="209">
        <f>input_dollars</f>
        <v>45291</v>
      </c>
      <c r="H77" s="31"/>
      <c r="I77" s="118">
        <f t="shared" ref="I77:AG77" si="7">IF($E14=0,0,-PMT(real_disc, $E14,H72,))</f>
        <v>0</v>
      </c>
      <c r="J77" s="118">
        <f t="shared" si="7"/>
        <v>-215999.01686434684</v>
      </c>
      <c r="K77" s="118">
        <f t="shared" si="7"/>
        <v>-323998.52529652027</v>
      </c>
      <c r="L77" s="118">
        <f t="shared" si="7"/>
        <v>-323998.52529652027</v>
      </c>
      <c r="M77" s="118">
        <f t="shared" si="7"/>
        <v>-323998.52529652027</v>
      </c>
      <c r="N77" s="118">
        <f t="shared" si="7"/>
        <v>-323998.52529652027</v>
      </c>
      <c r="O77" s="118">
        <f t="shared" si="7"/>
        <v>-323998.52529652027</v>
      </c>
      <c r="P77" s="118">
        <f t="shared" si="7"/>
        <v>-323998.52529652027</v>
      </c>
      <c r="Q77" s="118">
        <f t="shared" si="7"/>
        <v>-323998.52529652027</v>
      </c>
      <c r="R77" s="118">
        <f t="shared" si="7"/>
        <v>-323998.52529652027</v>
      </c>
      <c r="S77" s="118">
        <f t="shared" si="7"/>
        <v>-323998.52529652027</v>
      </c>
      <c r="T77" s="118">
        <f t="shared" si="7"/>
        <v>-323998.52529652027</v>
      </c>
      <c r="U77" s="118">
        <f t="shared" si="7"/>
        <v>-323998.52529652027</v>
      </c>
      <c r="V77" s="118">
        <f t="shared" si="7"/>
        <v>-323998.52529652027</v>
      </c>
      <c r="W77" s="118">
        <f t="shared" si="7"/>
        <v>-323998.52529652027</v>
      </c>
      <c r="X77" s="118">
        <f t="shared" si="7"/>
        <v>-323998.52529652027</v>
      </c>
      <c r="Y77" s="118">
        <f t="shared" si="7"/>
        <v>-323998.52529652027</v>
      </c>
      <c r="Z77" s="118">
        <f t="shared" si="7"/>
        <v>-323998.52529652027</v>
      </c>
      <c r="AA77" s="118">
        <f t="shared" si="7"/>
        <v>-323998.52529652027</v>
      </c>
      <c r="AB77" s="118">
        <f t="shared" si="7"/>
        <v>-323998.52529652027</v>
      </c>
      <c r="AC77" s="118">
        <f t="shared" si="7"/>
        <v>-323998.52529652027</v>
      </c>
      <c r="AD77" s="118">
        <f t="shared" si="7"/>
        <v>-323998.52529652027</v>
      </c>
      <c r="AE77" s="118">
        <f t="shared" si="7"/>
        <v>-323998.52529652027</v>
      </c>
      <c r="AF77" s="118">
        <f t="shared" si="7"/>
        <v>-323998.52529652027</v>
      </c>
      <c r="AG77" s="118">
        <f t="shared" si="7"/>
        <v>-323998.52529652027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6"/>
      <c r="G78" s="209">
        <f>input_dollars</f>
        <v>45291</v>
      </c>
      <c r="H78" s="31"/>
      <c r="I78" s="118">
        <f t="shared" ref="I78:AG78" si="8">IF($E15=0,0,-PMT(real_disc, $E15,H73,))</f>
        <v>0</v>
      </c>
      <c r="J78" s="118">
        <f t="shared" si="8"/>
        <v>0</v>
      </c>
      <c r="K78" s="118">
        <f t="shared" si="8"/>
        <v>0</v>
      </c>
      <c r="L78" s="118">
        <f t="shared" si="8"/>
        <v>0</v>
      </c>
      <c r="M78" s="118">
        <f t="shared" si="8"/>
        <v>0</v>
      </c>
      <c r="N78" s="118">
        <f t="shared" si="8"/>
        <v>0</v>
      </c>
      <c r="O78" s="118">
        <f t="shared" si="8"/>
        <v>0</v>
      </c>
      <c r="P78" s="118">
        <f t="shared" si="8"/>
        <v>0</v>
      </c>
      <c r="Q78" s="118">
        <f t="shared" si="8"/>
        <v>0</v>
      </c>
      <c r="R78" s="118">
        <f t="shared" si="8"/>
        <v>0</v>
      </c>
      <c r="S78" s="118">
        <f t="shared" si="8"/>
        <v>0</v>
      </c>
      <c r="T78" s="118">
        <f t="shared" si="8"/>
        <v>0</v>
      </c>
      <c r="U78" s="118">
        <f t="shared" si="8"/>
        <v>0</v>
      </c>
      <c r="V78" s="118">
        <f t="shared" si="8"/>
        <v>0</v>
      </c>
      <c r="W78" s="118">
        <f t="shared" si="8"/>
        <v>0</v>
      </c>
      <c r="X78" s="118">
        <f t="shared" si="8"/>
        <v>0</v>
      </c>
      <c r="Y78" s="118">
        <f t="shared" si="8"/>
        <v>0</v>
      </c>
      <c r="Z78" s="118">
        <f t="shared" si="8"/>
        <v>0</v>
      </c>
      <c r="AA78" s="118">
        <f t="shared" si="8"/>
        <v>0</v>
      </c>
      <c r="AB78" s="118">
        <f t="shared" si="8"/>
        <v>0</v>
      </c>
      <c r="AC78" s="118">
        <f t="shared" si="8"/>
        <v>0</v>
      </c>
      <c r="AD78" s="118">
        <f t="shared" si="8"/>
        <v>0</v>
      </c>
      <c r="AE78" s="118">
        <f t="shared" si="8"/>
        <v>0</v>
      </c>
      <c r="AF78" s="118">
        <f t="shared" si="8"/>
        <v>0</v>
      </c>
      <c r="AG78" s="118">
        <f t="shared" si="8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6"/>
      <c r="G79" s="209">
        <f>input_dollars</f>
        <v>45291</v>
      </c>
      <c r="H79" s="31"/>
      <c r="I79" s="118">
        <f t="shared" ref="I79:AG79" si="9">IF($E16=0,0,-PMT(real_disc, $E16,H74,))</f>
        <v>0</v>
      </c>
      <c r="J79" s="118">
        <f t="shared" si="9"/>
        <v>0</v>
      </c>
      <c r="K79" s="118">
        <f t="shared" si="9"/>
        <v>0</v>
      </c>
      <c r="L79" s="118">
        <f t="shared" si="9"/>
        <v>0</v>
      </c>
      <c r="M79" s="118">
        <f t="shared" si="9"/>
        <v>0</v>
      </c>
      <c r="N79" s="118">
        <f t="shared" si="9"/>
        <v>0</v>
      </c>
      <c r="O79" s="118">
        <f t="shared" si="9"/>
        <v>0</v>
      </c>
      <c r="P79" s="118">
        <f t="shared" si="9"/>
        <v>0</v>
      </c>
      <c r="Q79" s="118">
        <f t="shared" si="9"/>
        <v>0</v>
      </c>
      <c r="R79" s="118">
        <f t="shared" si="9"/>
        <v>0</v>
      </c>
      <c r="S79" s="118">
        <f t="shared" si="9"/>
        <v>0</v>
      </c>
      <c r="T79" s="118">
        <f t="shared" si="9"/>
        <v>0</v>
      </c>
      <c r="U79" s="118">
        <f t="shared" si="9"/>
        <v>0</v>
      </c>
      <c r="V79" s="118">
        <f t="shared" si="9"/>
        <v>0</v>
      </c>
      <c r="W79" s="118">
        <f t="shared" si="9"/>
        <v>0</v>
      </c>
      <c r="X79" s="118">
        <f t="shared" si="9"/>
        <v>0</v>
      </c>
      <c r="Y79" s="118">
        <f t="shared" si="9"/>
        <v>0</v>
      </c>
      <c r="Z79" s="118">
        <f t="shared" si="9"/>
        <v>0</v>
      </c>
      <c r="AA79" s="118">
        <f t="shared" si="9"/>
        <v>0</v>
      </c>
      <c r="AB79" s="118">
        <f t="shared" si="9"/>
        <v>0</v>
      </c>
      <c r="AC79" s="118">
        <f t="shared" si="9"/>
        <v>0</v>
      </c>
      <c r="AD79" s="118">
        <f t="shared" si="9"/>
        <v>0</v>
      </c>
      <c r="AE79" s="118">
        <f t="shared" si="9"/>
        <v>0</v>
      </c>
      <c r="AF79" s="118">
        <f t="shared" si="9"/>
        <v>0</v>
      </c>
      <c r="AG79" s="118">
        <f t="shared" si="9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0">SUM(J77:J79)</f>
        <v>-215999.01686434684</v>
      </c>
      <c r="K80" s="175">
        <f t="shared" si="10"/>
        <v>-323998.52529652027</v>
      </c>
      <c r="L80" s="175">
        <f t="shared" si="10"/>
        <v>-323998.52529652027</v>
      </c>
      <c r="M80" s="175">
        <f t="shared" si="10"/>
        <v>-323998.52529652027</v>
      </c>
      <c r="N80" s="175">
        <f t="shared" si="10"/>
        <v>-323998.52529652027</v>
      </c>
      <c r="O80" s="175">
        <f t="shared" si="10"/>
        <v>-323998.52529652027</v>
      </c>
      <c r="P80" s="175">
        <f t="shared" si="10"/>
        <v>-323998.52529652027</v>
      </c>
      <c r="Q80" s="175">
        <f t="shared" si="10"/>
        <v>-323998.52529652027</v>
      </c>
      <c r="R80" s="175">
        <f t="shared" si="10"/>
        <v>-323998.52529652027</v>
      </c>
      <c r="S80" s="175">
        <f t="shared" si="10"/>
        <v>-323998.52529652027</v>
      </c>
      <c r="T80" s="175">
        <f t="shared" si="10"/>
        <v>-323998.52529652027</v>
      </c>
      <c r="U80" s="175">
        <f t="shared" si="10"/>
        <v>-323998.52529652027</v>
      </c>
      <c r="V80" s="175">
        <f t="shared" si="10"/>
        <v>-323998.52529652027</v>
      </c>
      <c r="W80" s="175">
        <f t="shared" si="10"/>
        <v>-323998.52529652027</v>
      </c>
      <c r="X80" s="175">
        <f t="shared" si="10"/>
        <v>-323998.52529652027</v>
      </c>
      <c r="Y80" s="175">
        <f t="shared" si="10"/>
        <v>-323998.52529652027</v>
      </c>
      <c r="Z80" s="175">
        <f t="shared" si="10"/>
        <v>-323998.52529652027</v>
      </c>
      <c r="AA80" s="175">
        <f t="shared" si="10"/>
        <v>-323998.52529652027</v>
      </c>
      <c r="AB80" s="175">
        <f t="shared" si="10"/>
        <v>-323998.52529652027</v>
      </c>
      <c r="AC80" s="175">
        <f>SUM(AC77:AC79)</f>
        <v>-323998.52529652027</v>
      </c>
      <c r="AD80" s="175">
        <f>SUM(AD77:AD79)</f>
        <v>-323998.52529652027</v>
      </c>
      <c r="AE80" s="175">
        <f>SUM(AE77:AE79)</f>
        <v>-323998.52529652027</v>
      </c>
      <c r="AF80" s="175">
        <f>SUM(AF77:AF79)</f>
        <v>-323998.52529652027</v>
      </c>
      <c r="AG80" s="175">
        <f>SUM(AG77:AG79)</f>
        <v>-323998.52529652027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9">
        <f t="shared" ref="G82:G87" si="11">input_dollars</f>
        <v>45291</v>
      </c>
      <c r="H82" s="31"/>
      <c r="I82" s="118">
        <f>I80</f>
        <v>0</v>
      </c>
      <c r="J82" s="118">
        <f t="shared" ref="J82:AB82" si="12">J80</f>
        <v>-215999.01686434684</v>
      </c>
      <c r="K82" s="118">
        <f t="shared" si="12"/>
        <v>-323998.52529652027</v>
      </c>
      <c r="L82" s="118">
        <f t="shared" si="12"/>
        <v>-323998.52529652027</v>
      </c>
      <c r="M82" s="118">
        <f t="shared" si="12"/>
        <v>-323998.52529652027</v>
      </c>
      <c r="N82" s="118">
        <f t="shared" si="12"/>
        <v>-323998.52529652027</v>
      </c>
      <c r="O82" s="118">
        <f t="shared" si="12"/>
        <v>-323998.52529652027</v>
      </c>
      <c r="P82" s="118">
        <f t="shared" si="12"/>
        <v>-323998.52529652027</v>
      </c>
      <c r="Q82" s="118">
        <f t="shared" si="12"/>
        <v>-323998.52529652027</v>
      </c>
      <c r="R82" s="118">
        <f t="shared" si="12"/>
        <v>-323998.52529652027</v>
      </c>
      <c r="S82" s="118">
        <f t="shared" si="12"/>
        <v>-323998.52529652027</v>
      </c>
      <c r="T82" s="118">
        <f t="shared" si="12"/>
        <v>-323998.52529652027</v>
      </c>
      <c r="U82" s="118">
        <f t="shared" si="12"/>
        <v>-323998.52529652027</v>
      </c>
      <c r="V82" s="118">
        <f t="shared" si="12"/>
        <v>-323998.52529652027</v>
      </c>
      <c r="W82" s="118">
        <f t="shared" si="12"/>
        <v>-323998.52529652027</v>
      </c>
      <c r="X82" s="118">
        <f t="shared" si="12"/>
        <v>-323998.52529652027</v>
      </c>
      <c r="Y82" s="118">
        <f t="shared" si="12"/>
        <v>-323998.52529652027</v>
      </c>
      <c r="Z82" s="118">
        <f t="shared" si="12"/>
        <v>-323998.52529652027</v>
      </c>
      <c r="AA82" s="118">
        <f t="shared" si="12"/>
        <v>-323998.52529652027</v>
      </c>
      <c r="AB82" s="118">
        <f t="shared" si="12"/>
        <v>-323998.52529652027</v>
      </c>
      <c r="AC82" s="118">
        <f>AC80</f>
        <v>-323998.52529652027</v>
      </c>
      <c r="AD82" s="118">
        <f>AD80</f>
        <v>-323998.52529652027</v>
      </c>
      <c r="AE82" s="118">
        <f>AE80</f>
        <v>-323998.52529652027</v>
      </c>
      <c r="AF82" s="118">
        <f>AF80</f>
        <v>-323998.52529652027</v>
      </c>
      <c r="AG82" s="118">
        <f>AG80</f>
        <v>-323998.52529652027</v>
      </c>
    </row>
    <row r="83" spans="1:33" x14ac:dyDescent="0.2">
      <c r="A83" s="8"/>
      <c r="B83" s="8"/>
      <c r="C83" s="4" t="s">
        <v>31</v>
      </c>
      <c r="D83" s="38"/>
      <c r="F83" s="96"/>
      <c r="G83" s="209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140</v>
      </c>
      <c r="D84" s="38"/>
      <c r="F84" s="96"/>
      <c r="G84" s="209">
        <f t="shared" si="11"/>
        <v>45291</v>
      </c>
      <c r="H84" s="31"/>
      <c r="I84" s="31">
        <f>I64</f>
        <v>0</v>
      </c>
      <c r="J84" s="31">
        <f t="shared" ref="J84:AB84" si="14">J64</f>
        <v>0</v>
      </c>
      <c r="K84" s="31">
        <f t="shared" si="14"/>
        <v>947762.9428598691</v>
      </c>
      <c r="L84" s="31">
        <f t="shared" si="14"/>
        <v>976273.88968758867</v>
      </c>
      <c r="M84" s="31">
        <f t="shared" si="14"/>
        <v>1001380.0023669864</v>
      </c>
      <c r="N84" s="31">
        <f t="shared" si="14"/>
        <v>1028337.4933175915</v>
      </c>
      <c r="O84" s="31">
        <f t="shared" si="14"/>
        <v>1062265.7223508165</v>
      </c>
      <c r="P84" s="31">
        <f t="shared" si="14"/>
        <v>1103470.1854161485</v>
      </c>
      <c r="Q84" s="31">
        <f t="shared" si="14"/>
        <v>1132971.4470765155</v>
      </c>
      <c r="R84" s="31">
        <f t="shared" si="14"/>
        <v>1141149.0126772318</v>
      </c>
      <c r="S84" s="31">
        <f t="shared" si="14"/>
        <v>1149535.4110547861</v>
      </c>
      <c r="T84" s="31">
        <f t="shared" si="14"/>
        <v>1158091.2909312577</v>
      </c>
      <c r="U84" s="31">
        <f t="shared" si="14"/>
        <v>1166786.6335485885</v>
      </c>
      <c r="V84" s="31">
        <f t="shared" si="14"/>
        <v>1175597.9803771025</v>
      </c>
      <c r="W84" s="31">
        <f t="shared" si="14"/>
        <v>1184506.6381794843</v>
      </c>
      <c r="X84" s="31">
        <f t="shared" si="14"/>
        <v>1193497.4693392368</v>
      </c>
      <c r="Y84" s="31">
        <f t="shared" si="14"/>
        <v>1202558.0492572086</v>
      </c>
      <c r="Z84" s="31">
        <f t="shared" si="14"/>
        <v>1211678.0629602808</v>
      </c>
      <c r="AA84" s="31">
        <f t="shared" si="14"/>
        <v>1220848.8627155737</v>
      </c>
      <c r="AB84" s="31">
        <f t="shared" si="14"/>
        <v>1230063.137043383</v>
      </c>
      <c r="AC84" s="31">
        <f>AC64</f>
        <v>1239314.6586670913</v>
      </c>
      <c r="AD84" s="31">
        <f>AD64</f>
        <v>1248598.0895756208</v>
      </c>
      <c r="AE84" s="31">
        <f>AE64</f>
        <v>1257599.1126892604</v>
      </c>
      <c r="AF84" s="31">
        <f>AF64</f>
        <v>1266625.6357019553</v>
      </c>
      <c r="AG84" s="31">
        <f>AG64</f>
        <v>1275674.1151697761</v>
      </c>
    </row>
    <row r="85" spans="1:33" x14ac:dyDescent="0.2">
      <c r="A85" s="8"/>
      <c r="B85" s="8"/>
      <c r="C85" s="4" t="s">
        <v>122</v>
      </c>
      <c r="D85" s="38"/>
      <c r="F85" s="96"/>
      <c r="G85" s="209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1"/>
        <v>45291</v>
      </c>
      <c r="H87" s="178"/>
      <c r="I87" s="178">
        <f t="shared" ref="I87:AB87" si="16">SUM(I82:I86)</f>
        <v>0</v>
      </c>
      <c r="J87" s="178">
        <f t="shared" si="16"/>
        <v>-215999.01686434684</v>
      </c>
      <c r="K87" s="178">
        <f t="shared" si="16"/>
        <v>623764.41756334878</v>
      </c>
      <c r="L87" s="178">
        <f t="shared" si="16"/>
        <v>652275.36439106846</v>
      </c>
      <c r="M87" s="178">
        <f t="shared" si="16"/>
        <v>677381.47707046615</v>
      </c>
      <c r="N87" s="178">
        <f t="shared" si="16"/>
        <v>704338.96802107128</v>
      </c>
      <c r="O87" s="178">
        <f t="shared" si="16"/>
        <v>738267.19705429627</v>
      </c>
      <c r="P87" s="178">
        <f t="shared" si="16"/>
        <v>779471.6601196283</v>
      </c>
      <c r="Q87" s="178">
        <f t="shared" si="16"/>
        <v>808972.92177999532</v>
      </c>
      <c r="R87" s="178">
        <f t="shared" si="16"/>
        <v>817150.48738071159</v>
      </c>
      <c r="S87" s="178">
        <f t="shared" si="16"/>
        <v>825536.88575826585</v>
      </c>
      <c r="T87" s="178">
        <f t="shared" si="16"/>
        <v>834092.76563473744</v>
      </c>
      <c r="U87" s="178">
        <f t="shared" si="16"/>
        <v>842788.10825206828</v>
      </c>
      <c r="V87" s="178">
        <f t="shared" si="16"/>
        <v>851599.45508058229</v>
      </c>
      <c r="W87" s="178">
        <f t="shared" si="16"/>
        <v>860508.11288296408</v>
      </c>
      <c r="X87" s="178">
        <f t="shared" si="16"/>
        <v>869498.94404271664</v>
      </c>
      <c r="Y87" s="178">
        <f t="shared" si="16"/>
        <v>878559.52396068838</v>
      </c>
      <c r="Z87" s="178">
        <f t="shared" si="16"/>
        <v>887679.5376637606</v>
      </c>
      <c r="AA87" s="178">
        <f t="shared" si="16"/>
        <v>896850.33741905354</v>
      </c>
      <c r="AB87" s="178">
        <f t="shared" si="16"/>
        <v>906064.61174686276</v>
      </c>
      <c r="AC87" s="178">
        <f>SUM(AC82:AC86)</f>
        <v>915316.13337057107</v>
      </c>
      <c r="AD87" s="178">
        <f>SUM(AD82:AD86)</f>
        <v>924599.56427910062</v>
      </c>
      <c r="AE87" s="178">
        <f>SUM(AE82:AE86)</f>
        <v>933600.58739274018</v>
      </c>
      <c r="AF87" s="178">
        <f>SUM(AF82:AF86)</f>
        <v>942627.11040543509</v>
      </c>
      <c r="AG87" s="178">
        <f>SUM(AG82:AG86)</f>
        <v>951675.58987325593</v>
      </c>
    </row>
    <row r="88" spans="1:33" x14ac:dyDescent="0.2">
      <c r="A88" s="8"/>
      <c r="B88" s="8"/>
      <c r="C88" s="75"/>
      <c r="D88" s="137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3"/>
      <c r="E91" s="230"/>
      <c r="F91" s="231"/>
      <c r="G91" s="232"/>
      <c r="H91" s="35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</row>
    <row r="92" spans="1:33" x14ac:dyDescent="0.2">
      <c r="C92" s="234" t="s">
        <v>193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3" x14ac:dyDescent="0.2">
      <c r="G94" s="12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spans="1:33" x14ac:dyDescent="0.2"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spans="1:43" x14ac:dyDescent="0.2"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spans="1:43" x14ac:dyDescent="0.2"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spans="1:43" x14ac:dyDescent="0.2"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spans="1:43" x14ac:dyDescent="0.2"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spans="1:43" x14ac:dyDescent="0.2"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D105"/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7">J87</f>
        <v>-215999.01686434684</v>
      </c>
      <c r="K106" s="31">
        <f t="shared" si="17"/>
        <v>623764.41756334878</v>
      </c>
      <c r="L106" s="31">
        <f t="shared" si="17"/>
        <v>652275.36439106846</v>
      </c>
      <c r="M106" s="31">
        <f t="shared" si="17"/>
        <v>677381.47707046615</v>
      </c>
      <c r="N106" s="31">
        <f t="shared" si="17"/>
        <v>704338.96802107128</v>
      </c>
      <c r="O106" s="31">
        <f t="shared" si="17"/>
        <v>738267.19705429627</v>
      </c>
      <c r="P106" s="31">
        <f t="shared" si="17"/>
        <v>779471.6601196283</v>
      </c>
      <c r="Q106" s="31">
        <f t="shared" si="17"/>
        <v>808972.92177999532</v>
      </c>
      <c r="R106" s="31">
        <f t="shared" si="17"/>
        <v>817150.48738071159</v>
      </c>
      <c r="S106" s="31">
        <f t="shared" si="17"/>
        <v>825536.88575826585</v>
      </c>
      <c r="T106" s="31">
        <f t="shared" si="17"/>
        <v>834092.76563473744</v>
      </c>
      <c r="U106" s="31">
        <f t="shared" si="17"/>
        <v>842788.10825206828</v>
      </c>
      <c r="V106" s="31">
        <f t="shared" si="17"/>
        <v>851599.45508058229</v>
      </c>
      <c r="W106" s="31">
        <f t="shared" si="17"/>
        <v>860508.11288296408</v>
      </c>
      <c r="X106" s="31">
        <f t="shared" si="17"/>
        <v>869498.94404271664</v>
      </c>
      <c r="Y106" s="31">
        <f t="shared" si="17"/>
        <v>878559.52396068838</v>
      </c>
      <c r="Z106" s="31">
        <f t="shared" si="17"/>
        <v>887679.5376637606</v>
      </c>
      <c r="AA106" s="31">
        <f t="shared" si="17"/>
        <v>896850.33741905354</v>
      </c>
      <c r="AB106" s="31">
        <f t="shared" si="17"/>
        <v>906064.61174686276</v>
      </c>
      <c r="AC106" s="31">
        <f t="shared" si="17"/>
        <v>915316.13337057107</v>
      </c>
      <c r="AD106" s="31">
        <f t="shared" si="17"/>
        <v>924599.56427910062</v>
      </c>
      <c r="AE106" s="31">
        <f t="shared" si="17"/>
        <v>933600.58739274018</v>
      </c>
      <c r="AF106" s="31">
        <f t="shared" si="17"/>
        <v>942627.11040543509</v>
      </c>
      <c r="AG106" s="31">
        <f t="shared" si="17"/>
        <v>951675.58987325593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8">J82</f>
        <v>-215999.01686434684</v>
      </c>
      <c r="K107" s="31">
        <f t="shared" si="18"/>
        <v>-323998.52529652027</v>
      </c>
      <c r="L107" s="31">
        <f t="shared" si="18"/>
        <v>-323998.52529652027</v>
      </c>
      <c r="M107" s="31">
        <f t="shared" si="18"/>
        <v>-323998.52529652027</v>
      </c>
      <c r="N107" s="31">
        <f t="shared" si="18"/>
        <v>-323998.52529652027</v>
      </c>
      <c r="O107" s="31">
        <f t="shared" si="18"/>
        <v>-323998.52529652027</v>
      </c>
      <c r="P107" s="31">
        <f t="shared" si="18"/>
        <v>-323998.52529652027</v>
      </c>
      <c r="Q107" s="31">
        <f t="shared" si="18"/>
        <v>-323998.52529652027</v>
      </c>
      <c r="R107" s="31">
        <f t="shared" si="18"/>
        <v>-323998.52529652027</v>
      </c>
      <c r="S107" s="31">
        <f t="shared" si="18"/>
        <v>-323998.52529652027</v>
      </c>
      <c r="T107" s="31">
        <f t="shared" si="18"/>
        <v>-323998.52529652027</v>
      </c>
      <c r="U107" s="31">
        <f t="shared" si="18"/>
        <v>-323998.52529652027</v>
      </c>
      <c r="V107" s="31">
        <f t="shared" si="18"/>
        <v>-323998.52529652027</v>
      </c>
      <c r="W107" s="31">
        <f t="shared" si="18"/>
        <v>-323998.52529652027</v>
      </c>
      <c r="X107" s="31">
        <f t="shared" si="18"/>
        <v>-323998.52529652027</v>
      </c>
      <c r="Y107" s="31">
        <f t="shared" si="18"/>
        <v>-323998.52529652027</v>
      </c>
      <c r="Z107" s="31">
        <f t="shared" si="18"/>
        <v>-323998.52529652027</v>
      </c>
      <c r="AA107" s="31">
        <f t="shared" si="18"/>
        <v>-323998.52529652027</v>
      </c>
      <c r="AB107" s="31">
        <f t="shared" si="18"/>
        <v>-323998.52529652027</v>
      </c>
      <c r="AC107" s="31">
        <f t="shared" si="18"/>
        <v>-323998.52529652027</v>
      </c>
      <c r="AD107" s="31">
        <f t="shared" si="18"/>
        <v>-323998.52529652027</v>
      </c>
      <c r="AE107" s="31">
        <f t="shared" si="18"/>
        <v>-323998.52529652027</v>
      </c>
      <c r="AF107" s="31">
        <f t="shared" si="18"/>
        <v>-323998.52529652027</v>
      </c>
      <c r="AG107" s="31">
        <f t="shared" si="18"/>
        <v>-323998.52529652027</v>
      </c>
    </row>
    <row r="108" spans="1:43" x14ac:dyDescent="0.2">
      <c r="C108" s="1" t="s">
        <v>241</v>
      </c>
      <c r="D108" s="251"/>
      <c r="E108" s="38"/>
      <c r="I108" s="31">
        <f>SUM(I84:I85)</f>
        <v>0</v>
      </c>
      <c r="J108" s="31">
        <f t="shared" ref="J108:AG108" si="19">SUM(J84:J85)</f>
        <v>0</v>
      </c>
      <c r="K108" s="31">
        <f t="shared" si="19"/>
        <v>947762.9428598691</v>
      </c>
      <c r="L108" s="31">
        <f t="shared" si="19"/>
        <v>976273.88968758867</v>
      </c>
      <c r="M108" s="31">
        <f t="shared" si="19"/>
        <v>1001380.0023669864</v>
      </c>
      <c r="N108" s="31">
        <f t="shared" si="19"/>
        <v>1028337.4933175915</v>
      </c>
      <c r="O108" s="31">
        <f t="shared" si="19"/>
        <v>1062265.7223508165</v>
      </c>
      <c r="P108" s="31">
        <f t="shared" si="19"/>
        <v>1103470.1854161485</v>
      </c>
      <c r="Q108" s="31">
        <f t="shared" si="19"/>
        <v>1132971.4470765155</v>
      </c>
      <c r="R108" s="31">
        <f t="shared" si="19"/>
        <v>1141149.0126772318</v>
      </c>
      <c r="S108" s="31">
        <f t="shared" si="19"/>
        <v>1149535.4110547861</v>
      </c>
      <c r="T108" s="31">
        <f t="shared" si="19"/>
        <v>1158091.2909312577</v>
      </c>
      <c r="U108" s="31">
        <f t="shared" si="19"/>
        <v>1166786.6335485885</v>
      </c>
      <c r="V108" s="31">
        <f t="shared" si="19"/>
        <v>1175597.9803771025</v>
      </c>
      <c r="W108" s="31">
        <f t="shared" si="19"/>
        <v>1184506.6381794843</v>
      </c>
      <c r="X108" s="31">
        <f t="shared" si="19"/>
        <v>1193497.4693392368</v>
      </c>
      <c r="Y108" s="31">
        <f t="shared" si="19"/>
        <v>1202558.0492572086</v>
      </c>
      <c r="Z108" s="31">
        <f t="shared" si="19"/>
        <v>1211678.0629602808</v>
      </c>
      <c r="AA108" s="31">
        <f t="shared" si="19"/>
        <v>1220848.8627155737</v>
      </c>
      <c r="AB108" s="31">
        <f t="shared" si="19"/>
        <v>1230063.137043383</v>
      </c>
      <c r="AC108" s="31">
        <f t="shared" si="19"/>
        <v>1239314.6586670913</v>
      </c>
      <c r="AD108" s="31">
        <f t="shared" si="19"/>
        <v>1248598.0895756208</v>
      </c>
      <c r="AE108" s="31">
        <f t="shared" si="19"/>
        <v>1257599.1126892604</v>
      </c>
      <c r="AF108" s="31">
        <f t="shared" si="19"/>
        <v>1266625.6357019553</v>
      </c>
      <c r="AG108" s="31">
        <f t="shared" si="19"/>
        <v>1275674.1151697761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-237598.91855078153</v>
      </c>
      <c r="K110" s="31" cm="1">
        <f t="array" ref="K110">K$106+IF($C110&lt;&gt;0,SUMPRODUCT((K$107:K$108)*TRANSPOSE(($D110:$E110))),0)</f>
        <v>591364.56503369671</v>
      </c>
      <c r="L110" s="31" cm="1">
        <f t="array" ref="L110">L$106+IF($C110&lt;&gt;0,SUMPRODUCT((L$107:L$108)*TRANSPOSE(($D110:$E110))),0)</f>
        <v>619875.51186141639</v>
      </c>
      <c r="M110" s="31" cm="1">
        <f t="array" ref="M110">M$106+IF($C110&lt;&gt;0,SUMPRODUCT((M$107:M$108)*TRANSPOSE(($D110:$E110))),0)</f>
        <v>644981.62454081408</v>
      </c>
      <c r="N110" s="31" cm="1">
        <f t="array" ref="N110">N$106+IF($C110&lt;&gt;0,SUMPRODUCT((N$107:N$108)*TRANSPOSE(($D110:$E110))),0)</f>
        <v>671939.11549141922</v>
      </c>
      <c r="O110" s="31" cm="1">
        <f t="array" ref="O110">O$106+IF($C110&lt;&gt;0,SUMPRODUCT((O$107:O$108)*TRANSPOSE(($D110:$E110))),0)</f>
        <v>705867.3445246442</v>
      </c>
      <c r="P110" s="31" cm="1">
        <f t="array" ref="P110">P$106+IF($C110&lt;&gt;0,SUMPRODUCT((P$107:P$108)*TRANSPOSE(($D110:$E110))),0)</f>
        <v>747071.80758997623</v>
      </c>
      <c r="Q110" s="31" cm="1">
        <f t="array" ref="Q110">Q$106+IF($C110&lt;&gt;0,SUMPRODUCT((Q$107:Q$108)*TRANSPOSE(($D110:$E110))),0)</f>
        <v>776573.06925034325</v>
      </c>
      <c r="R110" s="31" cm="1">
        <f t="array" ref="R110">R$106+IF($C110&lt;&gt;0,SUMPRODUCT((R$107:R$108)*TRANSPOSE(($D110:$E110))),0)</f>
        <v>784750.63485105953</v>
      </c>
      <c r="S110" s="31" cm="1">
        <f t="array" ref="S110">S$106+IF($C110&lt;&gt;0,SUMPRODUCT((S$107:S$108)*TRANSPOSE(($D110:$E110))),0)</f>
        <v>793137.03322861379</v>
      </c>
      <c r="T110" s="31" cm="1">
        <f t="array" ref="T110">T$106+IF($C110&lt;&gt;0,SUMPRODUCT((T$107:T$108)*TRANSPOSE(($D110:$E110))),0)</f>
        <v>801692.91310508538</v>
      </c>
      <c r="U110" s="31" cm="1">
        <f t="array" ref="U110">U$106+IF($C110&lt;&gt;0,SUMPRODUCT((U$107:U$108)*TRANSPOSE(($D110:$E110))),0)</f>
        <v>810388.25572241622</v>
      </c>
      <c r="V110" s="31" cm="1">
        <f t="array" ref="V110">V$106+IF($C110&lt;&gt;0,SUMPRODUCT((V$107:V$108)*TRANSPOSE(($D110:$E110))),0)</f>
        <v>819199.60255093023</v>
      </c>
      <c r="W110" s="31" cm="1">
        <f t="array" ref="W110">W$106+IF($C110&lt;&gt;0,SUMPRODUCT((W$107:W$108)*TRANSPOSE(($D110:$E110))),0)</f>
        <v>828108.26035331201</v>
      </c>
      <c r="X110" s="31" cm="1">
        <f t="array" ref="X110">X$106+IF($C110&lt;&gt;0,SUMPRODUCT((X$107:X$108)*TRANSPOSE(($D110:$E110))),0)</f>
        <v>837099.09151306457</v>
      </c>
      <c r="Y110" s="31" cm="1">
        <f t="array" ref="Y110">Y$106+IF($C110&lt;&gt;0,SUMPRODUCT((Y$107:Y$108)*TRANSPOSE(($D110:$E110))),0)</f>
        <v>846159.67143103632</v>
      </c>
      <c r="Z110" s="31" cm="1">
        <f t="array" ref="Z110">Z$106+IF($C110&lt;&gt;0,SUMPRODUCT((Z$107:Z$108)*TRANSPOSE(($D110:$E110))),0)</f>
        <v>855279.68513410853</v>
      </c>
      <c r="AA110" s="31" cm="1">
        <f t="array" ref="AA110">AA$106+IF($C110&lt;&gt;0,SUMPRODUCT((AA$107:AA$108)*TRANSPOSE(($D110:$E110))),0)</f>
        <v>864450.48488940147</v>
      </c>
      <c r="AB110" s="31" cm="1">
        <f t="array" ref="AB110">AB$106+IF($C110&lt;&gt;0,SUMPRODUCT((AB$107:AB$108)*TRANSPOSE(($D110:$E110))),0)</f>
        <v>873664.7592172107</v>
      </c>
      <c r="AC110" s="31" cm="1">
        <f t="array" ref="AC110">AC$106+IF($C110&lt;&gt;0,SUMPRODUCT((AC$107:AC$108)*TRANSPOSE(($D110:$E110))),0)</f>
        <v>882916.280840919</v>
      </c>
      <c r="AD110" s="31" cm="1">
        <f t="array" ref="AD110">AD$106+IF($C110&lt;&gt;0,SUMPRODUCT((AD$107:AD$108)*TRANSPOSE(($D110:$E110))),0)</f>
        <v>892199.71174944856</v>
      </c>
      <c r="AE110" s="31" cm="1">
        <f t="array" ref="AE110">AE$106+IF($C110&lt;&gt;0,SUMPRODUCT((AE$107:AE$108)*TRANSPOSE(($D110:$E110))),0)</f>
        <v>901200.73486308812</v>
      </c>
      <c r="AF110" s="31" cm="1">
        <f t="array" ref="AF110">AF$106+IF($C110&lt;&gt;0,SUMPRODUCT((AF$107:AF$108)*TRANSPOSE(($D110:$E110))),0)</f>
        <v>910227.25787578302</v>
      </c>
      <c r="AG110" s="31" cm="1">
        <f t="array" ref="AG110">AG$106+IF($C110&lt;&gt;0,SUMPRODUCT((AG$107:AG$108)*TRANSPOSE(($D110:$E110))),0)</f>
        <v>919275.73734360386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-194399.11517791214</v>
      </c>
      <c r="K111" s="31" cm="1">
        <f t="array" ref="K111">K$106+IF($C111&lt;&gt;0,SUMPRODUCT((K$107:K$108)*TRANSPOSE(($D111:$E111))),0)</f>
        <v>656164.27009300084</v>
      </c>
      <c r="L111" s="31" cm="1">
        <f t="array" ref="L111">L$106+IF($C111&lt;&gt;0,SUMPRODUCT((L$107:L$108)*TRANSPOSE(($D111:$E111))),0)</f>
        <v>684675.21692072053</v>
      </c>
      <c r="M111" s="31" cm="1">
        <f t="array" ref="M111">M$106+IF($C111&lt;&gt;0,SUMPRODUCT((M$107:M$108)*TRANSPOSE(($D111:$E111))),0)</f>
        <v>709781.32960011822</v>
      </c>
      <c r="N111" s="31" cm="1">
        <f t="array" ref="N111">N$106+IF($C111&lt;&gt;0,SUMPRODUCT((N$107:N$108)*TRANSPOSE(($D111:$E111))),0)</f>
        <v>736738.82055072335</v>
      </c>
      <c r="O111" s="31" cm="1">
        <f t="array" ref="O111">O$106+IF($C111&lt;&gt;0,SUMPRODUCT((O$107:O$108)*TRANSPOSE(($D111:$E111))),0)</f>
        <v>770667.04958394833</v>
      </c>
      <c r="P111" s="31" cm="1">
        <f t="array" ref="P111">P$106+IF($C111&lt;&gt;0,SUMPRODUCT((P$107:P$108)*TRANSPOSE(($D111:$E111))),0)</f>
        <v>811871.51264928037</v>
      </c>
      <c r="Q111" s="31" cm="1">
        <f t="array" ref="Q111">Q$106+IF($C111&lt;&gt;0,SUMPRODUCT((Q$107:Q$108)*TRANSPOSE(($D111:$E111))),0)</f>
        <v>841372.77430964739</v>
      </c>
      <c r="R111" s="31" cm="1">
        <f t="array" ref="R111">R$106+IF($C111&lt;&gt;0,SUMPRODUCT((R$107:R$108)*TRANSPOSE(($D111:$E111))),0)</f>
        <v>849550.33991036366</v>
      </c>
      <c r="S111" s="31" cm="1">
        <f t="array" ref="S111">S$106+IF($C111&lt;&gt;0,SUMPRODUCT((S$107:S$108)*TRANSPOSE(($D111:$E111))),0)</f>
        <v>857936.73828791792</v>
      </c>
      <c r="T111" s="31" cm="1">
        <f t="array" ref="T111">T$106+IF($C111&lt;&gt;0,SUMPRODUCT((T$107:T$108)*TRANSPOSE(($D111:$E111))),0)</f>
        <v>866492.61816438951</v>
      </c>
      <c r="U111" s="31" cm="1">
        <f t="array" ref="U111">U$106+IF($C111&lt;&gt;0,SUMPRODUCT((U$107:U$108)*TRANSPOSE(($D111:$E111))),0)</f>
        <v>875187.96078172035</v>
      </c>
      <c r="V111" s="31" cm="1">
        <f t="array" ref="V111">V$106+IF($C111&lt;&gt;0,SUMPRODUCT((V$107:V$108)*TRANSPOSE(($D111:$E111))),0)</f>
        <v>883999.30761023436</v>
      </c>
      <c r="W111" s="31" cm="1">
        <f t="array" ref="W111">W$106+IF($C111&lt;&gt;0,SUMPRODUCT((W$107:W$108)*TRANSPOSE(($D111:$E111))),0)</f>
        <v>892907.96541261615</v>
      </c>
      <c r="X111" s="31" cm="1">
        <f t="array" ref="X111">X$106+IF($C111&lt;&gt;0,SUMPRODUCT((X$107:X$108)*TRANSPOSE(($D111:$E111))),0)</f>
        <v>901898.79657236871</v>
      </c>
      <c r="Y111" s="31" cm="1">
        <f t="array" ref="Y111">Y$106+IF($C111&lt;&gt;0,SUMPRODUCT((Y$107:Y$108)*TRANSPOSE(($D111:$E111))),0)</f>
        <v>910959.37649034045</v>
      </c>
      <c r="Z111" s="31" cm="1">
        <f t="array" ref="Z111">Z$106+IF($C111&lt;&gt;0,SUMPRODUCT((Z$107:Z$108)*TRANSPOSE(($D111:$E111))),0)</f>
        <v>920079.39019341266</v>
      </c>
      <c r="AA111" s="31" cm="1">
        <f t="array" ref="AA111">AA$106+IF($C111&lt;&gt;0,SUMPRODUCT((AA$107:AA$108)*TRANSPOSE(($D111:$E111))),0)</f>
        <v>929250.18994870561</v>
      </c>
      <c r="AB111" s="31" cm="1">
        <f t="array" ref="AB111">AB$106+IF($C111&lt;&gt;0,SUMPRODUCT((AB$107:AB$108)*TRANSPOSE(($D111:$E111))),0)</f>
        <v>938464.46427651483</v>
      </c>
      <c r="AC111" s="31" cm="1">
        <f t="array" ref="AC111">AC$106+IF($C111&lt;&gt;0,SUMPRODUCT((AC$107:AC$108)*TRANSPOSE(($D111:$E111))),0)</f>
        <v>947715.98590022314</v>
      </c>
      <c r="AD111" s="31" cm="1">
        <f t="array" ref="AD111">AD$106+IF($C111&lt;&gt;0,SUMPRODUCT((AD$107:AD$108)*TRANSPOSE(($D111:$E111))),0)</f>
        <v>956999.41680875269</v>
      </c>
      <c r="AE111" s="31" cm="1">
        <f t="array" ref="AE111">AE$106+IF($C111&lt;&gt;0,SUMPRODUCT((AE$107:AE$108)*TRANSPOSE(($D111:$E111))),0)</f>
        <v>966000.43992239225</v>
      </c>
      <c r="AF111" s="31" cm="1">
        <f t="array" ref="AF111">AF$106+IF($C111&lt;&gt;0,SUMPRODUCT((AF$107:AF$108)*TRANSPOSE(($D111:$E111))),0)</f>
        <v>975026.96293508715</v>
      </c>
      <c r="AG111" s="31" cm="1">
        <f t="array" ref="AG111">AG$106+IF($C111&lt;&gt;0,SUMPRODUCT((AG$107:AG$108)*TRANSPOSE(($D111:$E111))),0)</f>
        <v>984075.442402908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-215999.01686434684</v>
      </c>
      <c r="K112" s="31" cm="1">
        <f t="array" ref="K112">K$106+IF($C112&lt;&gt;0,SUMPRODUCT((K$107:K$108)*TRANSPOSE(($D112:$E112))),0)</f>
        <v>718540.7118493357</v>
      </c>
      <c r="L112" s="31" cm="1">
        <f t="array" ref="L112">L$106+IF($C112&lt;&gt;0,SUMPRODUCT((L$107:L$108)*TRANSPOSE(($D112:$E112))),0)</f>
        <v>749902.75335982733</v>
      </c>
      <c r="M112" s="31" cm="1">
        <f t="array" ref="M112">M$106+IF($C112&lt;&gt;0,SUMPRODUCT((M$107:M$108)*TRANSPOSE(($D112:$E112))),0)</f>
        <v>777519.47730716481</v>
      </c>
      <c r="N112" s="31" cm="1">
        <f t="array" ref="N112">N$106+IF($C112&lt;&gt;0,SUMPRODUCT((N$107:N$108)*TRANSPOSE(($D112:$E112))),0)</f>
        <v>807172.71735283046</v>
      </c>
      <c r="O112" s="31" cm="1">
        <f t="array" ref="O112">O$106+IF($C112&lt;&gt;0,SUMPRODUCT((O$107:O$108)*TRANSPOSE(($D112:$E112))),0)</f>
        <v>844493.76928937796</v>
      </c>
      <c r="P112" s="31" cm="1">
        <f t="array" ref="P112">P$106+IF($C112&lt;&gt;0,SUMPRODUCT((P$107:P$108)*TRANSPOSE(($D112:$E112))),0)</f>
        <v>889818.67866124318</v>
      </c>
      <c r="Q112" s="31" cm="1">
        <f t="array" ref="Q112">Q$106+IF($C112&lt;&gt;0,SUMPRODUCT((Q$107:Q$108)*TRANSPOSE(($D112:$E112))),0)</f>
        <v>922270.06648764689</v>
      </c>
      <c r="R112" s="31" cm="1">
        <f t="array" ref="R112">R$106+IF($C112&lt;&gt;0,SUMPRODUCT((R$107:R$108)*TRANSPOSE(($D112:$E112))),0)</f>
        <v>931265.38864843477</v>
      </c>
      <c r="S112" s="31" cm="1">
        <f t="array" ref="S112">S$106+IF($C112&lt;&gt;0,SUMPRODUCT((S$107:S$108)*TRANSPOSE(($D112:$E112))),0)</f>
        <v>940490.42686374451</v>
      </c>
      <c r="T112" s="31" cm="1">
        <f t="array" ref="T112">T$106+IF($C112&lt;&gt;0,SUMPRODUCT((T$107:T$108)*TRANSPOSE(($D112:$E112))),0)</f>
        <v>949901.89472786325</v>
      </c>
      <c r="U112" s="31" cm="1">
        <f t="array" ref="U112">U$106+IF($C112&lt;&gt;0,SUMPRODUCT((U$107:U$108)*TRANSPOSE(($D112:$E112))),0)</f>
        <v>959466.77160692716</v>
      </c>
      <c r="V112" s="31" cm="1">
        <f t="array" ref="V112">V$106+IF($C112&lt;&gt;0,SUMPRODUCT((V$107:V$108)*TRANSPOSE(($D112:$E112))),0)</f>
        <v>969159.25311829254</v>
      </c>
      <c r="W112" s="31" cm="1">
        <f t="array" ref="W112">W$106+IF($C112&lt;&gt;0,SUMPRODUCT((W$107:W$108)*TRANSPOSE(($D112:$E112))),0)</f>
        <v>978958.77670091251</v>
      </c>
      <c r="X112" s="31" cm="1">
        <f t="array" ref="X112">X$106+IF($C112&lt;&gt;0,SUMPRODUCT((X$107:X$108)*TRANSPOSE(($D112:$E112))),0)</f>
        <v>988848.69097664033</v>
      </c>
      <c r="Y112" s="31" cm="1">
        <f t="array" ref="Y112">Y$106+IF($C112&lt;&gt;0,SUMPRODUCT((Y$107:Y$108)*TRANSPOSE(($D112:$E112))),0)</f>
        <v>998815.32888640929</v>
      </c>
      <c r="Z112" s="31" cm="1">
        <f t="array" ref="Z112">Z$106+IF($C112&lt;&gt;0,SUMPRODUCT((Z$107:Z$108)*TRANSPOSE(($D112:$E112))),0)</f>
        <v>1008847.3439597887</v>
      </c>
      <c r="AA112" s="31" cm="1">
        <f t="array" ref="AA112">AA$106+IF($C112&lt;&gt;0,SUMPRODUCT((AA$107:AA$108)*TRANSPOSE(($D112:$E112))),0)</f>
        <v>1018935.223690611</v>
      </c>
      <c r="AB112" s="31" cm="1">
        <f t="array" ref="AB112">AB$106+IF($C112&lt;&gt;0,SUMPRODUCT((AB$107:AB$108)*TRANSPOSE(($D112:$E112))),0)</f>
        <v>1029070.925451201</v>
      </c>
      <c r="AC112" s="31" cm="1">
        <f t="array" ref="AC112">AC$106+IF($C112&lt;&gt;0,SUMPRODUCT((AC$107:AC$108)*TRANSPOSE(($D112:$E112))),0)</f>
        <v>1039247.5992372802</v>
      </c>
      <c r="AD112" s="31" cm="1">
        <f t="array" ref="AD112">AD$106+IF($C112&lt;&gt;0,SUMPRODUCT((AD$107:AD$108)*TRANSPOSE(($D112:$E112))),0)</f>
        <v>1049459.3732366627</v>
      </c>
      <c r="AE112" s="31" cm="1">
        <f t="array" ref="AE112">AE$106+IF($C112&lt;&gt;0,SUMPRODUCT((AE$107:AE$108)*TRANSPOSE(($D112:$E112))),0)</f>
        <v>1059360.4986616662</v>
      </c>
      <c r="AF112" s="31" cm="1">
        <f t="array" ref="AF112">AF$106+IF($C112&lt;&gt;0,SUMPRODUCT((AF$107:AF$108)*TRANSPOSE(($D112:$E112))),0)</f>
        <v>1069289.6739756307</v>
      </c>
      <c r="AG112" s="31" cm="1">
        <f t="array" ref="AG112">AG$106+IF($C112&lt;&gt;0,SUMPRODUCT((AG$107:AG$108)*TRANSPOSE(($D112:$E112))),0)</f>
        <v>1079243.0013902336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-215999.01686434684</v>
      </c>
      <c r="K113" s="31" cm="1">
        <f t="array" ref="K113">K$106+IF($C113&lt;&gt;0,SUMPRODUCT((K$107:K$108)*TRANSPOSE(($D113:$E113))),0)</f>
        <v>528988.12327736185</v>
      </c>
      <c r="L113" s="31" cm="1">
        <f t="array" ref="L113">L$106+IF($C113&lt;&gt;0,SUMPRODUCT((L$107:L$108)*TRANSPOSE(($D113:$E113))),0)</f>
        <v>554647.9754223096</v>
      </c>
      <c r="M113" s="31" cm="1">
        <f t="array" ref="M113">M$106+IF($C113&lt;&gt;0,SUMPRODUCT((M$107:M$108)*TRANSPOSE(($D113:$E113))),0)</f>
        <v>577243.47683376749</v>
      </c>
      <c r="N113" s="31" cm="1">
        <f t="array" ref="N113">N$106+IF($C113&lt;&gt;0,SUMPRODUCT((N$107:N$108)*TRANSPOSE(($D113:$E113))),0)</f>
        <v>601505.21868931211</v>
      </c>
      <c r="O113" s="31" cm="1">
        <f t="array" ref="O113">O$106+IF($C113&lt;&gt;0,SUMPRODUCT((O$107:O$108)*TRANSPOSE(($D113:$E113))),0)</f>
        <v>632040.62481921457</v>
      </c>
      <c r="P113" s="31" cm="1">
        <f t="array" ref="P113">P$106+IF($C113&lt;&gt;0,SUMPRODUCT((P$107:P$108)*TRANSPOSE(($D113:$E113))),0)</f>
        <v>669124.64157801343</v>
      </c>
      <c r="Q113" s="31" cm="1">
        <f t="array" ref="Q113">Q$106+IF($C113&lt;&gt;0,SUMPRODUCT((Q$107:Q$108)*TRANSPOSE(($D113:$E113))),0)</f>
        <v>695675.77707234374</v>
      </c>
      <c r="R113" s="31" cm="1">
        <f t="array" ref="R113">R$106+IF($C113&lt;&gt;0,SUMPRODUCT((R$107:R$108)*TRANSPOSE(($D113:$E113))),0)</f>
        <v>703035.58611298841</v>
      </c>
      <c r="S113" s="31" cm="1">
        <f t="array" ref="S113">S$106+IF($C113&lt;&gt;0,SUMPRODUCT((S$107:S$108)*TRANSPOSE(($D113:$E113))),0)</f>
        <v>710583.3446527872</v>
      </c>
      <c r="T113" s="31" cm="1">
        <f t="array" ref="T113">T$106+IF($C113&lt;&gt;0,SUMPRODUCT((T$107:T$108)*TRANSPOSE(($D113:$E113))),0)</f>
        <v>718283.63654161163</v>
      </c>
      <c r="U113" s="31" cm="1">
        <f t="array" ref="U113">U$106+IF($C113&lt;&gt;0,SUMPRODUCT((U$107:U$108)*TRANSPOSE(($D113:$E113))),0)</f>
        <v>726109.44489720941</v>
      </c>
      <c r="V113" s="31" cm="1">
        <f t="array" ref="V113">V$106+IF($C113&lt;&gt;0,SUMPRODUCT((V$107:V$108)*TRANSPOSE(($D113:$E113))),0)</f>
        <v>734039.65704287204</v>
      </c>
      <c r="W113" s="31" cm="1">
        <f t="array" ref="W113">W$106+IF($C113&lt;&gt;0,SUMPRODUCT((W$107:W$108)*TRANSPOSE(($D113:$E113))),0)</f>
        <v>742057.44906501565</v>
      </c>
      <c r="X113" s="31" cm="1">
        <f t="array" ref="X113">X$106+IF($C113&lt;&gt;0,SUMPRODUCT((X$107:X$108)*TRANSPOSE(($D113:$E113))),0)</f>
        <v>750149.19710879296</v>
      </c>
      <c r="Y113" s="31" cm="1">
        <f t="array" ref="Y113">Y$106+IF($C113&lt;&gt;0,SUMPRODUCT((Y$107:Y$108)*TRANSPOSE(($D113:$E113))),0)</f>
        <v>758303.71903496748</v>
      </c>
      <c r="Z113" s="31" cm="1">
        <f t="array" ref="Z113">Z$106+IF($C113&lt;&gt;0,SUMPRODUCT((Z$107:Z$108)*TRANSPOSE(($D113:$E113))),0)</f>
        <v>766511.73136773251</v>
      </c>
      <c r="AA113" s="31" cm="1">
        <f t="array" ref="AA113">AA$106+IF($C113&lt;&gt;0,SUMPRODUCT((AA$107:AA$108)*TRANSPOSE(($D113:$E113))),0)</f>
        <v>774765.45114749612</v>
      </c>
      <c r="AB113" s="31" cm="1">
        <f t="array" ref="AB113">AB$106+IF($C113&lt;&gt;0,SUMPRODUCT((AB$107:AB$108)*TRANSPOSE(($D113:$E113))),0)</f>
        <v>783058.29804252449</v>
      </c>
      <c r="AC113" s="31" cm="1">
        <f t="array" ref="AC113">AC$106+IF($C113&lt;&gt;0,SUMPRODUCT((AC$107:AC$108)*TRANSPOSE(($D113:$E113))),0)</f>
        <v>791384.66750386194</v>
      </c>
      <c r="AD113" s="31" cm="1">
        <f t="array" ref="AD113">AD$106+IF($C113&lt;&gt;0,SUMPRODUCT((AD$107:AD$108)*TRANSPOSE(($D113:$E113))),0)</f>
        <v>799739.75532153854</v>
      </c>
      <c r="AE113" s="31" cm="1">
        <f t="array" ref="AE113">AE$106+IF($C113&lt;&gt;0,SUMPRODUCT((AE$107:AE$108)*TRANSPOSE(($D113:$E113))),0)</f>
        <v>807840.67612381419</v>
      </c>
      <c r="AF113" s="31" cm="1">
        <f t="array" ref="AF113">AF$106+IF($C113&lt;&gt;0,SUMPRODUCT((AF$107:AF$108)*TRANSPOSE(($D113:$E113))),0)</f>
        <v>815964.54683523951</v>
      </c>
      <c r="AG113" s="31" cm="1">
        <f t="array" ref="AG113">AG$106+IF($C113&lt;&gt;0,SUMPRODUCT((AG$107:AG$108)*TRANSPOSE(($D113:$E113))),0)</f>
        <v>824108.17835627834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-237598.91855078153</v>
      </c>
      <c r="K114" s="31" cm="1">
        <f t="array" ref="K114">K$106+IF($C114&lt;&gt;0,SUMPRODUCT((K$107:K$108)*TRANSPOSE(($D114:$E114))),0)</f>
        <v>496588.27074770984</v>
      </c>
      <c r="L114" s="31" cm="1">
        <f t="array" ref="L114">L$106+IF($C114&lt;&gt;0,SUMPRODUCT((L$107:L$108)*TRANSPOSE(($D114:$E114))),0)</f>
        <v>522248.12289265759</v>
      </c>
      <c r="M114" s="31" cm="1">
        <f t="array" ref="M114">M$106+IF($C114&lt;&gt;0,SUMPRODUCT((M$107:M$108)*TRANSPOSE(($D114:$E114))),0)</f>
        <v>544843.62430411554</v>
      </c>
      <c r="N114" s="31" cm="1">
        <f t="array" ref="N114">N$106+IF($C114&lt;&gt;0,SUMPRODUCT((N$107:N$108)*TRANSPOSE(($D114:$E114))),0)</f>
        <v>569105.36615966004</v>
      </c>
      <c r="O114" s="31" cm="1">
        <f t="array" ref="O114">O$106+IF($C114&lt;&gt;0,SUMPRODUCT((O$107:O$108)*TRANSPOSE(($D114:$E114))),0)</f>
        <v>599640.77228956262</v>
      </c>
      <c r="P114" s="31" cm="1">
        <f t="array" ref="P114">P$106+IF($C114&lt;&gt;0,SUMPRODUCT((P$107:P$108)*TRANSPOSE(($D114:$E114))),0)</f>
        <v>636724.78904836136</v>
      </c>
      <c r="Q114" s="31" cm="1">
        <f t="array" ref="Q114">Q$106+IF($C114&lt;&gt;0,SUMPRODUCT((Q$107:Q$108)*TRANSPOSE(($D114:$E114))),0)</f>
        <v>663275.92454269179</v>
      </c>
      <c r="R114" s="31" cm="1">
        <f t="array" ref="R114">R$106+IF($C114&lt;&gt;0,SUMPRODUCT((R$107:R$108)*TRANSPOSE(($D114:$E114))),0)</f>
        <v>670635.73358333635</v>
      </c>
      <c r="S114" s="31" cm="1">
        <f t="array" ref="S114">S$106+IF($C114&lt;&gt;0,SUMPRODUCT((S$107:S$108)*TRANSPOSE(($D114:$E114))),0)</f>
        <v>678183.49212313525</v>
      </c>
      <c r="T114" s="31" cm="1">
        <f t="array" ref="T114">T$106+IF($C114&lt;&gt;0,SUMPRODUCT((T$107:T$108)*TRANSPOSE(($D114:$E114))),0)</f>
        <v>685883.78401195968</v>
      </c>
      <c r="U114" s="31" cm="1">
        <f t="array" ref="U114">U$106+IF($C114&lt;&gt;0,SUMPRODUCT((U$107:U$108)*TRANSPOSE(($D114:$E114))),0)</f>
        <v>693709.59236755734</v>
      </c>
      <c r="V114" s="31" cm="1">
        <f t="array" ref="V114">V$106+IF($C114&lt;&gt;0,SUMPRODUCT((V$107:V$108)*TRANSPOSE(($D114:$E114))),0)</f>
        <v>701639.80451321998</v>
      </c>
      <c r="W114" s="31" cm="1">
        <f t="array" ref="W114">W$106+IF($C114&lt;&gt;0,SUMPRODUCT((W$107:W$108)*TRANSPOSE(($D114:$E114))),0)</f>
        <v>709657.59653536358</v>
      </c>
      <c r="X114" s="31" cm="1">
        <f t="array" ref="X114">X$106+IF($C114&lt;&gt;0,SUMPRODUCT((X$107:X$108)*TRANSPOSE(($D114:$E114))),0)</f>
        <v>717749.34457914089</v>
      </c>
      <c r="Y114" s="31" cm="1">
        <f t="array" ref="Y114">Y$106+IF($C114&lt;&gt;0,SUMPRODUCT((Y$107:Y$108)*TRANSPOSE(($D114:$E114))),0)</f>
        <v>725903.86650531553</v>
      </c>
      <c r="Z114" s="31" cm="1">
        <f t="array" ref="Z114">Z$106+IF($C114&lt;&gt;0,SUMPRODUCT((Z$107:Z$108)*TRANSPOSE(($D114:$E114))),0)</f>
        <v>734111.87883808045</v>
      </c>
      <c r="AA114" s="31" cm="1">
        <f t="array" ref="AA114">AA$106+IF($C114&lt;&gt;0,SUMPRODUCT((AA$107:AA$108)*TRANSPOSE(($D114:$E114))),0)</f>
        <v>742365.59861784417</v>
      </c>
      <c r="AB114" s="31" cm="1">
        <f t="array" ref="AB114">AB$106+IF($C114&lt;&gt;0,SUMPRODUCT((AB$107:AB$108)*TRANSPOSE(($D114:$E114))),0)</f>
        <v>750658.44551287242</v>
      </c>
      <c r="AC114" s="31" cm="1">
        <f t="array" ref="AC114">AC$106+IF($C114&lt;&gt;0,SUMPRODUCT((AC$107:AC$108)*TRANSPOSE(($D114:$E114))),0)</f>
        <v>758984.81497420988</v>
      </c>
      <c r="AD114" s="31" cm="1">
        <f t="array" ref="AD114">AD$106+IF($C114&lt;&gt;0,SUMPRODUCT((AD$107:AD$108)*TRANSPOSE(($D114:$E114))),0)</f>
        <v>767339.90279188647</v>
      </c>
      <c r="AE114" s="31" cm="1">
        <f t="array" ref="AE114">AE$106+IF($C114&lt;&gt;0,SUMPRODUCT((AE$107:AE$108)*TRANSPOSE(($D114:$E114))),0)</f>
        <v>775440.82359416212</v>
      </c>
      <c r="AF114" s="31" cm="1">
        <f t="array" ref="AF114">AF$106+IF($C114&lt;&gt;0,SUMPRODUCT((AF$107:AF$108)*TRANSPOSE(($D114:$E114))),0)</f>
        <v>783564.69430558756</v>
      </c>
      <c r="AG114" s="31" cm="1">
        <f t="array" ref="AG114">AG$106+IF($C114&lt;&gt;0,SUMPRODUCT((AG$107:AG$108)*TRANSPOSE(($D114:$E114))),0)</f>
        <v>791708.32582662627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-215999.01686434684</v>
      </c>
      <c r="K115" s="31" cm="1">
        <f t="array" ref="K115">K$106+IF($C115&lt;&gt;0,SUMPRODUCT((K$107:K$108)*TRANSPOSE(($D115:$E115))),0)</f>
        <v>623764.41756334878</v>
      </c>
      <c r="L115" s="31" cm="1">
        <f t="array" ref="L115">L$106+IF($C115&lt;&gt;0,SUMPRODUCT((L$107:L$108)*TRANSPOSE(($D115:$E115))),0)</f>
        <v>652275.36439106846</v>
      </c>
      <c r="M115" s="31" cm="1">
        <f t="array" ref="M115">M$106+IF($C115&lt;&gt;0,SUMPRODUCT((M$107:M$108)*TRANSPOSE(($D115:$E115))),0)</f>
        <v>677381.47707046615</v>
      </c>
      <c r="N115" s="31" cm="1">
        <f t="array" ref="N115">N$106+IF($C115&lt;&gt;0,SUMPRODUCT((N$107:N$108)*TRANSPOSE(($D115:$E115))),0)</f>
        <v>704338.96802107128</v>
      </c>
      <c r="O115" s="31" cm="1">
        <f t="array" ref="O115">O$106+IF($C115&lt;&gt;0,SUMPRODUCT((O$107:O$108)*TRANSPOSE(($D115:$E115))),0)</f>
        <v>738267.19705429627</v>
      </c>
      <c r="P115" s="31" cm="1">
        <f t="array" ref="P115">P$106+IF($C115&lt;&gt;0,SUMPRODUCT((P$107:P$108)*TRANSPOSE(($D115:$E115))),0)</f>
        <v>779471.6601196283</v>
      </c>
      <c r="Q115" s="31" cm="1">
        <f t="array" ref="Q115">Q$106+IF($C115&lt;&gt;0,SUMPRODUCT((Q$107:Q$108)*TRANSPOSE(($D115:$E115))),0)</f>
        <v>808972.92177999532</v>
      </c>
      <c r="R115" s="31" cm="1">
        <f t="array" ref="R115">R$106+IF($C115&lt;&gt;0,SUMPRODUCT((R$107:R$108)*TRANSPOSE(($D115:$E115))),0)</f>
        <v>817150.48738071159</v>
      </c>
      <c r="S115" s="31" cm="1">
        <f t="array" ref="S115">S$106+IF($C115&lt;&gt;0,SUMPRODUCT((S$107:S$108)*TRANSPOSE(($D115:$E115))),0)</f>
        <v>825536.88575826585</v>
      </c>
      <c r="T115" s="31" cm="1">
        <f t="array" ref="T115">T$106+IF($C115&lt;&gt;0,SUMPRODUCT((T$107:T$108)*TRANSPOSE(($D115:$E115))),0)</f>
        <v>834092.76563473744</v>
      </c>
      <c r="U115" s="31" cm="1">
        <f t="array" ref="U115">U$106+IF($C115&lt;&gt;0,SUMPRODUCT((U$107:U$108)*TRANSPOSE(($D115:$E115))),0)</f>
        <v>842788.10825206828</v>
      </c>
      <c r="V115" s="31" cm="1">
        <f t="array" ref="V115">V$106+IF($C115&lt;&gt;0,SUMPRODUCT((V$107:V$108)*TRANSPOSE(($D115:$E115))),0)</f>
        <v>851599.45508058229</v>
      </c>
      <c r="W115" s="31" cm="1">
        <f t="array" ref="W115">W$106+IF($C115&lt;&gt;0,SUMPRODUCT((W$107:W$108)*TRANSPOSE(($D115:$E115))),0)</f>
        <v>860508.11288296408</v>
      </c>
      <c r="X115" s="31" cm="1">
        <f t="array" ref="X115">X$106+IF($C115&lt;&gt;0,SUMPRODUCT((X$107:X$108)*TRANSPOSE(($D115:$E115))),0)</f>
        <v>869498.94404271664</v>
      </c>
      <c r="Y115" s="31" cm="1">
        <f t="array" ref="Y115">Y$106+IF($C115&lt;&gt;0,SUMPRODUCT((Y$107:Y$108)*TRANSPOSE(($D115:$E115))),0)</f>
        <v>878559.52396068838</v>
      </c>
      <c r="Z115" s="31" cm="1">
        <f t="array" ref="Z115">Z$106+IF($C115&lt;&gt;0,SUMPRODUCT((Z$107:Z$108)*TRANSPOSE(($D115:$E115))),0)</f>
        <v>887679.5376637606</v>
      </c>
      <c r="AA115" s="31" cm="1">
        <f t="array" ref="AA115">AA$106+IF($C115&lt;&gt;0,SUMPRODUCT((AA$107:AA$108)*TRANSPOSE(($D115:$E115))),0)</f>
        <v>896850.33741905354</v>
      </c>
      <c r="AB115" s="31" cm="1">
        <f t="array" ref="AB115">AB$106+IF($C115&lt;&gt;0,SUMPRODUCT((AB$107:AB$108)*TRANSPOSE(($D115:$E115))),0)</f>
        <v>906064.61174686276</v>
      </c>
      <c r="AC115" s="31" cm="1">
        <f t="array" ref="AC115">AC$106+IF($C115&lt;&gt;0,SUMPRODUCT((AC$107:AC$108)*TRANSPOSE(($D115:$E115))),0)</f>
        <v>915316.13337057107</v>
      </c>
      <c r="AD115" s="31" cm="1">
        <f t="array" ref="AD115">AD$106+IF($C115&lt;&gt;0,SUMPRODUCT((AD$107:AD$108)*TRANSPOSE(($D115:$E115))),0)</f>
        <v>924599.56427910062</v>
      </c>
      <c r="AE115" s="31" cm="1">
        <f t="array" ref="AE115">AE$106+IF($C115&lt;&gt;0,SUMPRODUCT((AE$107:AE$108)*TRANSPOSE(($D115:$E115))),0)</f>
        <v>933600.58739274018</v>
      </c>
      <c r="AF115" s="31" cm="1">
        <f t="array" ref="AF115">AF$106+IF($C115&lt;&gt;0,SUMPRODUCT((AF$107:AF$108)*TRANSPOSE(($D115:$E115))),0)</f>
        <v>942627.11040543509</v>
      </c>
      <c r="AG115" s="31" cm="1">
        <f t="array" ref="AG115">AG$106+IF($C115&lt;&gt;0,SUMPRODUCT((AG$107:AG$108)*TRANSPOSE(($D115:$E115))),0)</f>
        <v>951675.58987325593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-215999.01686434684</v>
      </c>
      <c r="K116" s="31" cm="1">
        <f t="array" ref="K116">K$106+IF($C116&lt;&gt;0,SUMPRODUCT((K$107:K$108)*TRANSPOSE(($D116:$E116))),0)</f>
        <v>623764.41756334878</v>
      </c>
      <c r="L116" s="31" cm="1">
        <f t="array" ref="L116">L$106+IF($C116&lt;&gt;0,SUMPRODUCT((L$107:L$108)*TRANSPOSE(($D116:$E116))),0)</f>
        <v>652275.36439106846</v>
      </c>
      <c r="M116" s="31" cm="1">
        <f t="array" ref="M116">M$106+IF($C116&lt;&gt;0,SUMPRODUCT((M$107:M$108)*TRANSPOSE(($D116:$E116))),0)</f>
        <v>677381.47707046615</v>
      </c>
      <c r="N116" s="31" cm="1">
        <f t="array" ref="N116">N$106+IF($C116&lt;&gt;0,SUMPRODUCT((N$107:N$108)*TRANSPOSE(($D116:$E116))),0)</f>
        <v>704338.96802107128</v>
      </c>
      <c r="O116" s="31" cm="1">
        <f t="array" ref="O116">O$106+IF($C116&lt;&gt;0,SUMPRODUCT((O$107:O$108)*TRANSPOSE(($D116:$E116))),0)</f>
        <v>738267.19705429627</v>
      </c>
      <c r="P116" s="31" cm="1">
        <f t="array" ref="P116">P$106+IF($C116&lt;&gt;0,SUMPRODUCT((P$107:P$108)*TRANSPOSE(($D116:$E116))),0)</f>
        <v>779471.6601196283</v>
      </c>
      <c r="Q116" s="31" cm="1">
        <f t="array" ref="Q116">Q$106+IF($C116&lt;&gt;0,SUMPRODUCT((Q$107:Q$108)*TRANSPOSE(($D116:$E116))),0)</f>
        <v>808972.92177999532</v>
      </c>
      <c r="R116" s="31" cm="1">
        <f t="array" ref="R116">R$106+IF($C116&lt;&gt;0,SUMPRODUCT((R$107:R$108)*TRANSPOSE(($D116:$E116))),0)</f>
        <v>817150.48738071159</v>
      </c>
      <c r="S116" s="31" cm="1">
        <f t="array" ref="S116">S$106+IF($C116&lt;&gt;0,SUMPRODUCT((S$107:S$108)*TRANSPOSE(($D116:$E116))),0)</f>
        <v>825536.88575826585</v>
      </c>
      <c r="T116" s="31" cm="1">
        <f t="array" ref="T116">T$106+IF($C116&lt;&gt;0,SUMPRODUCT((T$107:T$108)*TRANSPOSE(($D116:$E116))),0)</f>
        <v>834092.76563473744</v>
      </c>
      <c r="U116" s="31" cm="1">
        <f t="array" ref="U116">U$106+IF($C116&lt;&gt;0,SUMPRODUCT((U$107:U$108)*TRANSPOSE(($D116:$E116))),0)</f>
        <v>842788.10825206828</v>
      </c>
      <c r="V116" s="31" cm="1">
        <f t="array" ref="V116">V$106+IF($C116&lt;&gt;0,SUMPRODUCT((V$107:V$108)*TRANSPOSE(($D116:$E116))),0)</f>
        <v>851599.45508058229</v>
      </c>
      <c r="W116" s="31" cm="1">
        <f t="array" ref="W116">W$106+IF($C116&lt;&gt;0,SUMPRODUCT((W$107:W$108)*TRANSPOSE(($D116:$E116))),0)</f>
        <v>860508.11288296408</v>
      </c>
      <c r="X116" s="31" cm="1">
        <f t="array" ref="X116">X$106+IF($C116&lt;&gt;0,SUMPRODUCT((X$107:X$108)*TRANSPOSE(($D116:$E116))),0)</f>
        <v>869498.94404271664</v>
      </c>
      <c r="Y116" s="31" cm="1">
        <f t="array" ref="Y116">Y$106+IF($C116&lt;&gt;0,SUMPRODUCT((Y$107:Y$108)*TRANSPOSE(($D116:$E116))),0)</f>
        <v>878559.52396068838</v>
      </c>
      <c r="Z116" s="31" cm="1">
        <f t="array" ref="Z116">Z$106+IF($C116&lt;&gt;0,SUMPRODUCT((Z$107:Z$108)*TRANSPOSE(($D116:$E116))),0)</f>
        <v>887679.5376637606</v>
      </c>
      <c r="AA116" s="31" cm="1">
        <f t="array" ref="AA116">AA$106+IF($C116&lt;&gt;0,SUMPRODUCT((AA$107:AA$108)*TRANSPOSE(($D116:$E116))),0)</f>
        <v>896850.33741905354</v>
      </c>
      <c r="AB116" s="31" cm="1">
        <f t="array" ref="AB116">AB$106+IF($C116&lt;&gt;0,SUMPRODUCT((AB$107:AB$108)*TRANSPOSE(($D116:$E116))),0)</f>
        <v>906064.61174686276</v>
      </c>
      <c r="AC116" s="31" cm="1">
        <f t="array" ref="AC116">AC$106+IF($C116&lt;&gt;0,SUMPRODUCT((AC$107:AC$108)*TRANSPOSE(($D116:$E116))),0)</f>
        <v>915316.13337057107</v>
      </c>
      <c r="AD116" s="31" cm="1">
        <f t="array" ref="AD116">AD$106+IF($C116&lt;&gt;0,SUMPRODUCT((AD$107:AD$108)*TRANSPOSE(($D116:$E116))),0)</f>
        <v>924599.56427910062</v>
      </c>
      <c r="AE116" s="31" cm="1">
        <f t="array" ref="AE116">AE$106+IF($C116&lt;&gt;0,SUMPRODUCT((AE$107:AE$108)*TRANSPOSE(($D116:$E116))),0)</f>
        <v>933600.58739274018</v>
      </c>
      <c r="AF116" s="31" cm="1">
        <f t="array" ref="AF116">AF$106+IF($C116&lt;&gt;0,SUMPRODUCT((AF$107:AF$108)*TRANSPOSE(($D116:$E116))),0)</f>
        <v>942627.11040543509</v>
      </c>
      <c r="AG116" s="31" cm="1">
        <f t="array" ref="AG116">AG$106+IF($C116&lt;&gt;0,SUMPRODUCT((AG$107:AG$108)*TRANSPOSE(($D116:$E116))),0)</f>
        <v>951675.58987325593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-215999.01686434684</v>
      </c>
      <c r="K117" s="31" cm="1">
        <f t="array" ref="K117">K$106+IF($C117&lt;&gt;0,SUMPRODUCT((K$107:K$108)*TRANSPOSE(($D117:$E117))),0)</f>
        <v>623764.41756334878</v>
      </c>
      <c r="L117" s="31" cm="1">
        <f t="array" ref="L117">L$106+IF($C117&lt;&gt;0,SUMPRODUCT((L$107:L$108)*TRANSPOSE(($D117:$E117))),0)</f>
        <v>652275.36439106846</v>
      </c>
      <c r="M117" s="31" cm="1">
        <f t="array" ref="M117">M$106+IF($C117&lt;&gt;0,SUMPRODUCT((M$107:M$108)*TRANSPOSE(($D117:$E117))),0)</f>
        <v>677381.47707046615</v>
      </c>
      <c r="N117" s="31" cm="1">
        <f t="array" ref="N117">N$106+IF($C117&lt;&gt;0,SUMPRODUCT((N$107:N$108)*TRANSPOSE(($D117:$E117))),0)</f>
        <v>704338.96802107128</v>
      </c>
      <c r="O117" s="31" cm="1">
        <f t="array" ref="O117">O$106+IF($C117&lt;&gt;0,SUMPRODUCT((O$107:O$108)*TRANSPOSE(($D117:$E117))),0)</f>
        <v>738267.19705429627</v>
      </c>
      <c r="P117" s="31" cm="1">
        <f t="array" ref="P117">P$106+IF($C117&lt;&gt;0,SUMPRODUCT((P$107:P$108)*TRANSPOSE(($D117:$E117))),0)</f>
        <v>779471.6601196283</v>
      </c>
      <c r="Q117" s="31" cm="1">
        <f t="array" ref="Q117">Q$106+IF($C117&lt;&gt;0,SUMPRODUCT((Q$107:Q$108)*TRANSPOSE(($D117:$E117))),0)</f>
        <v>808972.92177999532</v>
      </c>
      <c r="R117" s="31" cm="1">
        <f t="array" ref="R117">R$106+IF($C117&lt;&gt;0,SUMPRODUCT((R$107:R$108)*TRANSPOSE(($D117:$E117))),0)</f>
        <v>817150.48738071159</v>
      </c>
      <c r="S117" s="31" cm="1">
        <f t="array" ref="S117">S$106+IF($C117&lt;&gt;0,SUMPRODUCT((S$107:S$108)*TRANSPOSE(($D117:$E117))),0)</f>
        <v>825536.88575826585</v>
      </c>
      <c r="T117" s="31" cm="1">
        <f t="array" ref="T117">T$106+IF($C117&lt;&gt;0,SUMPRODUCT((T$107:T$108)*TRANSPOSE(($D117:$E117))),0)</f>
        <v>834092.76563473744</v>
      </c>
      <c r="U117" s="31" cm="1">
        <f t="array" ref="U117">U$106+IF($C117&lt;&gt;0,SUMPRODUCT((U$107:U$108)*TRANSPOSE(($D117:$E117))),0)</f>
        <v>842788.10825206828</v>
      </c>
      <c r="V117" s="31" cm="1">
        <f t="array" ref="V117">V$106+IF($C117&lt;&gt;0,SUMPRODUCT((V$107:V$108)*TRANSPOSE(($D117:$E117))),0)</f>
        <v>851599.45508058229</v>
      </c>
      <c r="W117" s="31" cm="1">
        <f t="array" ref="W117">W$106+IF($C117&lt;&gt;0,SUMPRODUCT((W$107:W$108)*TRANSPOSE(($D117:$E117))),0)</f>
        <v>860508.11288296408</v>
      </c>
      <c r="X117" s="31" cm="1">
        <f t="array" ref="X117">X$106+IF($C117&lt;&gt;0,SUMPRODUCT((X$107:X$108)*TRANSPOSE(($D117:$E117))),0)</f>
        <v>869498.94404271664</v>
      </c>
      <c r="Y117" s="31" cm="1">
        <f t="array" ref="Y117">Y$106+IF($C117&lt;&gt;0,SUMPRODUCT((Y$107:Y$108)*TRANSPOSE(($D117:$E117))),0)</f>
        <v>878559.52396068838</v>
      </c>
      <c r="Z117" s="31" cm="1">
        <f t="array" ref="Z117">Z$106+IF($C117&lt;&gt;0,SUMPRODUCT((Z$107:Z$108)*TRANSPOSE(($D117:$E117))),0)</f>
        <v>887679.5376637606</v>
      </c>
      <c r="AA117" s="31" cm="1">
        <f t="array" ref="AA117">AA$106+IF($C117&lt;&gt;0,SUMPRODUCT((AA$107:AA$108)*TRANSPOSE(($D117:$E117))),0)</f>
        <v>896850.33741905354</v>
      </c>
      <c r="AB117" s="31" cm="1">
        <f t="array" ref="AB117">AB$106+IF($C117&lt;&gt;0,SUMPRODUCT((AB$107:AB$108)*TRANSPOSE(($D117:$E117))),0)</f>
        <v>906064.61174686276</v>
      </c>
      <c r="AC117" s="31" cm="1">
        <f t="array" ref="AC117">AC$106+IF($C117&lt;&gt;0,SUMPRODUCT((AC$107:AC$108)*TRANSPOSE(($D117:$E117))),0)</f>
        <v>915316.13337057107</v>
      </c>
      <c r="AD117" s="31" cm="1">
        <f t="array" ref="AD117">AD$106+IF($C117&lt;&gt;0,SUMPRODUCT((AD$107:AD$108)*TRANSPOSE(($D117:$E117))),0)</f>
        <v>924599.56427910062</v>
      </c>
      <c r="AE117" s="31" cm="1">
        <f t="array" ref="AE117">AE$106+IF($C117&lt;&gt;0,SUMPRODUCT((AE$107:AE$108)*TRANSPOSE(($D117:$E117))),0)</f>
        <v>933600.58739274018</v>
      </c>
      <c r="AF117" s="31" cm="1">
        <f t="array" ref="AF117">AF$106+IF($C117&lt;&gt;0,SUMPRODUCT((AF$107:AF$108)*TRANSPOSE(($D117:$E117))),0)</f>
        <v>942627.11040543509</v>
      </c>
      <c r="AG117" s="31" cm="1">
        <f t="array" ref="AG117">AG$106+IF($C117&lt;&gt;0,SUMPRODUCT((AG$107:AG$108)*TRANSPOSE(($D117:$E117))),0)</f>
        <v>951675.58987325593</v>
      </c>
    </row>
    <row r="118" spans="1:33" x14ac:dyDescent="0.2">
      <c r="E118" s="242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7"/>
      <c r="J129" s="247"/>
      <c r="K129" s="247"/>
      <c r="L129" s="247"/>
    </row>
    <row r="130" spans="9:12" x14ac:dyDescent="0.2">
      <c r="I130" s="247"/>
      <c r="J130" s="247"/>
      <c r="K130" s="247"/>
      <c r="L130" s="247"/>
    </row>
    <row r="131" spans="9:12" x14ac:dyDescent="0.2">
      <c r="I131" s="247"/>
      <c r="J131" s="247"/>
      <c r="K131" s="247"/>
      <c r="L131" s="247"/>
    </row>
    <row r="132" spans="9:12" x14ac:dyDescent="0.2">
      <c r="I132" s="247"/>
      <c r="J132" s="247"/>
      <c r="K132" s="247"/>
      <c r="L132" s="247"/>
    </row>
    <row r="133" spans="9:12" x14ac:dyDescent="0.2">
      <c r="I133" s="247"/>
      <c r="J133" s="247"/>
      <c r="K133" s="247"/>
      <c r="L133" s="247"/>
    </row>
    <row r="134" spans="9:12" x14ac:dyDescent="0.2">
      <c r="I134" s="247"/>
      <c r="J134" s="247"/>
      <c r="K134" s="247"/>
      <c r="L134" s="247"/>
    </row>
    <row r="135" spans="9:12" x14ac:dyDescent="0.2">
      <c r="I135" s="247"/>
      <c r="J135" s="247"/>
      <c r="K135" s="247"/>
      <c r="L135" s="247"/>
    </row>
    <row r="136" spans="9:12" x14ac:dyDescent="0.2">
      <c r="I136" s="247"/>
      <c r="J136" s="247"/>
      <c r="K136" s="247"/>
      <c r="L136" s="247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85" zoomScaleNormal="85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NC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135</v>
      </c>
      <c r="B3" s="5"/>
      <c r="C3" s="199" t="str">
        <f>INDEX(Assumptions!$E$14:$E$18, MATCH(A3,_xlfn.ANCHORARRAY( Assumptions!$C$14),0))</f>
        <v>Refurbish #1 transformer completed in 2026-2027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325</v>
      </c>
      <c r="D14"/>
      <c r="E14" s="147">
        <v>10</v>
      </c>
      <c r="G14" s="206">
        <f>input_dollars</f>
        <v>45291</v>
      </c>
      <c r="H14" s="148"/>
      <c r="I14" s="32">
        <f>Workings_costs!E34</f>
        <v>500000</v>
      </c>
      <c r="J14" s="32">
        <f>Workings_costs!F34</f>
        <v>0</v>
      </c>
      <c r="K14" s="32">
        <f>Workings_costs!G34</f>
        <v>0</v>
      </c>
      <c r="L14" s="32">
        <f>Workings_costs!H34</f>
        <v>0</v>
      </c>
      <c r="M14" s="32">
        <f>Workings_costs!I34</f>
        <v>0</v>
      </c>
      <c r="N14" s="32">
        <f>Workings_costs!J34</f>
        <v>0</v>
      </c>
      <c r="O14" s="32">
        <f>Workings_costs!K34</f>
        <v>0</v>
      </c>
      <c r="P14" s="32">
        <f>Workings_costs!L34</f>
        <v>0</v>
      </c>
      <c r="Q14" s="32">
        <f>Workings_costs!M34</f>
        <v>0</v>
      </c>
      <c r="R14" s="32">
        <f>Workings_costs!N34</f>
        <v>0</v>
      </c>
      <c r="S14" s="32">
        <f>Workings_costs!O34</f>
        <v>0</v>
      </c>
      <c r="T14" s="32">
        <f>Workings_costs!P34</f>
        <v>0</v>
      </c>
      <c r="U14" s="32">
        <f>Workings_costs!Q34</f>
        <v>0</v>
      </c>
      <c r="V14" s="32">
        <f>Workings_costs!R34</f>
        <v>0</v>
      </c>
      <c r="W14" s="32">
        <f>Workings_costs!S34</f>
        <v>0</v>
      </c>
      <c r="X14" s="32">
        <f>Workings_costs!T34</f>
        <v>0</v>
      </c>
      <c r="Y14" s="32">
        <f>Workings_costs!U34</f>
        <v>0</v>
      </c>
      <c r="Z14" s="32">
        <f>Workings_costs!V34</f>
        <v>0</v>
      </c>
      <c r="AA14" s="32">
        <f>Workings_costs!W34</f>
        <v>0</v>
      </c>
      <c r="AB14" s="32">
        <f>Workings_costs!X34</f>
        <v>0</v>
      </c>
      <c r="AC14" s="32">
        <f>Workings_costs!Y34</f>
        <v>0</v>
      </c>
      <c r="AD14" s="32">
        <f>Workings_costs!Z34</f>
        <v>0</v>
      </c>
      <c r="AE14" s="32">
        <f>Workings_costs!AA34</f>
        <v>0</v>
      </c>
      <c r="AF14" s="32">
        <f>Workings_costs!AB34</f>
        <v>0</v>
      </c>
      <c r="AG14" s="32">
        <f>Workings_costs!AC34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Q17" si="0">SUM(I14:I16)</f>
        <v>500000</v>
      </c>
      <c r="J17" s="105">
        <f t="shared" si="0"/>
        <v>0</v>
      </c>
      <c r="K17" s="105">
        <f t="shared" si="0"/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B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>SUM(AC14:AC16)</f>
        <v>0</v>
      </c>
      <c r="AD17" s="105">
        <f>SUM(AD14:AD16)</f>
        <v>0</v>
      </c>
      <c r="AE17" s="105">
        <f>SUM(AE14:AE16)</f>
        <v>0</v>
      </c>
      <c r="AF17" s="105">
        <f>SUM(AF14:AF16)</f>
        <v>0</v>
      </c>
      <c r="AG17" s="105">
        <f>SUM(AG14:AG16)</f>
        <v>0</v>
      </c>
      <c r="AH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4"/>
      <c r="AH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35890.696556723749</v>
      </c>
      <c r="F28" s="237" t="str">
        <f>IF(AND(SUM(I27:AG27)&lt;&gt;0, E28=0), "!", "")</f>
        <v/>
      </c>
      <c r="G28" s="206">
        <f>input_dollars</f>
        <v>45291</v>
      </c>
      <c r="H28"/>
      <c r="I28" s="167">
        <f>Workings_risks!E35</f>
        <v>859354.77503484616</v>
      </c>
      <c r="J28" s="167">
        <f>Workings_risks!F35</f>
        <v>857741.13180949131</v>
      </c>
      <c r="K28" s="167">
        <f>Workings_risks!G35</f>
        <v>907707.97824701038</v>
      </c>
      <c r="L28" s="167">
        <f>Workings_risks!H35</f>
        <v>958448.80255940952</v>
      </c>
      <c r="M28" s="167">
        <f>Workings_risks!I35</f>
        <v>1005643.5659614301</v>
      </c>
      <c r="N28" s="167">
        <f>Workings_risks!J35</f>
        <v>1055086.2615695535</v>
      </c>
      <c r="O28" s="167">
        <f>Workings_risks!K35</f>
        <v>1112586.0784829834</v>
      </c>
      <c r="P28" s="167">
        <f>Workings_risks!L35</f>
        <v>1179030.7947395085</v>
      </c>
      <c r="Q28" s="167">
        <f>Workings_risks!M35</f>
        <v>1233856.036220473</v>
      </c>
      <c r="R28" s="167">
        <f>Workings_risks!N35</f>
        <v>1265492.1722561994</v>
      </c>
      <c r="S28" s="167">
        <f>Workings_risks!O35</f>
        <v>1297464.0519911253</v>
      </c>
      <c r="T28" s="167">
        <f>Workings_risks!P35</f>
        <v>1329770.5028901473</v>
      </c>
      <c r="U28" s="167">
        <f>Workings_risks!Q35</f>
        <v>1362410.3802609895</v>
      </c>
      <c r="V28" s="167">
        <f>Workings_risks!R35</f>
        <v>1395382.5663815383</v>
      </c>
      <c r="W28" s="167">
        <f>Workings_risks!S35</f>
        <v>1428685.9696670871</v>
      </c>
      <c r="X28" s="167">
        <f>Workings_risks!T35</f>
        <v>1462319.5238751546</v>
      </c>
      <c r="Y28" s="167">
        <f>Workings_risks!U35</f>
        <v>1496282.1873456591</v>
      </c>
      <c r="Z28" s="167">
        <f>Workings_risks!V35</f>
        <v>1530572.9422744487</v>
      </c>
      <c r="AA28" s="167">
        <f>Workings_risks!W35</f>
        <v>1565190.7940182576</v>
      </c>
      <c r="AB28" s="167">
        <f>Workings_risks!X35</f>
        <v>1600134.7704293681</v>
      </c>
      <c r="AC28" s="167">
        <f>Workings_risks!Y35</f>
        <v>1635403.9212183219</v>
      </c>
      <c r="AD28" s="167">
        <f>Workings_risks!Z35</f>
        <v>1670997.3173431423</v>
      </c>
      <c r="AE28" s="167">
        <f>Workings_risks!AA35</f>
        <v>1706914.050423665</v>
      </c>
      <c r="AF28" s="167">
        <f>Workings_risks!AB35</f>
        <v>1743153.2321796026</v>
      </c>
      <c r="AG28" s="167">
        <f>Workings_risks!AC35</f>
        <v>1779713.993891154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risk</v>
      </c>
      <c r="D30" s="204" t="s">
        <v>208</v>
      </c>
      <c r="G30" s="206">
        <f>input_dollars</f>
        <v>45291</v>
      </c>
      <c r="H30" s="148"/>
      <c r="I30" s="167">
        <f>Workings_risks!E36</f>
        <v>499.9606476632685</v>
      </c>
      <c r="J30" s="167">
        <f>Workings_risks!F36</f>
        <v>509.30709054694717</v>
      </c>
      <c r="K30" s="167">
        <f>Workings_risks!G36</f>
        <v>523.82149571549519</v>
      </c>
      <c r="L30" s="167">
        <f>Workings_risks!H36</f>
        <v>538.50342386838122</v>
      </c>
      <c r="M30" s="167">
        <f>Workings_risks!I36</f>
        <v>553.3520597456984</v>
      </c>
      <c r="N30" s="167">
        <f>Workings_risks!J36</f>
        <v>568.36660500660128</v>
      </c>
      <c r="O30" s="167">
        <f>Workings_risks!K36</f>
        <v>583.54627761781865</v>
      </c>
      <c r="P30" s="167">
        <f>Workings_risks!L36</f>
        <v>598.89031127338535</v>
      </c>
      <c r="Q30" s="167">
        <f>Workings_risks!M36</f>
        <v>614.39795484355443</v>
      </c>
      <c r="R30" s="167">
        <f>Workings_risks!N36</f>
        <v>630.06847185099514</v>
      </c>
      <c r="S30" s="167">
        <f>Workings_risks!O36</f>
        <v>645.90113997254991</v>
      </c>
      <c r="T30" s="167">
        <f>Workings_risks!P36</f>
        <v>661.89525056494904</v>
      </c>
      <c r="U30" s="167">
        <f>Workings_risks!Q36</f>
        <v>678.050108212998</v>
      </c>
      <c r="V30" s="167">
        <f>Workings_risks!R36</f>
        <v>694.3650302988766</v>
      </c>
      <c r="W30" s="167">
        <f>Workings_risks!S36</f>
        <v>710.83934659127283</v>
      </c>
      <c r="X30" s="167">
        <f>Workings_risks!T36</f>
        <v>727.47239885318993</v>
      </c>
      <c r="Y30" s="167">
        <f>Workings_risks!U36</f>
        <v>744.26354046732388</v>
      </c>
      <c r="Z30" s="167">
        <f>Workings_risks!V36</f>
        <v>761.21213607801246</v>
      </c>
      <c r="AA30" s="167">
        <f>Workings_risks!W36</f>
        <v>778.31756124879234</v>
      </c>
      <c r="AB30" s="167">
        <f>Workings_risks!X36</f>
        <v>795.57920213471505</v>
      </c>
      <c r="AC30" s="167">
        <f>Workings_risks!Y36</f>
        <v>812.99645516858664</v>
      </c>
      <c r="AD30" s="167">
        <f>Workings_risks!Z36</f>
        <v>830.56872676037017</v>
      </c>
      <c r="AE30" s="167">
        <f>Workings_risks!AA36</f>
        <v>830.56872676037017</v>
      </c>
      <c r="AF30" s="167">
        <f>Workings_risks!AB36</f>
        <v>830.56872676037017</v>
      </c>
      <c r="AG30" s="167">
        <f>Workings_risks!AC36</f>
        <v>830.56872676037017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 risk</v>
      </c>
      <c r="D31" s="205"/>
      <c r="E31"/>
      <c r="G31" s="206">
        <f>input_dollars</f>
        <v>45291</v>
      </c>
      <c r="H31" s="148"/>
      <c r="I31" s="167">
        <f>Workings_risks!E37</f>
        <v>25689.870365060837</v>
      </c>
      <c r="J31" s="167">
        <f>Workings_risks!F37</f>
        <v>25112.747148239832</v>
      </c>
      <c r="K31" s="167">
        <f>Workings_risks!G37</f>
        <v>25828.418682703286</v>
      </c>
      <c r="L31" s="167">
        <f>Workings_risks!H37</f>
        <v>26552.350385590235</v>
      </c>
      <c r="M31" s="167">
        <f>Workings_risks!I37</f>
        <v>27284.502058332317</v>
      </c>
      <c r="N31" s="167">
        <f>Workings_risks!J37</f>
        <v>28024.834336600688</v>
      </c>
      <c r="O31" s="167">
        <f>Workings_risks!K37</f>
        <v>28773.308660155035</v>
      </c>
      <c r="P31" s="167">
        <f>Workings_risks!L37</f>
        <v>29529.88724423193</v>
      </c>
      <c r="Q31" s="167">
        <f>Workings_risks!M37</f>
        <v>30294.533052371895</v>
      </c>
      <c r="R31" s="167">
        <f>Workings_risks!N37</f>
        <v>31067.209770592006</v>
      </c>
      <c r="S31" s="167">
        <f>Workings_risks!O37</f>
        <v>31847.881782818691</v>
      </c>
      <c r="T31" s="167">
        <f>Workings_risks!P37</f>
        <v>32636.514147501781</v>
      </c>
      <c r="U31" s="167">
        <f>Workings_risks!Q37</f>
        <v>33433.072575336715</v>
      </c>
      <c r="V31" s="167">
        <f>Workings_risks!R37</f>
        <v>34237.523408027686</v>
      </c>
      <c r="W31" s="167">
        <f>Workings_risks!S37</f>
        <v>35049.83359802873</v>
      </c>
      <c r="X31" s="167">
        <f>Workings_risks!T37</f>
        <v>35869.970689205707</v>
      </c>
      <c r="Y31" s="167">
        <f>Workings_risks!U37</f>
        <v>36697.902798364441</v>
      </c>
      <c r="Z31" s="167">
        <f>Workings_risks!V37</f>
        <v>37533.598597596123</v>
      </c>
      <c r="AA31" s="167">
        <f>Workings_risks!W37</f>
        <v>38377.027297392189</v>
      </c>
      <c r="AB31" s="167">
        <f>Workings_risks!X37</f>
        <v>39228.158630487065</v>
      </c>
      <c r="AC31" s="167">
        <f>Workings_risks!Y37</f>
        <v>40086.962836387298</v>
      </c>
      <c r="AD31" s="167">
        <f>Workings_risks!Z37</f>
        <v>40953.410646549848</v>
      </c>
      <c r="AE31" s="167">
        <f>Workings_risks!AA37</f>
        <v>40953.410646549848</v>
      </c>
      <c r="AF31" s="167">
        <f>Workings_risks!AB37</f>
        <v>40953.410646549848</v>
      </c>
      <c r="AG31" s="167">
        <f>Workings_risks!AC37</f>
        <v>40953.410646549848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Unplanned fault risk</v>
      </c>
      <c r="D32" s="204"/>
      <c r="E32"/>
      <c r="G32" s="206">
        <f>input_dollars</f>
        <v>45291</v>
      </c>
      <c r="H32"/>
      <c r="I32" s="167">
        <f>Workings_risks!E38</f>
        <v>1880.6461253749828</v>
      </c>
      <c r="J32" s="167">
        <f>Workings_risks!F38</f>
        <v>1935.1551470935922</v>
      </c>
      <c r="K32" s="167">
        <f>Workings_risks!G38</f>
        <v>1990.3038508721988</v>
      </c>
      <c r="L32" s="167">
        <f>Workings_risks!H38</f>
        <v>2046.0890723263199</v>
      </c>
      <c r="M32" s="167">
        <f>Workings_risks!I38</f>
        <v>2102.5077138073384</v>
      </c>
      <c r="N32" s="167">
        <f>Workings_risks!J38</f>
        <v>2159.5567419520344</v>
      </c>
      <c r="O32" s="167">
        <f>Workings_risks!K38</f>
        <v>2217.2331853591872</v>
      </c>
      <c r="P32" s="167">
        <f>Workings_risks!L38</f>
        <v>2275.534132384802</v>
      </c>
      <c r="Q32" s="167">
        <f>Workings_risks!M38</f>
        <v>2334.4567290481982</v>
      </c>
      <c r="R32" s="167">
        <f>Workings_risks!N38</f>
        <v>2393.9981770417858</v>
      </c>
      <c r="S32" s="167">
        <f>Workings_risks!O38</f>
        <v>2454.1557318379469</v>
      </c>
      <c r="T32" s="167">
        <f>Workings_risks!P38</f>
        <v>2514.9267008869483</v>
      </c>
      <c r="U32" s="167">
        <f>Workings_risks!Q38</f>
        <v>2576.3084419002403</v>
      </c>
      <c r="V32" s="167">
        <f>Workings_risks!R38</f>
        <v>2638.2983612139769</v>
      </c>
      <c r="W32" s="167">
        <f>Workings_risks!S38</f>
        <v>2700.8939122278884</v>
      </c>
      <c r="X32" s="167">
        <f>Workings_risks!T38</f>
        <v>2764.092593915118</v>
      </c>
      <c r="Y32" s="167">
        <f>Workings_risks!U38</f>
        <v>2827.8919493988083</v>
      </c>
      <c r="Z32" s="167">
        <f>Workings_risks!V38</f>
        <v>2892.2895645916574</v>
      </c>
      <c r="AA32" s="167">
        <f>Workings_risks!W38</f>
        <v>2957.2830668947786</v>
      </c>
      <c r="AB32" s="167">
        <f>Workings_risks!X38</f>
        <v>3022.8701239526367</v>
      </c>
      <c r="AC32" s="167">
        <f>Workings_risks!Y38</f>
        <v>3089.0484424608912</v>
      </c>
      <c r="AD32" s="167">
        <f>Workings_risks!Z38</f>
        <v>3155.8157670242467</v>
      </c>
      <c r="AE32" s="167">
        <f>Workings_risks!AA38</f>
        <v>3155.8157670242467</v>
      </c>
      <c r="AF32" s="167">
        <f>Workings_risks!AB38</f>
        <v>3155.8157670242467</v>
      </c>
      <c r="AG32" s="167">
        <f>Workings_risks!AC38</f>
        <v>3155.8157670242467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Enviromental risk</v>
      </c>
      <c r="D33" s="204" t="s">
        <v>208</v>
      </c>
      <c r="E33"/>
      <c r="G33" s="206">
        <f>input_dollars</f>
        <v>45291</v>
      </c>
      <c r="H33"/>
      <c r="I33" s="167">
        <f>Workings_risks!E39</f>
        <v>5992.5</v>
      </c>
      <c r="J33" s="167">
        <f>Workings_risks!F39</f>
        <v>2379.375</v>
      </c>
      <c r="K33" s="167">
        <f>Workings_risks!G39</f>
        <v>2379.375</v>
      </c>
      <c r="L33" s="167">
        <f>Workings_risks!H39</f>
        <v>2379.375</v>
      </c>
      <c r="M33" s="167">
        <f>Workings_risks!I39</f>
        <v>2379.375</v>
      </c>
      <c r="N33" s="167">
        <f>Workings_risks!J39</f>
        <v>2379.375</v>
      </c>
      <c r="O33" s="167">
        <f>Workings_risks!K39</f>
        <v>2379.375</v>
      </c>
      <c r="P33" s="167">
        <f>Workings_risks!L39</f>
        <v>2379.375</v>
      </c>
      <c r="Q33" s="167">
        <f>Workings_risks!M39</f>
        <v>2379.375</v>
      </c>
      <c r="R33" s="167">
        <f>Workings_risks!N39</f>
        <v>2379.375</v>
      </c>
      <c r="S33" s="167">
        <f>Workings_risks!O39</f>
        <v>2379.375</v>
      </c>
      <c r="T33" s="167">
        <f>Workings_risks!P39</f>
        <v>2379.375</v>
      </c>
      <c r="U33" s="167">
        <f>Workings_risks!Q39</f>
        <v>2379.375</v>
      </c>
      <c r="V33" s="167">
        <f>Workings_risks!R39</f>
        <v>2379.375</v>
      </c>
      <c r="W33" s="167">
        <f>Workings_risks!S39</f>
        <v>2379.375</v>
      </c>
      <c r="X33" s="167">
        <f>Workings_risks!T39</f>
        <v>2379.375</v>
      </c>
      <c r="Y33" s="167">
        <f>Workings_risks!U39</f>
        <v>2379.375</v>
      </c>
      <c r="Z33" s="167">
        <f>Workings_risks!V39</f>
        <v>2379.375</v>
      </c>
      <c r="AA33" s="167">
        <f>Workings_risks!W39</f>
        <v>2379.375</v>
      </c>
      <c r="AB33" s="167">
        <f>Workings_risks!X39</f>
        <v>2379.375</v>
      </c>
      <c r="AC33" s="167">
        <f>Workings_risks!Y39</f>
        <v>2379.375</v>
      </c>
      <c r="AD33" s="167">
        <f>Workings_risks!Z39</f>
        <v>2379.375</v>
      </c>
      <c r="AE33" s="167">
        <f>Workings_risks!AA39</f>
        <v>2379.375</v>
      </c>
      <c r="AF33" s="167">
        <f>Workings_risks!AB39</f>
        <v>2379.375</v>
      </c>
      <c r="AG33" s="167">
        <f>Workings_risks!AC39</f>
        <v>2379.375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893417.75217294518</v>
      </c>
      <c r="J36" s="169">
        <f t="shared" ref="J36:AB36" si="2">SUM(J28:J34)</f>
        <v>887677.7161953717</v>
      </c>
      <c r="K36" s="169">
        <f t="shared" si="2"/>
        <v>938429.8972763014</v>
      </c>
      <c r="L36" s="169">
        <f t="shared" si="2"/>
        <v>989965.12044119439</v>
      </c>
      <c r="M36" s="169">
        <f t="shared" si="2"/>
        <v>1037963.3027933154</v>
      </c>
      <c r="N36" s="169">
        <f t="shared" si="2"/>
        <v>1088218.3942531128</v>
      </c>
      <c r="O36" s="169">
        <f t="shared" si="2"/>
        <v>1146539.5416061154</v>
      </c>
      <c r="P36" s="169">
        <f t="shared" si="2"/>
        <v>1213814.4814273985</v>
      </c>
      <c r="Q36" s="169">
        <f t="shared" si="2"/>
        <v>1269478.7989567365</v>
      </c>
      <c r="R36" s="169">
        <f t="shared" si="2"/>
        <v>1301962.8236756842</v>
      </c>
      <c r="S36" s="169">
        <f t="shared" si="2"/>
        <v>1334791.3656457544</v>
      </c>
      <c r="T36" s="169">
        <f t="shared" si="2"/>
        <v>1367963.2139891009</v>
      </c>
      <c r="U36" s="169">
        <f t="shared" si="2"/>
        <v>1401477.1863864395</v>
      </c>
      <c r="V36" s="169">
        <f t="shared" si="2"/>
        <v>1435332.1281810787</v>
      </c>
      <c r="W36" s="169">
        <f t="shared" si="2"/>
        <v>1469526.9115239349</v>
      </c>
      <c r="X36" s="169">
        <f t="shared" si="2"/>
        <v>1504060.4345571285</v>
      </c>
      <c r="Y36" s="169">
        <f t="shared" si="2"/>
        <v>1538931.6206338897</v>
      </c>
      <c r="Z36" s="169">
        <f t="shared" si="2"/>
        <v>1574139.4175727144</v>
      </c>
      <c r="AA36" s="169">
        <f t="shared" si="2"/>
        <v>1609682.7969437935</v>
      </c>
      <c r="AB36" s="169">
        <f t="shared" si="2"/>
        <v>1645560.7533859424</v>
      </c>
      <c r="AC36" s="169">
        <f>SUM(AC28:AC34)</f>
        <v>1681772.3039523386</v>
      </c>
      <c r="AD36" s="169">
        <f>SUM(AD28:AD34)</f>
        <v>1718316.4874834768</v>
      </c>
      <c r="AE36" s="169">
        <f>SUM(AE28:AE34)</f>
        <v>1754233.2205639994</v>
      </c>
      <c r="AF36" s="169">
        <f>SUM(AF28:AF34)</f>
        <v>1790472.402319937</v>
      </c>
      <c r="AG36" s="169">
        <f>SUM(AG28:AG34)</f>
        <v>1827033.1640314884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4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4"/>
      <c r="G56" s="204"/>
      <c r="AH56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  <c r="AH57"/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51550.592763794004</v>
      </c>
      <c r="K64" s="131">
        <f>(1-INDEX(Data!$C$9:$C$13, MATCH($A$3, options,0)))*('Option1 (base case)'!K36-K36)</f>
        <v>54309.560867263586</v>
      </c>
      <c r="L64" s="131">
        <f>(1-INDEX(Data!$C$9:$C$13, MATCH($A$3, options,0)))*('Option1 (base case)'!L36-L36)</f>
        <v>57111.676539571723</v>
      </c>
      <c r="M64" s="131">
        <f>(1-INDEX(Data!$C$9:$C$13, MATCH($A$3, options,0)))*('Option1 (base case)'!M36-M36)</f>
        <v>59722.246407644358</v>
      </c>
      <c r="N64" s="131">
        <f>(1-INDEX(Data!$C$9:$C$13, MATCH($A$3, options,0)))*('Option1 (base case)'!N36-N36)</f>
        <v>62455.96269805124</v>
      </c>
      <c r="O64" s="131">
        <f>(1-INDEX(Data!$C$9:$C$13, MATCH($A$3, options,0)))*('Option1 (base case)'!O36-O36)</f>
        <v>65628.594680828741</v>
      </c>
      <c r="P64" s="131">
        <f>(1-INDEX(Data!$C$9:$C$13, MATCH($A$3, options,0)))*('Option1 (base case)'!P36-P36)</f>
        <v>69288.433738337364</v>
      </c>
      <c r="Q64" s="131">
        <f>(1-INDEX(Data!$C$9:$C$13, MATCH($A$3, options,0)))*('Option1 (base case)'!Q36-Q36)</f>
        <v>72318.163294101832</v>
      </c>
      <c r="R64" s="131">
        <f>(1-INDEX(Data!$C$9:$C$13, MATCH($A$3, options,0)))*('Option1 (base case)'!R36-R36)</f>
        <v>74088.967531856149</v>
      </c>
      <c r="S64" s="131">
        <f>(1-INDEX(Data!$C$9:$C$13, MATCH($A$3, options,0)))*('Option1 (base case)'!S36-S36)</f>
        <v>75879.027204391547</v>
      </c>
      <c r="T64" s="131">
        <f>(1-INDEX(Data!$C$9:$C$13, MATCH($A$3, options,0)))*('Option1 (base case)'!T36-T36)</f>
        <v>77688.290910778334</v>
      </c>
      <c r="U64" s="131">
        <f>(1-INDEX(Data!$C$9:$C$13, MATCH($A$3, options,0)))*('Option1 (base case)'!U36-U36)</f>
        <v>79516.708871276351</v>
      </c>
      <c r="V64" s="131">
        <f>(1-INDEX(Data!$C$9:$C$13, MATCH($A$3, options,0)))*('Option1 (base case)'!V36-V36)</f>
        <v>81364.232878333423</v>
      </c>
      <c r="W64" s="131">
        <f>(1-INDEX(Data!$C$9:$C$13, MATCH($A$3, options,0)))*('Option1 (base case)'!W36-W36)</f>
        <v>83230.816249775467</v>
      </c>
      <c r="X64" s="131">
        <f>(1-INDEX(Data!$C$9:$C$13, MATCH($A$3, options,0)))*('Option1 (base case)'!X36-X36)</f>
        <v>85116.413784122327</v>
      </c>
      <c r="Y64" s="131">
        <f>(1-INDEX(Data!$C$9:$C$13, MATCH($A$3, options,0)))*('Option1 (base case)'!Y36-Y36)</f>
        <v>87020.98171785078</v>
      </c>
      <c r="Z64" s="131">
        <f>(1-INDEX(Data!$C$9:$C$13, MATCH($A$3, options,0)))*('Option1 (base case)'!Z36-Z36)</f>
        <v>88944.477684540674</v>
      </c>
      <c r="AA64" s="131">
        <f>(1-INDEX(Data!$C$9:$C$13, MATCH($A$3, options,0)))*('Option1 (base case)'!AA36-AA36)</f>
        <v>90886.860675759614</v>
      </c>
      <c r="AB64" s="131">
        <f>(1-INDEX(Data!$C$9:$C$13, MATCH($A$3, options,0)))*('Option1 (base case)'!AB36-AB36)</f>
        <v>92848.091003613081</v>
      </c>
      <c r="AC64" s="131">
        <f>(1-INDEX(Data!$C$9:$C$13, MATCH($A$3, options,0)))*('Option1 (base case)'!AC36-AC36)</f>
        <v>94828.130264866166</v>
      </c>
      <c r="AD64" s="131">
        <f>(1-INDEX(Data!$C$9:$C$13, MATCH($A$3, options,0)))*('Option1 (base case)'!AD36-AD36)</f>
        <v>96826.941306529334</v>
      </c>
      <c r="AE64" s="131">
        <f>(1-INDEX(Data!$C$9:$C$13, MATCH($A$3, options,0)))*('Option1 (base case)'!AE36-AE36)</f>
        <v>98798.305839245208</v>
      </c>
      <c r="AF64" s="131">
        <f>(1-INDEX(Data!$C$9:$C$13, MATCH($A$3, options,0)))*('Option1 (base case)'!AF36-AF36)</f>
        <v>100787.97062354628</v>
      </c>
      <c r="AG64" s="131">
        <f>(1-INDEX(Data!$C$9:$C$13, MATCH($A$3, options,0)))*('Option1 (base case)'!AG36-AG36)</f>
        <v>102795.90353727527</v>
      </c>
      <c r="AH64"/>
    </row>
    <row r="65" spans="1:34" x14ac:dyDescent="0.2">
      <c r="G65" s="211"/>
      <c r="AH65"/>
    </row>
    <row r="66" spans="1:34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Refurbish 1 transformer</v>
      </c>
      <c r="D67" s="38"/>
      <c r="F67" s="96"/>
      <c r="G67" s="209">
        <f>input_dollars</f>
        <v>45291</v>
      </c>
      <c r="H67" s="31"/>
      <c r="I67" s="118">
        <f t="shared" ref="I67:AG67" si="4">-I14</f>
        <v>-500000</v>
      </c>
      <c r="J67" s="118">
        <f t="shared" si="4"/>
        <v>0</v>
      </c>
      <c r="K67" s="118">
        <f t="shared" si="4"/>
        <v>0</v>
      </c>
      <c r="L67" s="118">
        <f t="shared" si="4"/>
        <v>0</v>
      </c>
      <c r="M67" s="118">
        <f t="shared" si="4"/>
        <v>0</v>
      </c>
      <c r="N67" s="118">
        <f t="shared" si="4"/>
        <v>0</v>
      </c>
      <c r="O67" s="118">
        <f t="shared" si="4"/>
        <v>0</v>
      </c>
      <c r="P67" s="118">
        <f t="shared" si="4"/>
        <v>0</v>
      </c>
      <c r="Q67" s="118">
        <f t="shared" si="4"/>
        <v>0</v>
      </c>
      <c r="R67" s="118">
        <f t="shared" si="4"/>
        <v>0</v>
      </c>
      <c r="S67" s="118">
        <f t="shared" si="4"/>
        <v>0</v>
      </c>
      <c r="T67" s="118">
        <f t="shared" si="4"/>
        <v>0</v>
      </c>
      <c r="U67" s="118">
        <f t="shared" si="4"/>
        <v>0</v>
      </c>
      <c r="V67" s="118">
        <f t="shared" si="4"/>
        <v>0</v>
      </c>
      <c r="W67" s="118">
        <f t="shared" si="4"/>
        <v>0</v>
      </c>
      <c r="X67" s="118">
        <f t="shared" si="4"/>
        <v>0</v>
      </c>
      <c r="Y67" s="118">
        <f t="shared" si="4"/>
        <v>0</v>
      </c>
      <c r="Z67" s="118">
        <f t="shared" si="4"/>
        <v>0</v>
      </c>
      <c r="AA67" s="118">
        <f t="shared" si="4"/>
        <v>0</v>
      </c>
      <c r="AB67" s="118">
        <f t="shared" si="4"/>
        <v>0</v>
      </c>
      <c r="AC67" s="118">
        <f t="shared" si="4"/>
        <v>0</v>
      </c>
      <c r="AD67" s="118">
        <f t="shared" si="4"/>
        <v>0</v>
      </c>
      <c r="AE67" s="118">
        <f t="shared" si="4"/>
        <v>0</v>
      </c>
      <c r="AF67" s="118">
        <f t="shared" si="4"/>
        <v>0</v>
      </c>
      <c r="AG67" s="118">
        <f t="shared" si="4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6"/>
      <c r="G68" s="209">
        <f>input_dollars</f>
        <v>45291</v>
      </c>
      <c r="H68" s="31"/>
      <c r="I68" s="118">
        <f t="shared" ref="I68:AG68" si="5">-I15</f>
        <v>0</v>
      </c>
      <c r="J68" s="118">
        <f t="shared" si="5"/>
        <v>0</v>
      </c>
      <c r="K68" s="118">
        <f t="shared" si="5"/>
        <v>0</v>
      </c>
      <c r="L68" s="118">
        <f t="shared" si="5"/>
        <v>0</v>
      </c>
      <c r="M68" s="118">
        <f t="shared" si="5"/>
        <v>0</v>
      </c>
      <c r="N68" s="118">
        <f t="shared" si="5"/>
        <v>0</v>
      </c>
      <c r="O68" s="118">
        <f t="shared" si="5"/>
        <v>0</v>
      </c>
      <c r="P68" s="118">
        <f t="shared" si="5"/>
        <v>0</v>
      </c>
      <c r="Q68" s="118">
        <f t="shared" si="5"/>
        <v>0</v>
      </c>
      <c r="R68" s="118">
        <f t="shared" si="5"/>
        <v>0</v>
      </c>
      <c r="S68" s="118">
        <f t="shared" si="5"/>
        <v>0</v>
      </c>
      <c r="T68" s="118">
        <f t="shared" si="5"/>
        <v>0</v>
      </c>
      <c r="U68" s="118">
        <f t="shared" si="5"/>
        <v>0</v>
      </c>
      <c r="V68" s="118">
        <f t="shared" si="5"/>
        <v>0</v>
      </c>
      <c r="W68" s="118">
        <f t="shared" si="5"/>
        <v>0</v>
      </c>
      <c r="X68" s="118">
        <f t="shared" si="5"/>
        <v>0</v>
      </c>
      <c r="Y68" s="118">
        <f t="shared" si="5"/>
        <v>0</v>
      </c>
      <c r="Z68" s="118">
        <f t="shared" si="5"/>
        <v>0</v>
      </c>
      <c r="AA68" s="118">
        <f t="shared" si="5"/>
        <v>0</v>
      </c>
      <c r="AB68" s="118">
        <f t="shared" si="5"/>
        <v>0</v>
      </c>
      <c r="AC68" s="118">
        <f t="shared" si="5"/>
        <v>0</v>
      </c>
      <c r="AD68" s="118">
        <f t="shared" si="5"/>
        <v>0</v>
      </c>
      <c r="AE68" s="118">
        <f t="shared" si="5"/>
        <v>0</v>
      </c>
      <c r="AF68" s="118">
        <f t="shared" si="5"/>
        <v>0</v>
      </c>
      <c r="AG68" s="118">
        <f t="shared" si="5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6"/>
      <c r="G69" s="209">
        <f>input_dollars</f>
        <v>45291</v>
      </c>
      <c r="H69" s="31"/>
      <c r="I69" s="118">
        <f t="shared" ref="I69:AG69" si="6">-I16</f>
        <v>0</v>
      </c>
      <c r="J69" s="118">
        <f t="shared" si="6"/>
        <v>0</v>
      </c>
      <c r="K69" s="118">
        <f t="shared" si="6"/>
        <v>0</v>
      </c>
      <c r="L69" s="118">
        <f t="shared" si="6"/>
        <v>0</v>
      </c>
      <c r="M69" s="118">
        <f t="shared" si="6"/>
        <v>0</v>
      </c>
      <c r="N69" s="118">
        <f t="shared" si="6"/>
        <v>0</v>
      </c>
      <c r="O69" s="118">
        <f t="shared" si="6"/>
        <v>0</v>
      </c>
      <c r="P69" s="118">
        <f t="shared" si="6"/>
        <v>0</v>
      </c>
      <c r="Q69" s="118">
        <f t="shared" si="6"/>
        <v>0</v>
      </c>
      <c r="R69" s="118">
        <f t="shared" si="6"/>
        <v>0</v>
      </c>
      <c r="S69" s="118">
        <f t="shared" si="6"/>
        <v>0</v>
      </c>
      <c r="T69" s="118">
        <f t="shared" si="6"/>
        <v>0</v>
      </c>
      <c r="U69" s="118">
        <f t="shared" si="6"/>
        <v>0</v>
      </c>
      <c r="V69" s="118">
        <f t="shared" si="6"/>
        <v>0</v>
      </c>
      <c r="W69" s="118">
        <f t="shared" si="6"/>
        <v>0</v>
      </c>
      <c r="X69" s="118">
        <f t="shared" si="6"/>
        <v>0</v>
      </c>
      <c r="Y69" s="118">
        <f t="shared" si="6"/>
        <v>0</v>
      </c>
      <c r="Z69" s="118">
        <f t="shared" si="6"/>
        <v>0</v>
      </c>
      <c r="AA69" s="118">
        <f t="shared" si="6"/>
        <v>0</v>
      </c>
      <c r="AB69" s="118">
        <f t="shared" si="6"/>
        <v>0</v>
      </c>
      <c r="AC69" s="118">
        <f t="shared" si="6"/>
        <v>0</v>
      </c>
      <c r="AD69" s="118">
        <f t="shared" si="6"/>
        <v>0</v>
      </c>
      <c r="AE69" s="118">
        <f t="shared" si="6"/>
        <v>0</v>
      </c>
      <c r="AF69" s="118">
        <f t="shared" si="6"/>
        <v>0</v>
      </c>
      <c r="AG69" s="118">
        <f t="shared" si="6"/>
        <v>0</v>
      </c>
      <c r="AH69"/>
    </row>
    <row r="70" spans="1:34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/>
    </row>
    <row r="71" spans="1:34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/>
    </row>
    <row r="72" spans="1:34" x14ac:dyDescent="0.2">
      <c r="A72" s="8"/>
      <c r="B72" s="8"/>
      <c r="C72" s="4" t="str">
        <f>C14</f>
        <v>Refurbish 1 transformer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-500000</v>
      </c>
      <c r="J72" s="118" cm="1">
        <f t="array" ref="J72">SUMPRODUCT(($I67:J67))-SUMPRODUCT(($I67:J67)*($I$6:J$6&lt;=(J$6-$E14)))</f>
        <v>-500000</v>
      </c>
      <c r="K72" s="118" cm="1">
        <f t="array" ref="K72">SUMPRODUCT(($I67:K67))-SUMPRODUCT(($I67:K67)*($I$6:K$6&lt;=(K$6-$E14)))</f>
        <v>-500000</v>
      </c>
      <c r="L72" s="118" cm="1">
        <f t="array" ref="L72">SUMPRODUCT(($I67:L67))-SUMPRODUCT(($I67:L67)*($I$6:L$6&lt;=(L$6-$E14)))</f>
        <v>-500000</v>
      </c>
      <c r="M72" s="118" cm="1">
        <f t="array" ref="M72">SUMPRODUCT(($I67:M67))-SUMPRODUCT(($I67:M67)*($I$6:M$6&lt;=(M$6-$E14)))</f>
        <v>-500000</v>
      </c>
      <c r="N72" s="118" cm="1">
        <f t="array" ref="N72">SUMPRODUCT(($I67:N67))-SUMPRODUCT(($I67:N67)*($I$6:N$6&lt;=(N$6-$E14)))</f>
        <v>-500000</v>
      </c>
      <c r="O72" s="118" cm="1">
        <f t="array" ref="O72">SUMPRODUCT(($I67:O67))-SUMPRODUCT(($I67:O67)*($I$6:O$6&lt;=(O$6-$E14)))</f>
        <v>-500000</v>
      </c>
      <c r="P72" s="118" cm="1">
        <f t="array" ref="P72">SUMPRODUCT(($I67:P67))-SUMPRODUCT(($I67:P67)*($I$6:P$6&lt;=(P$6-$E14)))</f>
        <v>-500000</v>
      </c>
      <c r="Q72" s="118" cm="1">
        <f t="array" ref="Q72">SUMPRODUCT(($I67:Q67))-SUMPRODUCT(($I67:Q67)*($I$6:Q$6&lt;=(Q$6-$E14)))</f>
        <v>-500000</v>
      </c>
      <c r="R72" s="118" cm="1">
        <f t="array" ref="R72">SUMPRODUCT(($I67:R67))-SUMPRODUCT(($I67:R67)*($I$6:R$6&lt;=(R$6-$E14)))</f>
        <v>-500000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>
        <f>C15</f>
        <v>0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/>
    </row>
    <row r="76" spans="1:34" x14ac:dyDescent="0.2">
      <c r="A76" s="8"/>
      <c r="B76" s="8"/>
      <c r="C76" s="146" t="s">
        <v>91</v>
      </c>
      <c r="D76" s="38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/>
    </row>
    <row r="77" spans="1:34" x14ac:dyDescent="0.2">
      <c r="A77" s="8"/>
      <c r="B77" s="8"/>
      <c r="C77" s="4" t="str">
        <f>$C$76&amp;" - "&amp;C14</f>
        <v>Annualised capex - Refurbish 1 transformer</v>
      </c>
      <c r="D77" s="38"/>
      <c r="G77" s="209">
        <f>input_dollars</f>
        <v>45291</v>
      </c>
      <c r="H77" s="31"/>
      <c r="I77" s="118">
        <f t="shared" ref="I77:AG77" si="7">IF($E14=0,0,-PMT(real_disc, $E14,H72,))</f>
        <v>0</v>
      </c>
      <c r="J77" s="118">
        <f t="shared" si="7"/>
        <v>-60120.68393369564</v>
      </c>
      <c r="K77" s="118">
        <f t="shared" si="7"/>
        <v>-60120.68393369564</v>
      </c>
      <c r="L77" s="118">
        <f t="shared" si="7"/>
        <v>-60120.68393369564</v>
      </c>
      <c r="M77" s="118">
        <f t="shared" si="7"/>
        <v>-60120.68393369564</v>
      </c>
      <c r="N77" s="118">
        <f t="shared" si="7"/>
        <v>-60120.68393369564</v>
      </c>
      <c r="O77" s="118">
        <f t="shared" si="7"/>
        <v>-60120.68393369564</v>
      </c>
      <c r="P77" s="118">
        <f t="shared" si="7"/>
        <v>-60120.68393369564</v>
      </c>
      <c r="Q77" s="118">
        <f t="shared" si="7"/>
        <v>-60120.68393369564</v>
      </c>
      <c r="R77" s="118">
        <f t="shared" si="7"/>
        <v>-60120.68393369564</v>
      </c>
      <c r="S77" s="118">
        <f t="shared" si="7"/>
        <v>-60120.68393369564</v>
      </c>
      <c r="T77" s="118">
        <f t="shared" si="7"/>
        <v>0</v>
      </c>
      <c r="U77" s="118">
        <f t="shared" si="7"/>
        <v>0</v>
      </c>
      <c r="V77" s="118">
        <f t="shared" si="7"/>
        <v>0</v>
      </c>
      <c r="W77" s="118">
        <f t="shared" si="7"/>
        <v>0</v>
      </c>
      <c r="X77" s="118">
        <f t="shared" si="7"/>
        <v>0</v>
      </c>
      <c r="Y77" s="118">
        <f t="shared" si="7"/>
        <v>0</v>
      </c>
      <c r="Z77" s="118">
        <f t="shared" si="7"/>
        <v>0</v>
      </c>
      <c r="AA77" s="118">
        <f t="shared" si="7"/>
        <v>0</v>
      </c>
      <c r="AB77" s="118">
        <f t="shared" si="7"/>
        <v>0</v>
      </c>
      <c r="AC77" s="118">
        <f t="shared" si="7"/>
        <v>0</v>
      </c>
      <c r="AD77" s="118">
        <f t="shared" si="7"/>
        <v>0</v>
      </c>
      <c r="AE77" s="118">
        <f t="shared" si="7"/>
        <v>0</v>
      </c>
      <c r="AF77" s="118">
        <f t="shared" si="7"/>
        <v>0</v>
      </c>
      <c r="AG77" s="118">
        <f t="shared" si="7"/>
        <v>0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09">
        <f>input_dollars</f>
        <v>45291</v>
      </c>
      <c r="H78" s="31"/>
      <c r="I78" s="118">
        <f t="shared" ref="I78:AG78" si="8">IF($E15=0,0,-PMT(real_disc, $E15,H73,))</f>
        <v>0</v>
      </c>
      <c r="J78" s="118">
        <f t="shared" si="8"/>
        <v>0</v>
      </c>
      <c r="K78" s="118">
        <f t="shared" si="8"/>
        <v>0</v>
      </c>
      <c r="L78" s="118">
        <f t="shared" si="8"/>
        <v>0</v>
      </c>
      <c r="M78" s="118">
        <f t="shared" si="8"/>
        <v>0</v>
      </c>
      <c r="N78" s="118">
        <f t="shared" si="8"/>
        <v>0</v>
      </c>
      <c r="O78" s="118">
        <f t="shared" si="8"/>
        <v>0</v>
      </c>
      <c r="P78" s="118">
        <f t="shared" si="8"/>
        <v>0</v>
      </c>
      <c r="Q78" s="118">
        <f t="shared" si="8"/>
        <v>0</v>
      </c>
      <c r="R78" s="118">
        <f t="shared" si="8"/>
        <v>0</v>
      </c>
      <c r="S78" s="118">
        <f t="shared" si="8"/>
        <v>0</v>
      </c>
      <c r="T78" s="118">
        <f t="shared" si="8"/>
        <v>0</v>
      </c>
      <c r="U78" s="118">
        <f t="shared" si="8"/>
        <v>0</v>
      </c>
      <c r="V78" s="118">
        <f t="shared" si="8"/>
        <v>0</v>
      </c>
      <c r="W78" s="118">
        <f t="shared" si="8"/>
        <v>0</v>
      </c>
      <c r="X78" s="118">
        <f t="shared" si="8"/>
        <v>0</v>
      </c>
      <c r="Y78" s="118">
        <f t="shared" si="8"/>
        <v>0</v>
      </c>
      <c r="Z78" s="118">
        <f t="shared" si="8"/>
        <v>0</v>
      </c>
      <c r="AA78" s="118">
        <f t="shared" si="8"/>
        <v>0</v>
      </c>
      <c r="AB78" s="118">
        <f t="shared" si="8"/>
        <v>0</v>
      </c>
      <c r="AC78" s="118">
        <f t="shared" si="8"/>
        <v>0</v>
      </c>
      <c r="AD78" s="118">
        <f t="shared" si="8"/>
        <v>0</v>
      </c>
      <c r="AE78" s="118">
        <f t="shared" si="8"/>
        <v>0</v>
      </c>
      <c r="AF78" s="118">
        <f t="shared" si="8"/>
        <v>0</v>
      </c>
      <c r="AG78" s="118">
        <f t="shared" si="8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09">
        <f>input_dollars</f>
        <v>45291</v>
      </c>
      <c r="H79" s="31"/>
      <c r="I79" s="118">
        <f t="shared" ref="I79:AG79" si="9">IF($E16=0,0,-PMT(real_disc, $E16,H74,))</f>
        <v>0</v>
      </c>
      <c r="J79" s="118">
        <f t="shared" si="9"/>
        <v>0</v>
      </c>
      <c r="K79" s="118">
        <f t="shared" si="9"/>
        <v>0</v>
      </c>
      <c r="L79" s="118">
        <f t="shared" si="9"/>
        <v>0</v>
      </c>
      <c r="M79" s="118">
        <f t="shared" si="9"/>
        <v>0</v>
      </c>
      <c r="N79" s="118">
        <f t="shared" si="9"/>
        <v>0</v>
      </c>
      <c r="O79" s="118">
        <f t="shared" si="9"/>
        <v>0</v>
      </c>
      <c r="P79" s="118">
        <f t="shared" si="9"/>
        <v>0</v>
      </c>
      <c r="Q79" s="118">
        <f t="shared" si="9"/>
        <v>0</v>
      </c>
      <c r="R79" s="118">
        <f t="shared" si="9"/>
        <v>0</v>
      </c>
      <c r="S79" s="118">
        <f t="shared" si="9"/>
        <v>0</v>
      </c>
      <c r="T79" s="118">
        <f t="shared" si="9"/>
        <v>0</v>
      </c>
      <c r="U79" s="118">
        <f t="shared" si="9"/>
        <v>0</v>
      </c>
      <c r="V79" s="118">
        <f t="shared" si="9"/>
        <v>0</v>
      </c>
      <c r="W79" s="118">
        <f t="shared" si="9"/>
        <v>0</v>
      </c>
      <c r="X79" s="118">
        <f t="shared" si="9"/>
        <v>0</v>
      </c>
      <c r="Y79" s="118">
        <f t="shared" si="9"/>
        <v>0</v>
      </c>
      <c r="Z79" s="118">
        <f t="shared" si="9"/>
        <v>0</v>
      </c>
      <c r="AA79" s="118">
        <f t="shared" si="9"/>
        <v>0</v>
      </c>
      <c r="AB79" s="118">
        <f t="shared" si="9"/>
        <v>0</v>
      </c>
      <c r="AC79" s="118">
        <f t="shared" si="9"/>
        <v>0</v>
      </c>
      <c r="AD79" s="118">
        <f t="shared" si="9"/>
        <v>0</v>
      </c>
      <c r="AE79" s="118">
        <f t="shared" si="9"/>
        <v>0</v>
      </c>
      <c r="AF79" s="118">
        <f t="shared" si="9"/>
        <v>0</v>
      </c>
      <c r="AG79" s="118">
        <f t="shared" si="9"/>
        <v>0</v>
      </c>
      <c r="AH79"/>
    </row>
    <row r="80" spans="1:34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0">SUM(J77:J79)</f>
        <v>-60120.68393369564</v>
      </c>
      <c r="K80" s="175">
        <f t="shared" si="10"/>
        <v>-60120.68393369564</v>
      </c>
      <c r="L80" s="175">
        <f t="shared" si="10"/>
        <v>-60120.68393369564</v>
      </c>
      <c r="M80" s="175">
        <f t="shared" si="10"/>
        <v>-60120.68393369564</v>
      </c>
      <c r="N80" s="175">
        <f t="shared" si="10"/>
        <v>-60120.68393369564</v>
      </c>
      <c r="O80" s="175">
        <f t="shared" si="10"/>
        <v>-60120.68393369564</v>
      </c>
      <c r="P80" s="175">
        <f t="shared" si="10"/>
        <v>-60120.68393369564</v>
      </c>
      <c r="Q80" s="175">
        <f t="shared" si="10"/>
        <v>-60120.68393369564</v>
      </c>
      <c r="R80" s="175">
        <f t="shared" si="10"/>
        <v>-60120.68393369564</v>
      </c>
      <c r="S80" s="175">
        <f t="shared" si="10"/>
        <v>-60120.68393369564</v>
      </c>
      <c r="T80" s="175">
        <f t="shared" si="10"/>
        <v>0</v>
      </c>
      <c r="U80" s="175">
        <f t="shared" si="10"/>
        <v>0</v>
      </c>
      <c r="V80" s="175">
        <f t="shared" si="10"/>
        <v>0</v>
      </c>
      <c r="W80" s="175">
        <f t="shared" si="10"/>
        <v>0</v>
      </c>
      <c r="X80" s="175">
        <f t="shared" si="10"/>
        <v>0</v>
      </c>
      <c r="Y80" s="175">
        <f t="shared" si="10"/>
        <v>0</v>
      </c>
      <c r="Z80" s="175">
        <f t="shared" si="10"/>
        <v>0</v>
      </c>
      <c r="AA80" s="175">
        <f t="shared" si="10"/>
        <v>0</v>
      </c>
      <c r="AB80" s="175">
        <f t="shared" si="10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6"/>
      <c r="G82" s="209">
        <f t="shared" ref="G82:G87" si="11">input_dollars</f>
        <v>45291</v>
      </c>
      <c r="H82" s="31"/>
      <c r="I82" s="118">
        <f>I80</f>
        <v>0</v>
      </c>
      <c r="J82" s="118">
        <f t="shared" ref="J82:AB82" si="12">J80</f>
        <v>-60120.68393369564</v>
      </c>
      <c r="K82" s="118">
        <f t="shared" si="12"/>
        <v>-60120.68393369564</v>
      </c>
      <c r="L82" s="118">
        <f t="shared" si="12"/>
        <v>-60120.68393369564</v>
      </c>
      <c r="M82" s="118">
        <f t="shared" si="12"/>
        <v>-60120.68393369564</v>
      </c>
      <c r="N82" s="118">
        <f t="shared" si="12"/>
        <v>-60120.68393369564</v>
      </c>
      <c r="O82" s="118">
        <f t="shared" si="12"/>
        <v>-60120.68393369564</v>
      </c>
      <c r="P82" s="118">
        <f t="shared" si="12"/>
        <v>-60120.68393369564</v>
      </c>
      <c r="Q82" s="118">
        <f t="shared" si="12"/>
        <v>-60120.68393369564</v>
      </c>
      <c r="R82" s="118">
        <f t="shared" si="12"/>
        <v>-60120.68393369564</v>
      </c>
      <c r="S82" s="118">
        <f t="shared" si="12"/>
        <v>-60120.68393369564</v>
      </c>
      <c r="T82" s="118">
        <f t="shared" si="12"/>
        <v>0</v>
      </c>
      <c r="U82" s="118">
        <f t="shared" si="12"/>
        <v>0</v>
      </c>
      <c r="V82" s="118">
        <f t="shared" si="12"/>
        <v>0</v>
      </c>
      <c r="W82" s="118">
        <f t="shared" si="12"/>
        <v>0</v>
      </c>
      <c r="X82" s="118">
        <f t="shared" si="12"/>
        <v>0</v>
      </c>
      <c r="Y82" s="118">
        <f t="shared" si="12"/>
        <v>0</v>
      </c>
      <c r="Z82" s="118">
        <f t="shared" si="12"/>
        <v>0</v>
      </c>
      <c r="AA82" s="118">
        <f t="shared" si="12"/>
        <v>0</v>
      </c>
      <c r="AB82" s="118">
        <f t="shared" si="12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6"/>
      <c r="G83" s="209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2">
      <c r="A84" s="8"/>
      <c r="B84" s="8"/>
      <c r="C84" s="4" t="s">
        <v>140</v>
      </c>
      <c r="D84" s="38"/>
      <c r="F84" s="96"/>
      <c r="G84" s="209">
        <f t="shared" si="11"/>
        <v>45291</v>
      </c>
      <c r="H84" s="31"/>
      <c r="I84" s="31">
        <f t="shared" ref="I84:AG84" si="14">I64</f>
        <v>0</v>
      </c>
      <c r="J84" s="31">
        <f t="shared" si="14"/>
        <v>51550.592763794004</v>
      </c>
      <c r="K84" s="31">
        <f t="shared" si="14"/>
        <v>54309.560867263586</v>
      </c>
      <c r="L84" s="31">
        <f t="shared" si="14"/>
        <v>57111.676539571723</v>
      </c>
      <c r="M84" s="31">
        <f t="shared" si="14"/>
        <v>59722.246407644358</v>
      </c>
      <c r="N84" s="31">
        <f t="shared" si="14"/>
        <v>62455.96269805124</v>
      </c>
      <c r="O84" s="31">
        <f t="shared" si="14"/>
        <v>65628.594680828741</v>
      </c>
      <c r="P84" s="31">
        <f t="shared" si="14"/>
        <v>69288.433738337364</v>
      </c>
      <c r="Q84" s="31">
        <f t="shared" si="14"/>
        <v>72318.163294101832</v>
      </c>
      <c r="R84" s="31">
        <f t="shared" si="14"/>
        <v>74088.967531856149</v>
      </c>
      <c r="S84" s="31">
        <f t="shared" si="14"/>
        <v>75879.027204391547</v>
      </c>
      <c r="T84" s="31">
        <f t="shared" si="14"/>
        <v>77688.290910778334</v>
      </c>
      <c r="U84" s="31">
        <f t="shared" si="14"/>
        <v>79516.708871276351</v>
      </c>
      <c r="V84" s="31">
        <f t="shared" si="14"/>
        <v>81364.232878333423</v>
      </c>
      <c r="W84" s="31">
        <f t="shared" si="14"/>
        <v>83230.816249775467</v>
      </c>
      <c r="X84" s="31">
        <f t="shared" si="14"/>
        <v>85116.413784122327</v>
      </c>
      <c r="Y84" s="31">
        <f t="shared" si="14"/>
        <v>87020.98171785078</v>
      </c>
      <c r="Z84" s="31">
        <f t="shared" si="14"/>
        <v>88944.477684540674</v>
      </c>
      <c r="AA84" s="31">
        <f t="shared" si="14"/>
        <v>90886.860675759614</v>
      </c>
      <c r="AB84" s="31">
        <f t="shared" si="14"/>
        <v>92848.091003613081</v>
      </c>
      <c r="AC84" s="31">
        <f t="shared" si="14"/>
        <v>94828.130264866166</v>
      </c>
      <c r="AD84" s="31">
        <f t="shared" si="14"/>
        <v>96826.941306529334</v>
      </c>
      <c r="AE84" s="31">
        <f t="shared" si="14"/>
        <v>98798.305839245208</v>
      </c>
      <c r="AF84" s="31">
        <f t="shared" si="14"/>
        <v>100787.97062354628</v>
      </c>
      <c r="AG84" s="31">
        <f t="shared" si="14"/>
        <v>102795.90353727527</v>
      </c>
      <c r="AH84"/>
    </row>
    <row r="85" spans="1:34" x14ac:dyDescent="0.2">
      <c r="A85" s="8"/>
      <c r="B85" s="8"/>
      <c r="C85" s="4" t="s">
        <v>122</v>
      </c>
      <c r="D85" s="38"/>
      <c r="F85" s="96"/>
      <c r="G85" s="209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  <c r="AH85"/>
    </row>
    <row r="86" spans="1:34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6" t="s">
        <v>188</v>
      </c>
      <c r="D87" s="177"/>
      <c r="E87" s="172"/>
      <c r="F87" s="178"/>
      <c r="G87" s="214">
        <f t="shared" si="11"/>
        <v>45291</v>
      </c>
      <c r="H87" s="178"/>
      <c r="I87" s="178">
        <f t="shared" ref="I87:AB87" si="16">SUM(I82:I86)</f>
        <v>0</v>
      </c>
      <c r="J87" s="178">
        <f t="shared" si="16"/>
        <v>-8570.091169901636</v>
      </c>
      <c r="K87" s="178">
        <f t="shared" si="16"/>
        <v>-5811.1230664320537</v>
      </c>
      <c r="L87" s="178">
        <f t="shared" si="16"/>
        <v>-3009.007394123917</v>
      </c>
      <c r="M87" s="178">
        <f t="shared" si="16"/>
        <v>-398.43752605128248</v>
      </c>
      <c r="N87" s="178">
        <f t="shared" si="16"/>
        <v>2335.2787643556003</v>
      </c>
      <c r="O87" s="178">
        <f t="shared" si="16"/>
        <v>5507.9107471331008</v>
      </c>
      <c r="P87" s="178">
        <f t="shared" si="16"/>
        <v>9167.749804641724</v>
      </c>
      <c r="Q87" s="178">
        <f t="shared" si="16"/>
        <v>12197.479360406192</v>
      </c>
      <c r="R87" s="178">
        <f t="shared" si="16"/>
        <v>13968.283598160509</v>
      </c>
      <c r="S87" s="178">
        <f t="shared" si="16"/>
        <v>15758.343270695907</v>
      </c>
      <c r="T87" s="178">
        <f t="shared" si="16"/>
        <v>77688.290910778334</v>
      </c>
      <c r="U87" s="178">
        <f t="shared" si="16"/>
        <v>79516.708871276351</v>
      </c>
      <c r="V87" s="178">
        <f t="shared" si="16"/>
        <v>81364.232878333423</v>
      </c>
      <c r="W87" s="178">
        <f t="shared" si="16"/>
        <v>83230.816249775467</v>
      </c>
      <c r="X87" s="178">
        <f t="shared" si="16"/>
        <v>85116.413784122327</v>
      </c>
      <c r="Y87" s="178">
        <f t="shared" si="16"/>
        <v>87020.98171785078</v>
      </c>
      <c r="Z87" s="178">
        <f t="shared" si="16"/>
        <v>88944.477684540674</v>
      </c>
      <c r="AA87" s="178">
        <f t="shared" si="16"/>
        <v>90886.860675759614</v>
      </c>
      <c r="AB87" s="178">
        <f t="shared" si="16"/>
        <v>92848.091003613081</v>
      </c>
      <c r="AC87" s="178">
        <f>SUM(AC82:AC86)</f>
        <v>94828.130264866166</v>
      </c>
      <c r="AD87" s="178">
        <f>SUM(AD82:AD86)</f>
        <v>96826.941306529334</v>
      </c>
      <c r="AE87" s="178">
        <f>SUM(AE82:AE86)</f>
        <v>98798.305839245208</v>
      </c>
      <c r="AF87" s="178">
        <f>SUM(AF82:AF86)</f>
        <v>100787.97062354628</v>
      </c>
      <c r="AG87" s="178">
        <f>SUM(AG82:AG86)</f>
        <v>102795.90353727527</v>
      </c>
      <c r="AH87"/>
    </row>
    <row r="88" spans="1:34" x14ac:dyDescent="0.2">
      <c r="A88" s="8"/>
      <c r="B88" s="8"/>
      <c r="C88" s="75"/>
      <c r="D88" s="137"/>
      <c r="E88" s="64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/>
    </row>
    <row r="89" spans="1:34" x14ac:dyDescent="0.2">
      <c r="A89" s="8"/>
      <c r="B89" s="8"/>
      <c r="C89" s="75"/>
      <c r="D89" s="137"/>
      <c r="E89" s="64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/>
    </row>
    <row r="90" spans="1:34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3"/>
      <c r="E91" s="230"/>
      <c r="F91" s="230"/>
      <c r="G91" s="232"/>
    </row>
    <row r="92" spans="1:34" x14ac:dyDescent="0.2">
      <c r="C92" s="234" t="s">
        <v>193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7">J87</f>
        <v>-8570.091169901636</v>
      </c>
      <c r="K106" s="31">
        <f t="shared" si="17"/>
        <v>-5811.1230664320537</v>
      </c>
      <c r="L106" s="31">
        <f t="shared" si="17"/>
        <v>-3009.007394123917</v>
      </c>
      <c r="M106" s="31">
        <f t="shared" si="17"/>
        <v>-398.43752605128248</v>
      </c>
      <c r="N106" s="31">
        <f t="shared" si="17"/>
        <v>2335.2787643556003</v>
      </c>
      <c r="O106" s="31">
        <f t="shared" si="17"/>
        <v>5507.9107471331008</v>
      </c>
      <c r="P106" s="31">
        <f t="shared" si="17"/>
        <v>9167.749804641724</v>
      </c>
      <c r="Q106" s="31">
        <f t="shared" si="17"/>
        <v>12197.479360406192</v>
      </c>
      <c r="R106" s="31">
        <f t="shared" si="17"/>
        <v>13968.283598160509</v>
      </c>
      <c r="S106" s="31">
        <f t="shared" si="17"/>
        <v>15758.343270695907</v>
      </c>
      <c r="T106" s="31">
        <f t="shared" si="17"/>
        <v>77688.290910778334</v>
      </c>
      <c r="U106" s="31">
        <f t="shared" si="17"/>
        <v>79516.708871276351</v>
      </c>
      <c r="V106" s="31">
        <f t="shared" si="17"/>
        <v>81364.232878333423</v>
      </c>
      <c r="W106" s="31">
        <f t="shared" si="17"/>
        <v>83230.816249775467</v>
      </c>
      <c r="X106" s="31">
        <f t="shared" si="17"/>
        <v>85116.413784122327</v>
      </c>
      <c r="Y106" s="31">
        <f t="shared" si="17"/>
        <v>87020.98171785078</v>
      </c>
      <c r="Z106" s="31">
        <f t="shared" si="17"/>
        <v>88944.477684540674</v>
      </c>
      <c r="AA106" s="31">
        <f t="shared" si="17"/>
        <v>90886.860675759614</v>
      </c>
      <c r="AB106" s="31">
        <f t="shared" si="17"/>
        <v>92848.091003613081</v>
      </c>
      <c r="AC106" s="31">
        <f t="shared" si="17"/>
        <v>94828.130264866166</v>
      </c>
      <c r="AD106" s="31">
        <f t="shared" si="17"/>
        <v>96826.941306529334</v>
      </c>
      <c r="AE106" s="31">
        <f t="shared" si="17"/>
        <v>98798.305839245208</v>
      </c>
      <c r="AF106" s="31">
        <f t="shared" si="17"/>
        <v>100787.97062354628</v>
      </c>
      <c r="AG106" s="31">
        <f t="shared" si="17"/>
        <v>102795.90353727527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8">J82</f>
        <v>-60120.68393369564</v>
      </c>
      <c r="K107" s="31">
        <f t="shared" si="18"/>
        <v>-60120.68393369564</v>
      </c>
      <c r="L107" s="31">
        <f t="shared" si="18"/>
        <v>-60120.68393369564</v>
      </c>
      <c r="M107" s="31">
        <f t="shared" si="18"/>
        <v>-60120.68393369564</v>
      </c>
      <c r="N107" s="31">
        <f t="shared" si="18"/>
        <v>-60120.68393369564</v>
      </c>
      <c r="O107" s="31">
        <f t="shared" si="18"/>
        <v>-60120.68393369564</v>
      </c>
      <c r="P107" s="31">
        <f t="shared" si="18"/>
        <v>-60120.68393369564</v>
      </c>
      <c r="Q107" s="31">
        <f t="shared" si="18"/>
        <v>-60120.68393369564</v>
      </c>
      <c r="R107" s="31">
        <f t="shared" si="18"/>
        <v>-60120.68393369564</v>
      </c>
      <c r="S107" s="31">
        <f t="shared" si="18"/>
        <v>-60120.68393369564</v>
      </c>
      <c r="T107" s="31">
        <f t="shared" si="18"/>
        <v>0</v>
      </c>
      <c r="U107" s="31">
        <f t="shared" si="18"/>
        <v>0</v>
      </c>
      <c r="V107" s="31">
        <f t="shared" si="18"/>
        <v>0</v>
      </c>
      <c r="W107" s="31">
        <f t="shared" si="18"/>
        <v>0</v>
      </c>
      <c r="X107" s="31">
        <f t="shared" si="18"/>
        <v>0</v>
      </c>
      <c r="Y107" s="31">
        <f t="shared" si="18"/>
        <v>0</v>
      </c>
      <c r="Z107" s="31">
        <f t="shared" si="18"/>
        <v>0</v>
      </c>
      <c r="AA107" s="31">
        <f t="shared" si="18"/>
        <v>0</v>
      </c>
      <c r="AB107" s="31">
        <f t="shared" si="18"/>
        <v>0</v>
      </c>
      <c r="AC107" s="31">
        <f t="shared" si="18"/>
        <v>0</v>
      </c>
      <c r="AD107" s="31">
        <f t="shared" si="18"/>
        <v>0</v>
      </c>
      <c r="AE107" s="31">
        <f t="shared" si="18"/>
        <v>0</v>
      </c>
      <c r="AF107" s="31">
        <f t="shared" si="18"/>
        <v>0</v>
      </c>
      <c r="AG107" s="31">
        <f t="shared" si="18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19">SUM(J84:J85)</f>
        <v>51550.592763794004</v>
      </c>
      <c r="K108" s="31">
        <f t="shared" si="19"/>
        <v>54309.560867263586</v>
      </c>
      <c r="L108" s="31">
        <f t="shared" si="19"/>
        <v>57111.676539571723</v>
      </c>
      <c r="M108" s="31">
        <f t="shared" si="19"/>
        <v>59722.246407644358</v>
      </c>
      <c r="N108" s="31">
        <f t="shared" si="19"/>
        <v>62455.96269805124</v>
      </c>
      <c r="O108" s="31">
        <f t="shared" si="19"/>
        <v>65628.594680828741</v>
      </c>
      <c r="P108" s="31">
        <f t="shared" si="19"/>
        <v>69288.433738337364</v>
      </c>
      <c r="Q108" s="31">
        <f t="shared" si="19"/>
        <v>72318.163294101832</v>
      </c>
      <c r="R108" s="31">
        <f t="shared" si="19"/>
        <v>74088.967531856149</v>
      </c>
      <c r="S108" s="31">
        <f t="shared" si="19"/>
        <v>75879.027204391547</v>
      </c>
      <c r="T108" s="31">
        <f t="shared" si="19"/>
        <v>77688.290910778334</v>
      </c>
      <c r="U108" s="31">
        <f t="shared" si="19"/>
        <v>79516.708871276351</v>
      </c>
      <c r="V108" s="31">
        <f t="shared" si="19"/>
        <v>81364.232878333423</v>
      </c>
      <c r="W108" s="31">
        <f t="shared" si="19"/>
        <v>83230.816249775467</v>
      </c>
      <c r="X108" s="31">
        <f t="shared" si="19"/>
        <v>85116.413784122327</v>
      </c>
      <c r="Y108" s="31">
        <f t="shared" si="19"/>
        <v>87020.98171785078</v>
      </c>
      <c r="Z108" s="31">
        <f t="shared" si="19"/>
        <v>88944.477684540674</v>
      </c>
      <c r="AA108" s="31">
        <f t="shared" si="19"/>
        <v>90886.860675759614</v>
      </c>
      <c r="AB108" s="31">
        <f t="shared" si="19"/>
        <v>92848.091003613081</v>
      </c>
      <c r="AC108" s="31">
        <f t="shared" si="19"/>
        <v>94828.130264866166</v>
      </c>
      <c r="AD108" s="31">
        <f t="shared" si="19"/>
        <v>96826.941306529334</v>
      </c>
      <c r="AE108" s="31">
        <f t="shared" si="19"/>
        <v>98798.305839245208</v>
      </c>
      <c r="AF108" s="31">
        <f t="shared" si="19"/>
        <v>100787.97062354628</v>
      </c>
      <c r="AG108" s="31">
        <f t="shared" si="19"/>
        <v>102795.90353727527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-14582.159563271201</v>
      </c>
      <c r="K110" s="31" cm="1">
        <f t="array" ref="K110">K$106+IF($C110&lt;&gt;0,SUMPRODUCT((K$107:K$108)*TRANSPOSE(($D110:$E110))),0)</f>
        <v>-11823.191459801619</v>
      </c>
      <c r="L110" s="31" cm="1">
        <f t="array" ref="L110">L$106+IF($C110&lt;&gt;0,SUMPRODUCT((L$107:L$108)*TRANSPOSE(($D110:$E110))),0)</f>
        <v>-9021.0757874934825</v>
      </c>
      <c r="M110" s="31" cm="1">
        <f t="array" ref="M110">M$106+IF($C110&lt;&gt;0,SUMPRODUCT((M$107:M$108)*TRANSPOSE(($D110:$E110))),0)</f>
        <v>-6410.505919420847</v>
      </c>
      <c r="N110" s="31" cm="1">
        <f t="array" ref="N110">N$106+IF($C110&lt;&gt;0,SUMPRODUCT((N$107:N$108)*TRANSPOSE(($D110:$E110))),0)</f>
        <v>-3676.7896290139643</v>
      </c>
      <c r="O110" s="31" cm="1">
        <f t="array" ref="O110">O$106+IF($C110&lt;&gt;0,SUMPRODUCT((O$107:O$108)*TRANSPOSE(($D110:$E110))),0)</f>
        <v>-504.15764623646373</v>
      </c>
      <c r="P110" s="31" cm="1">
        <f t="array" ref="P110">P$106+IF($C110&lt;&gt;0,SUMPRODUCT((P$107:P$108)*TRANSPOSE(($D110:$E110))),0)</f>
        <v>3155.6814112721595</v>
      </c>
      <c r="Q110" s="31" cm="1">
        <f t="array" ref="Q110">Q$106+IF($C110&lt;&gt;0,SUMPRODUCT((Q$107:Q$108)*TRANSPOSE(($D110:$E110))),0)</f>
        <v>6185.4109670366279</v>
      </c>
      <c r="R110" s="31" cm="1">
        <f t="array" ref="R110">R$106+IF($C110&lt;&gt;0,SUMPRODUCT((R$107:R$108)*TRANSPOSE(($D110:$E110))),0)</f>
        <v>7956.2152047909449</v>
      </c>
      <c r="S110" s="31" cm="1">
        <f t="array" ref="S110">S$106+IF($C110&lt;&gt;0,SUMPRODUCT((S$107:S$108)*TRANSPOSE(($D110:$E110))),0)</f>
        <v>9746.2748773263411</v>
      </c>
      <c r="T110" s="31" cm="1">
        <f t="array" ref="T110">T$106+IF($C110&lt;&gt;0,SUMPRODUCT((T$107:T$108)*TRANSPOSE(($D110:$E110))),0)</f>
        <v>77688.290910778334</v>
      </c>
      <c r="U110" s="31" cm="1">
        <f t="array" ref="U110">U$106+IF($C110&lt;&gt;0,SUMPRODUCT((U$107:U$108)*TRANSPOSE(($D110:$E110))),0)</f>
        <v>79516.708871276351</v>
      </c>
      <c r="V110" s="31" cm="1">
        <f t="array" ref="V110">V$106+IF($C110&lt;&gt;0,SUMPRODUCT((V$107:V$108)*TRANSPOSE(($D110:$E110))),0)</f>
        <v>81364.232878333423</v>
      </c>
      <c r="W110" s="31" cm="1">
        <f t="array" ref="W110">W$106+IF($C110&lt;&gt;0,SUMPRODUCT((W$107:W$108)*TRANSPOSE(($D110:$E110))),0)</f>
        <v>83230.816249775467</v>
      </c>
      <c r="X110" s="31" cm="1">
        <f t="array" ref="X110">X$106+IF($C110&lt;&gt;0,SUMPRODUCT((X$107:X$108)*TRANSPOSE(($D110:$E110))),0)</f>
        <v>85116.413784122327</v>
      </c>
      <c r="Y110" s="31" cm="1">
        <f t="array" ref="Y110">Y$106+IF($C110&lt;&gt;0,SUMPRODUCT((Y$107:Y$108)*TRANSPOSE(($D110:$E110))),0)</f>
        <v>87020.98171785078</v>
      </c>
      <c r="Z110" s="31" cm="1">
        <f t="array" ref="Z110">Z$106+IF($C110&lt;&gt;0,SUMPRODUCT((Z$107:Z$108)*TRANSPOSE(($D110:$E110))),0)</f>
        <v>88944.477684540674</v>
      </c>
      <c r="AA110" s="31" cm="1">
        <f t="array" ref="AA110">AA$106+IF($C110&lt;&gt;0,SUMPRODUCT((AA$107:AA$108)*TRANSPOSE(($D110:$E110))),0)</f>
        <v>90886.860675759614</v>
      </c>
      <c r="AB110" s="31" cm="1">
        <f t="array" ref="AB110">AB$106+IF($C110&lt;&gt;0,SUMPRODUCT((AB$107:AB$108)*TRANSPOSE(($D110:$E110))),0)</f>
        <v>92848.091003613081</v>
      </c>
      <c r="AC110" s="31" cm="1">
        <f t="array" ref="AC110">AC$106+IF($C110&lt;&gt;0,SUMPRODUCT((AC$107:AC$108)*TRANSPOSE(($D110:$E110))),0)</f>
        <v>94828.130264866166</v>
      </c>
      <c r="AD110" s="31" cm="1">
        <f t="array" ref="AD110">AD$106+IF($C110&lt;&gt;0,SUMPRODUCT((AD$107:AD$108)*TRANSPOSE(($D110:$E110))),0)</f>
        <v>96826.941306529334</v>
      </c>
      <c r="AE110" s="31" cm="1">
        <f t="array" ref="AE110">AE$106+IF($C110&lt;&gt;0,SUMPRODUCT((AE$107:AE$108)*TRANSPOSE(($D110:$E110))),0)</f>
        <v>98798.305839245208</v>
      </c>
      <c r="AF110" s="31" cm="1">
        <f t="array" ref="AF110">AF$106+IF($C110&lt;&gt;0,SUMPRODUCT((AF$107:AF$108)*TRANSPOSE(($D110:$E110))),0)</f>
        <v>100787.97062354628</v>
      </c>
      <c r="AG110" s="31" cm="1">
        <f t="array" ref="AG110">AG$106+IF($C110&lt;&gt;0,SUMPRODUCT((AG$107:AG$108)*TRANSPOSE(($D110:$E110))),0)</f>
        <v>102795.90353727527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-2558.0227765320715</v>
      </c>
      <c r="K111" s="31" cm="1">
        <f t="array" ref="K111">K$106+IF($C111&lt;&gt;0,SUMPRODUCT((K$107:K$108)*TRANSPOSE(($D111:$E111))),0)</f>
        <v>200.9453269375108</v>
      </c>
      <c r="L111" s="31" cm="1">
        <f t="array" ref="L111">L$106+IF($C111&lt;&gt;0,SUMPRODUCT((L$107:L$108)*TRANSPOSE(($D111:$E111))),0)</f>
        <v>3003.0609992456475</v>
      </c>
      <c r="M111" s="31" cm="1">
        <f t="array" ref="M111">M$106+IF($C111&lt;&gt;0,SUMPRODUCT((M$107:M$108)*TRANSPOSE(($D111:$E111))),0)</f>
        <v>5613.6308673182821</v>
      </c>
      <c r="N111" s="31" cm="1">
        <f t="array" ref="N111">N$106+IF($C111&lt;&gt;0,SUMPRODUCT((N$107:N$108)*TRANSPOSE(($D111:$E111))),0)</f>
        <v>8347.3471577251657</v>
      </c>
      <c r="O111" s="31" cm="1">
        <f t="array" ref="O111">O$106+IF($C111&lt;&gt;0,SUMPRODUCT((O$107:O$108)*TRANSPOSE(($D111:$E111))),0)</f>
        <v>11519.979140502666</v>
      </c>
      <c r="P111" s="31" cm="1">
        <f t="array" ref="P111">P$106+IF($C111&lt;&gt;0,SUMPRODUCT((P$107:P$108)*TRANSPOSE(($D111:$E111))),0)</f>
        <v>15179.818198011289</v>
      </c>
      <c r="Q111" s="31" cm="1">
        <f t="array" ref="Q111">Q$106+IF($C111&lt;&gt;0,SUMPRODUCT((Q$107:Q$108)*TRANSPOSE(($D111:$E111))),0)</f>
        <v>18209.547753775758</v>
      </c>
      <c r="R111" s="31" cm="1">
        <f t="array" ref="R111">R$106+IF($C111&lt;&gt;0,SUMPRODUCT((R$107:R$108)*TRANSPOSE(($D111:$E111))),0)</f>
        <v>19980.351991530075</v>
      </c>
      <c r="S111" s="31" cm="1">
        <f t="array" ref="S111">S$106+IF($C111&lt;&gt;0,SUMPRODUCT((S$107:S$108)*TRANSPOSE(($D111:$E111))),0)</f>
        <v>21770.411664065472</v>
      </c>
      <c r="T111" s="31" cm="1">
        <f t="array" ref="T111">T$106+IF($C111&lt;&gt;0,SUMPRODUCT((T$107:T$108)*TRANSPOSE(($D111:$E111))),0)</f>
        <v>77688.290910778334</v>
      </c>
      <c r="U111" s="31" cm="1">
        <f t="array" ref="U111">U$106+IF($C111&lt;&gt;0,SUMPRODUCT((U$107:U$108)*TRANSPOSE(($D111:$E111))),0)</f>
        <v>79516.708871276351</v>
      </c>
      <c r="V111" s="31" cm="1">
        <f t="array" ref="V111">V$106+IF($C111&lt;&gt;0,SUMPRODUCT((V$107:V$108)*TRANSPOSE(($D111:$E111))),0)</f>
        <v>81364.232878333423</v>
      </c>
      <c r="W111" s="31" cm="1">
        <f t="array" ref="W111">W$106+IF($C111&lt;&gt;0,SUMPRODUCT((W$107:W$108)*TRANSPOSE(($D111:$E111))),0)</f>
        <v>83230.816249775467</v>
      </c>
      <c r="X111" s="31" cm="1">
        <f t="array" ref="X111">X$106+IF($C111&lt;&gt;0,SUMPRODUCT((X$107:X$108)*TRANSPOSE(($D111:$E111))),0)</f>
        <v>85116.413784122327</v>
      </c>
      <c r="Y111" s="31" cm="1">
        <f t="array" ref="Y111">Y$106+IF($C111&lt;&gt;0,SUMPRODUCT((Y$107:Y$108)*TRANSPOSE(($D111:$E111))),0)</f>
        <v>87020.98171785078</v>
      </c>
      <c r="Z111" s="31" cm="1">
        <f t="array" ref="Z111">Z$106+IF($C111&lt;&gt;0,SUMPRODUCT((Z$107:Z$108)*TRANSPOSE(($D111:$E111))),0)</f>
        <v>88944.477684540674</v>
      </c>
      <c r="AA111" s="31" cm="1">
        <f t="array" ref="AA111">AA$106+IF($C111&lt;&gt;0,SUMPRODUCT((AA$107:AA$108)*TRANSPOSE(($D111:$E111))),0)</f>
        <v>90886.860675759614</v>
      </c>
      <c r="AB111" s="31" cm="1">
        <f t="array" ref="AB111">AB$106+IF($C111&lt;&gt;0,SUMPRODUCT((AB$107:AB$108)*TRANSPOSE(($D111:$E111))),0)</f>
        <v>92848.091003613081</v>
      </c>
      <c r="AC111" s="31" cm="1">
        <f t="array" ref="AC111">AC$106+IF($C111&lt;&gt;0,SUMPRODUCT((AC$107:AC$108)*TRANSPOSE(($D111:$E111))),0)</f>
        <v>94828.130264866166</v>
      </c>
      <c r="AD111" s="31" cm="1">
        <f t="array" ref="AD111">AD$106+IF($C111&lt;&gt;0,SUMPRODUCT((AD$107:AD$108)*TRANSPOSE(($D111:$E111))),0)</f>
        <v>96826.941306529334</v>
      </c>
      <c r="AE111" s="31" cm="1">
        <f t="array" ref="AE111">AE$106+IF($C111&lt;&gt;0,SUMPRODUCT((AE$107:AE$108)*TRANSPOSE(($D111:$E111))),0)</f>
        <v>98798.305839245208</v>
      </c>
      <c r="AF111" s="31" cm="1">
        <f t="array" ref="AF111">AF$106+IF($C111&lt;&gt;0,SUMPRODUCT((AF$107:AF$108)*TRANSPOSE(($D111:$E111))),0)</f>
        <v>100787.97062354628</v>
      </c>
      <c r="AG111" s="31" cm="1">
        <f t="array" ref="AG111">AG$106+IF($C111&lt;&gt;0,SUMPRODUCT((AG$107:AG$108)*TRANSPOSE(($D111:$E111))),0)</f>
        <v>102795.90353727527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-3415.0318935222349</v>
      </c>
      <c r="K112" s="31" cm="1">
        <f t="array" ref="K112">K$106+IF($C112&lt;&gt;0,SUMPRODUCT((K$107:K$108)*TRANSPOSE(($D112:$E112))),0)</f>
        <v>-380.16697970569476</v>
      </c>
      <c r="L112" s="31" cm="1">
        <f t="array" ref="L112">L$106+IF($C112&lt;&gt;0,SUMPRODUCT((L$107:L$108)*TRANSPOSE(($D112:$E112))),0)</f>
        <v>2702.1602598332556</v>
      </c>
      <c r="M112" s="31" cm="1">
        <f t="array" ref="M112">M$106+IF($C112&lt;&gt;0,SUMPRODUCT((M$107:M$108)*TRANSPOSE(($D112:$E112))),0)</f>
        <v>5573.7871147131536</v>
      </c>
      <c r="N112" s="31" cm="1">
        <f t="array" ref="N112">N$106+IF($C112&lt;&gt;0,SUMPRODUCT((N$107:N$108)*TRANSPOSE(($D112:$E112))),0)</f>
        <v>8580.8750341607247</v>
      </c>
      <c r="O112" s="31" cm="1">
        <f t="array" ref="O112">O$106+IF($C112&lt;&gt;0,SUMPRODUCT((O$107:O$108)*TRANSPOSE(($D112:$E112))),0)</f>
        <v>12070.770215215976</v>
      </c>
      <c r="P112" s="31" cm="1">
        <f t="array" ref="P112">P$106+IF($C112&lt;&gt;0,SUMPRODUCT((P$107:P$108)*TRANSPOSE(($D112:$E112))),0)</f>
        <v>16096.593178475461</v>
      </c>
      <c r="Q112" s="31" cm="1">
        <f t="array" ref="Q112">Q$106+IF($C112&lt;&gt;0,SUMPRODUCT((Q$107:Q$108)*TRANSPOSE(($D112:$E112))),0)</f>
        <v>19429.295689816376</v>
      </c>
      <c r="R112" s="31" cm="1">
        <f t="array" ref="R112">R$106+IF($C112&lt;&gt;0,SUMPRODUCT((R$107:R$108)*TRANSPOSE(($D112:$E112))),0)</f>
        <v>21377.180351346124</v>
      </c>
      <c r="S112" s="31" cm="1">
        <f t="array" ref="S112">S$106+IF($C112&lt;&gt;0,SUMPRODUCT((S$107:S$108)*TRANSPOSE(($D112:$E112))),0)</f>
        <v>23346.24599113506</v>
      </c>
      <c r="T112" s="31" cm="1">
        <f t="array" ref="T112">T$106+IF($C112&lt;&gt;0,SUMPRODUCT((T$107:T$108)*TRANSPOSE(($D112:$E112))),0)</f>
        <v>85457.120001856165</v>
      </c>
      <c r="U112" s="31" cm="1">
        <f t="array" ref="U112">U$106+IF($C112&lt;&gt;0,SUMPRODUCT((U$107:U$108)*TRANSPOSE(($D112:$E112))),0)</f>
        <v>87468.379758403986</v>
      </c>
      <c r="V112" s="31" cm="1">
        <f t="array" ref="V112">V$106+IF($C112&lt;&gt;0,SUMPRODUCT((V$107:V$108)*TRANSPOSE(($D112:$E112))),0)</f>
        <v>89500.656166166766</v>
      </c>
      <c r="W112" s="31" cm="1">
        <f t="array" ref="W112">W$106+IF($C112&lt;&gt;0,SUMPRODUCT((W$107:W$108)*TRANSPOSE(($D112:$E112))),0)</f>
        <v>91553.89787475302</v>
      </c>
      <c r="X112" s="31" cm="1">
        <f t="array" ref="X112">X$106+IF($C112&lt;&gt;0,SUMPRODUCT((X$107:X$108)*TRANSPOSE(($D112:$E112))),0)</f>
        <v>93628.055162534554</v>
      </c>
      <c r="Y112" s="31" cm="1">
        <f t="array" ref="Y112">Y$106+IF($C112&lt;&gt;0,SUMPRODUCT((Y$107:Y$108)*TRANSPOSE(($D112:$E112))),0)</f>
        <v>95723.079889635861</v>
      </c>
      <c r="Z112" s="31" cm="1">
        <f t="array" ref="Z112">Z$106+IF($C112&lt;&gt;0,SUMPRODUCT((Z$107:Z$108)*TRANSPOSE(($D112:$E112))),0)</f>
        <v>97838.925452994736</v>
      </c>
      <c r="AA112" s="31" cm="1">
        <f t="array" ref="AA112">AA$106+IF($C112&lt;&gt;0,SUMPRODUCT((AA$107:AA$108)*TRANSPOSE(($D112:$E112))),0)</f>
        <v>99975.546743335581</v>
      </c>
      <c r="AB112" s="31" cm="1">
        <f t="array" ref="AB112">AB$106+IF($C112&lt;&gt;0,SUMPRODUCT((AB$107:AB$108)*TRANSPOSE(($D112:$E112))),0)</f>
        <v>102132.90010397439</v>
      </c>
      <c r="AC112" s="31" cm="1">
        <f t="array" ref="AC112">AC$106+IF($C112&lt;&gt;0,SUMPRODUCT((AC$107:AC$108)*TRANSPOSE(($D112:$E112))),0)</f>
        <v>104310.94329135279</v>
      </c>
      <c r="AD112" s="31" cm="1">
        <f t="array" ref="AD112">AD$106+IF($C112&lt;&gt;0,SUMPRODUCT((AD$107:AD$108)*TRANSPOSE(($D112:$E112))),0)</f>
        <v>106509.63543718227</v>
      </c>
      <c r="AE112" s="31" cm="1">
        <f t="array" ref="AE112">AE$106+IF($C112&lt;&gt;0,SUMPRODUCT((AE$107:AE$108)*TRANSPOSE(($D112:$E112))),0)</f>
        <v>108678.13642316972</v>
      </c>
      <c r="AF112" s="31" cm="1">
        <f t="array" ref="AF112">AF$106+IF($C112&lt;&gt;0,SUMPRODUCT((AF$107:AF$108)*TRANSPOSE(($D112:$E112))),0)</f>
        <v>110866.76768590091</v>
      </c>
      <c r="AG112" s="31" cm="1">
        <f t="array" ref="AG112">AG$106+IF($C112&lt;&gt;0,SUMPRODUCT((AG$107:AG$108)*TRANSPOSE(($D112:$E112))),0)</f>
        <v>113075.4938910028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-13725.150446281037</v>
      </c>
      <c r="K113" s="31" cm="1">
        <f t="array" ref="K113">K$106+IF($C113&lt;&gt;0,SUMPRODUCT((K$107:K$108)*TRANSPOSE(($D113:$E113))),0)</f>
        <v>-11242.079153158413</v>
      </c>
      <c r="L113" s="31" cm="1">
        <f t="array" ref="L113">L$106+IF($C113&lt;&gt;0,SUMPRODUCT((L$107:L$108)*TRANSPOSE(($D113:$E113))),0)</f>
        <v>-8720.1750480810897</v>
      </c>
      <c r="M113" s="31" cm="1">
        <f t="array" ref="M113">M$106+IF($C113&lt;&gt;0,SUMPRODUCT((M$107:M$108)*TRANSPOSE(($D113:$E113))),0)</f>
        <v>-6370.6621668157186</v>
      </c>
      <c r="N113" s="31" cm="1">
        <f t="array" ref="N113">N$106+IF($C113&lt;&gt;0,SUMPRODUCT((N$107:N$108)*TRANSPOSE(($D113:$E113))),0)</f>
        <v>-3910.3175054495241</v>
      </c>
      <c r="O113" s="31" cm="1">
        <f t="array" ref="O113">O$106+IF($C113&lt;&gt;0,SUMPRODUCT((O$107:O$108)*TRANSPOSE(($D113:$E113))),0)</f>
        <v>-1054.9487209497738</v>
      </c>
      <c r="P113" s="31" cm="1">
        <f t="array" ref="P113">P$106+IF($C113&lt;&gt;0,SUMPRODUCT((P$107:P$108)*TRANSPOSE(($D113:$E113))),0)</f>
        <v>2238.9064308079869</v>
      </c>
      <c r="Q113" s="31" cm="1">
        <f t="array" ref="Q113">Q$106+IF($C113&lt;&gt;0,SUMPRODUCT((Q$107:Q$108)*TRANSPOSE(($D113:$E113))),0)</f>
        <v>4965.6630309960092</v>
      </c>
      <c r="R113" s="31" cm="1">
        <f t="array" ref="R113">R$106+IF($C113&lt;&gt;0,SUMPRODUCT((R$107:R$108)*TRANSPOSE(($D113:$E113))),0)</f>
        <v>6559.3868449748943</v>
      </c>
      <c r="S113" s="31" cm="1">
        <f t="array" ref="S113">S$106+IF($C113&lt;&gt;0,SUMPRODUCT((S$107:S$108)*TRANSPOSE(($D113:$E113))),0)</f>
        <v>8170.4405502567515</v>
      </c>
      <c r="T113" s="31" cm="1">
        <f t="array" ref="T113">T$106+IF($C113&lt;&gt;0,SUMPRODUCT((T$107:T$108)*TRANSPOSE(($D113:$E113))),0)</f>
        <v>69919.461819700504</v>
      </c>
      <c r="U113" s="31" cm="1">
        <f t="array" ref="U113">U$106+IF($C113&lt;&gt;0,SUMPRODUCT((U$107:U$108)*TRANSPOSE(($D113:$E113))),0)</f>
        <v>71565.037984148716</v>
      </c>
      <c r="V113" s="31" cm="1">
        <f t="array" ref="V113">V$106+IF($C113&lt;&gt;0,SUMPRODUCT((V$107:V$108)*TRANSPOSE(($D113:$E113))),0)</f>
        <v>73227.809590500081</v>
      </c>
      <c r="W113" s="31" cm="1">
        <f t="array" ref="W113">W$106+IF($C113&lt;&gt;0,SUMPRODUCT((W$107:W$108)*TRANSPOSE(($D113:$E113))),0)</f>
        <v>74907.734624797915</v>
      </c>
      <c r="X113" s="31" cm="1">
        <f t="array" ref="X113">X$106+IF($C113&lt;&gt;0,SUMPRODUCT((X$107:X$108)*TRANSPOSE(($D113:$E113))),0)</f>
        <v>76604.7724057101</v>
      </c>
      <c r="Y113" s="31" cm="1">
        <f t="array" ref="Y113">Y$106+IF($C113&lt;&gt;0,SUMPRODUCT((Y$107:Y$108)*TRANSPOSE(($D113:$E113))),0)</f>
        <v>78318.883546065699</v>
      </c>
      <c r="Z113" s="31" cm="1">
        <f t="array" ref="Z113">Z$106+IF($C113&lt;&gt;0,SUMPRODUCT((Z$107:Z$108)*TRANSPOSE(($D113:$E113))),0)</f>
        <v>80050.029916086613</v>
      </c>
      <c r="AA113" s="31" cm="1">
        <f t="array" ref="AA113">AA$106+IF($C113&lt;&gt;0,SUMPRODUCT((AA$107:AA$108)*TRANSPOSE(($D113:$E113))),0)</f>
        <v>81798.174608183646</v>
      </c>
      <c r="AB113" s="31" cm="1">
        <f t="array" ref="AB113">AB$106+IF($C113&lt;&gt;0,SUMPRODUCT((AB$107:AB$108)*TRANSPOSE(($D113:$E113))),0)</f>
        <v>83563.281903251773</v>
      </c>
      <c r="AC113" s="31" cm="1">
        <f t="array" ref="AC113">AC$106+IF($C113&lt;&gt;0,SUMPRODUCT((AC$107:AC$108)*TRANSPOSE(($D113:$E113))),0)</f>
        <v>85345.317238379546</v>
      </c>
      <c r="AD113" s="31" cm="1">
        <f t="array" ref="AD113">AD$106+IF($C113&lt;&gt;0,SUMPRODUCT((AD$107:AD$108)*TRANSPOSE(($D113:$E113))),0)</f>
        <v>87144.2471758764</v>
      </c>
      <c r="AE113" s="31" cm="1">
        <f t="array" ref="AE113">AE$106+IF($C113&lt;&gt;0,SUMPRODUCT((AE$107:AE$108)*TRANSPOSE(($D113:$E113))),0)</f>
        <v>88918.475255320693</v>
      </c>
      <c r="AF113" s="31" cm="1">
        <f t="array" ref="AF113">AF$106+IF($C113&lt;&gt;0,SUMPRODUCT((AF$107:AF$108)*TRANSPOSE(($D113:$E113))),0)</f>
        <v>90709.173561191652</v>
      </c>
      <c r="AG113" s="31" cm="1">
        <f t="array" ref="AG113">AG$106+IF($C113&lt;&gt;0,SUMPRODUCT((AG$107:AG$108)*TRANSPOSE(($D113:$E113))),0)</f>
        <v>92516.31318354774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-19737.218839650603</v>
      </c>
      <c r="K114" s="31" cm="1">
        <f t="array" ref="K114">K$106+IF($C114&lt;&gt;0,SUMPRODUCT((K$107:K$108)*TRANSPOSE(($D114:$E114))),0)</f>
        <v>-17254.147546527976</v>
      </c>
      <c r="L114" s="31" cm="1">
        <f t="array" ref="L114">L$106+IF($C114&lt;&gt;0,SUMPRODUCT((L$107:L$108)*TRANSPOSE(($D114:$E114))),0)</f>
        <v>-14732.243441450653</v>
      </c>
      <c r="M114" s="31" cm="1">
        <f t="array" ref="M114">M$106+IF($C114&lt;&gt;0,SUMPRODUCT((M$107:M$108)*TRANSPOSE(($D114:$E114))),0)</f>
        <v>-12382.730560185282</v>
      </c>
      <c r="N114" s="31" cm="1">
        <f t="array" ref="N114">N$106+IF($C114&lt;&gt;0,SUMPRODUCT((N$107:N$108)*TRANSPOSE(($D114:$E114))),0)</f>
        <v>-9922.3858988190877</v>
      </c>
      <c r="O114" s="31" cm="1">
        <f t="array" ref="O114">O$106+IF($C114&lt;&gt;0,SUMPRODUCT((O$107:O$108)*TRANSPOSE(($D114:$E114))),0)</f>
        <v>-7067.0171143193384</v>
      </c>
      <c r="P114" s="31" cm="1">
        <f t="array" ref="P114">P$106+IF($C114&lt;&gt;0,SUMPRODUCT((P$107:P$108)*TRANSPOSE(($D114:$E114))),0)</f>
        <v>-3773.1619625615785</v>
      </c>
      <c r="Q114" s="31" cm="1">
        <f t="array" ref="Q114">Q$106+IF($C114&lt;&gt;0,SUMPRODUCT((Q$107:Q$108)*TRANSPOSE(($D114:$E114))),0)</f>
        <v>-1046.4053623735563</v>
      </c>
      <c r="R114" s="31" cm="1">
        <f t="array" ref="R114">R$106+IF($C114&lt;&gt;0,SUMPRODUCT((R$107:R$108)*TRANSPOSE(($D114:$E114))),0)</f>
        <v>547.31845160532976</v>
      </c>
      <c r="S114" s="31" cm="1">
        <f t="array" ref="S114">S$106+IF($C114&lt;&gt;0,SUMPRODUCT((S$107:S$108)*TRANSPOSE(($D114:$E114))),0)</f>
        <v>2158.3721568871879</v>
      </c>
      <c r="T114" s="31" cm="1">
        <f t="array" ref="T114">T$106+IF($C114&lt;&gt;0,SUMPRODUCT((T$107:T$108)*TRANSPOSE(($D114:$E114))),0)</f>
        <v>69919.461819700504</v>
      </c>
      <c r="U114" s="31" cm="1">
        <f t="array" ref="U114">U$106+IF($C114&lt;&gt;0,SUMPRODUCT((U$107:U$108)*TRANSPOSE(($D114:$E114))),0)</f>
        <v>71565.037984148716</v>
      </c>
      <c r="V114" s="31" cm="1">
        <f t="array" ref="V114">V$106+IF($C114&lt;&gt;0,SUMPRODUCT((V$107:V$108)*TRANSPOSE(($D114:$E114))),0)</f>
        <v>73227.809590500081</v>
      </c>
      <c r="W114" s="31" cm="1">
        <f t="array" ref="W114">W$106+IF($C114&lt;&gt;0,SUMPRODUCT((W$107:W$108)*TRANSPOSE(($D114:$E114))),0)</f>
        <v>74907.734624797915</v>
      </c>
      <c r="X114" s="31" cm="1">
        <f t="array" ref="X114">X$106+IF($C114&lt;&gt;0,SUMPRODUCT((X$107:X$108)*TRANSPOSE(($D114:$E114))),0)</f>
        <v>76604.7724057101</v>
      </c>
      <c r="Y114" s="31" cm="1">
        <f t="array" ref="Y114">Y$106+IF($C114&lt;&gt;0,SUMPRODUCT((Y$107:Y$108)*TRANSPOSE(($D114:$E114))),0)</f>
        <v>78318.883546065699</v>
      </c>
      <c r="Z114" s="31" cm="1">
        <f t="array" ref="Z114">Z$106+IF($C114&lt;&gt;0,SUMPRODUCT((Z$107:Z$108)*TRANSPOSE(($D114:$E114))),0)</f>
        <v>80050.029916086613</v>
      </c>
      <c r="AA114" s="31" cm="1">
        <f t="array" ref="AA114">AA$106+IF($C114&lt;&gt;0,SUMPRODUCT((AA$107:AA$108)*TRANSPOSE(($D114:$E114))),0)</f>
        <v>81798.174608183646</v>
      </c>
      <c r="AB114" s="31" cm="1">
        <f t="array" ref="AB114">AB$106+IF($C114&lt;&gt;0,SUMPRODUCT((AB$107:AB$108)*TRANSPOSE(($D114:$E114))),0)</f>
        <v>83563.281903251773</v>
      </c>
      <c r="AC114" s="31" cm="1">
        <f t="array" ref="AC114">AC$106+IF($C114&lt;&gt;0,SUMPRODUCT((AC$107:AC$108)*TRANSPOSE(($D114:$E114))),0)</f>
        <v>85345.317238379546</v>
      </c>
      <c r="AD114" s="31" cm="1">
        <f t="array" ref="AD114">AD$106+IF($C114&lt;&gt;0,SUMPRODUCT((AD$107:AD$108)*TRANSPOSE(($D114:$E114))),0)</f>
        <v>87144.2471758764</v>
      </c>
      <c r="AE114" s="31" cm="1">
        <f t="array" ref="AE114">AE$106+IF($C114&lt;&gt;0,SUMPRODUCT((AE$107:AE$108)*TRANSPOSE(($D114:$E114))),0)</f>
        <v>88918.475255320693</v>
      </c>
      <c r="AF114" s="31" cm="1">
        <f t="array" ref="AF114">AF$106+IF($C114&lt;&gt;0,SUMPRODUCT((AF$107:AF$108)*TRANSPOSE(($D114:$E114))),0)</f>
        <v>90709.173561191652</v>
      </c>
      <c r="AG114" s="31" cm="1">
        <f t="array" ref="AG114">AG$106+IF($C114&lt;&gt;0,SUMPRODUCT((AG$107:AG$108)*TRANSPOSE(($D114:$E114))),0)</f>
        <v>92516.31318354774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-8570.091169901636</v>
      </c>
      <c r="K115" s="31" cm="1">
        <f t="array" ref="K115">K$106+IF($C115&lt;&gt;0,SUMPRODUCT((K$107:K$108)*TRANSPOSE(($D115:$E115))),0)</f>
        <v>-5811.1230664320537</v>
      </c>
      <c r="L115" s="31" cm="1">
        <f t="array" ref="L115">L$106+IF($C115&lt;&gt;0,SUMPRODUCT((L$107:L$108)*TRANSPOSE(($D115:$E115))),0)</f>
        <v>-3009.007394123917</v>
      </c>
      <c r="M115" s="31" cm="1">
        <f t="array" ref="M115">M$106+IF($C115&lt;&gt;0,SUMPRODUCT((M$107:M$108)*TRANSPOSE(($D115:$E115))),0)</f>
        <v>-398.43752605128248</v>
      </c>
      <c r="N115" s="31" cm="1">
        <f t="array" ref="N115">N$106+IF($C115&lt;&gt;0,SUMPRODUCT((N$107:N$108)*TRANSPOSE(($D115:$E115))),0)</f>
        <v>2335.2787643556003</v>
      </c>
      <c r="O115" s="31" cm="1">
        <f t="array" ref="O115">O$106+IF($C115&lt;&gt;0,SUMPRODUCT((O$107:O$108)*TRANSPOSE(($D115:$E115))),0)</f>
        <v>5507.9107471331008</v>
      </c>
      <c r="P115" s="31" cm="1">
        <f t="array" ref="P115">P$106+IF($C115&lt;&gt;0,SUMPRODUCT((P$107:P$108)*TRANSPOSE(($D115:$E115))),0)</f>
        <v>9167.749804641724</v>
      </c>
      <c r="Q115" s="31" cm="1">
        <f t="array" ref="Q115">Q$106+IF($C115&lt;&gt;0,SUMPRODUCT((Q$107:Q$108)*TRANSPOSE(($D115:$E115))),0)</f>
        <v>12197.479360406192</v>
      </c>
      <c r="R115" s="31" cm="1">
        <f t="array" ref="R115">R$106+IF($C115&lt;&gt;0,SUMPRODUCT((R$107:R$108)*TRANSPOSE(($D115:$E115))),0)</f>
        <v>13968.283598160509</v>
      </c>
      <c r="S115" s="31" cm="1">
        <f t="array" ref="S115">S$106+IF($C115&lt;&gt;0,SUMPRODUCT((S$107:S$108)*TRANSPOSE(($D115:$E115))),0)</f>
        <v>15758.343270695907</v>
      </c>
      <c r="T115" s="31" cm="1">
        <f t="array" ref="T115">T$106+IF($C115&lt;&gt;0,SUMPRODUCT((T$107:T$108)*TRANSPOSE(($D115:$E115))),0)</f>
        <v>77688.290910778334</v>
      </c>
      <c r="U115" s="31" cm="1">
        <f t="array" ref="U115">U$106+IF($C115&lt;&gt;0,SUMPRODUCT((U$107:U$108)*TRANSPOSE(($D115:$E115))),0)</f>
        <v>79516.708871276351</v>
      </c>
      <c r="V115" s="31" cm="1">
        <f t="array" ref="V115">V$106+IF($C115&lt;&gt;0,SUMPRODUCT((V$107:V$108)*TRANSPOSE(($D115:$E115))),0)</f>
        <v>81364.232878333423</v>
      </c>
      <c r="W115" s="31" cm="1">
        <f t="array" ref="W115">W$106+IF($C115&lt;&gt;0,SUMPRODUCT((W$107:W$108)*TRANSPOSE(($D115:$E115))),0)</f>
        <v>83230.816249775467</v>
      </c>
      <c r="X115" s="31" cm="1">
        <f t="array" ref="X115">X$106+IF($C115&lt;&gt;0,SUMPRODUCT((X$107:X$108)*TRANSPOSE(($D115:$E115))),0)</f>
        <v>85116.413784122327</v>
      </c>
      <c r="Y115" s="31" cm="1">
        <f t="array" ref="Y115">Y$106+IF($C115&lt;&gt;0,SUMPRODUCT((Y$107:Y$108)*TRANSPOSE(($D115:$E115))),0)</f>
        <v>87020.98171785078</v>
      </c>
      <c r="Z115" s="31" cm="1">
        <f t="array" ref="Z115">Z$106+IF($C115&lt;&gt;0,SUMPRODUCT((Z$107:Z$108)*TRANSPOSE(($D115:$E115))),0)</f>
        <v>88944.477684540674</v>
      </c>
      <c r="AA115" s="31" cm="1">
        <f t="array" ref="AA115">AA$106+IF($C115&lt;&gt;0,SUMPRODUCT((AA$107:AA$108)*TRANSPOSE(($D115:$E115))),0)</f>
        <v>90886.860675759614</v>
      </c>
      <c r="AB115" s="31" cm="1">
        <f t="array" ref="AB115">AB$106+IF($C115&lt;&gt;0,SUMPRODUCT((AB$107:AB$108)*TRANSPOSE(($D115:$E115))),0)</f>
        <v>92848.091003613081</v>
      </c>
      <c r="AC115" s="31" cm="1">
        <f t="array" ref="AC115">AC$106+IF($C115&lt;&gt;0,SUMPRODUCT((AC$107:AC$108)*TRANSPOSE(($D115:$E115))),0)</f>
        <v>94828.130264866166</v>
      </c>
      <c r="AD115" s="31" cm="1">
        <f t="array" ref="AD115">AD$106+IF($C115&lt;&gt;0,SUMPRODUCT((AD$107:AD$108)*TRANSPOSE(($D115:$E115))),0)</f>
        <v>96826.941306529334</v>
      </c>
      <c r="AE115" s="31" cm="1">
        <f t="array" ref="AE115">AE$106+IF($C115&lt;&gt;0,SUMPRODUCT((AE$107:AE$108)*TRANSPOSE(($D115:$E115))),0)</f>
        <v>98798.305839245208</v>
      </c>
      <c r="AF115" s="31" cm="1">
        <f t="array" ref="AF115">AF$106+IF($C115&lt;&gt;0,SUMPRODUCT((AF$107:AF$108)*TRANSPOSE(($D115:$E115))),0)</f>
        <v>100787.97062354628</v>
      </c>
      <c r="AG115" s="31" cm="1">
        <f t="array" ref="AG115">AG$106+IF($C115&lt;&gt;0,SUMPRODUCT((AG$107:AG$108)*TRANSPOSE(($D115:$E115))),0)</f>
        <v>102795.90353727527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-8570.091169901636</v>
      </c>
      <c r="K116" s="31" cm="1">
        <f t="array" ref="K116">K$106+IF($C116&lt;&gt;0,SUMPRODUCT((K$107:K$108)*TRANSPOSE(($D116:$E116))),0)</f>
        <v>-5811.1230664320537</v>
      </c>
      <c r="L116" s="31" cm="1">
        <f t="array" ref="L116">L$106+IF($C116&lt;&gt;0,SUMPRODUCT((L$107:L$108)*TRANSPOSE(($D116:$E116))),0)</f>
        <v>-3009.007394123917</v>
      </c>
      <c r="M116" s="31" cm="1">
        <f t="array" ref="M116">M$106+IF($C116&lt;&gt;0,SUMPRODUCT((M$107:M$108)*TRANSPOSE(($D116:$E116))),0)</f>
        <v>-398.43752605128248</v>
      </c>
      <c r="N116" s="31" cm="1">
        <f t="array" ref="N116">N$106+IF($C116&lt;&gt;0,SUMPRODUCT((N$107:N$108)*TRANSPOSE(($D116:$E116))),0)</f>
        <v>2335.2787643556003</v>
      </c>
      <c r="O116" s="31" cm="1">
        <f t="array" ref="O116">O$106+IF($C116&lt;&gt;0,SUMPRODUCT((O$107:O$108)*TRANSPOSE(($D116:$E116))),0)</f>
        <v>5507.9107471331008</v>
      </c>
      <c r="P116" s="31" cm="1">
        <f t="array" ref="P116">P$106+IF($C116&lt;&gt;0,SUMPRODUCT((P$107:P$108)*TRANSPOSE(($D116:$E116))),0)</f>
        <v>9167.749804641724</v>
      </c>
      <c r="Q116" s="31" cm="1">
        <f t="array" ref="Q116">Q$106+IF($C116&lt;&gt;0,SUMPRODUCT((Q$107:Q$108)*TRANSPOSE(($D116:$E116))),0)</f>
        <v>12197.479360406192</v>
      </c>
      <c r="R116" s="31" cm="1">
        <f t="array" ref="R116">R$106+IF($C116&lt;&gt;0,SUMPRODUCT((R$107:R$108)*TRANSPOSE(($D116:$E116))),0)</f>
        <v>13968.283598160509</v>
      </c>
      <c r="S116" s="31" cm="1">
        <f t="array" ref="S116">S$106+IF($C116&lt;&gt;0,SUMPRODUCT((S$107:S$108)*TRANSPOSE(($D116:$E116))),0)</f>
        <v>15758.343270695907</v>
      </c>
      <c r="T116" s="31" cm="1">
        <f t="array" ref="T116">T$106+IF($C116&lt;&gt;0,SUMPRODUCT((T$107:T$108)*TRANSPOSE(($D116:$E116))),0)</f>
        <v>77688.290910778334</v>
      </c>
      <c r="U116" s="31" cm="1">
        <f t="array" ref="U116">U$106+IF($C116&lt;&gt;0,SUMPRODUCT((U$107:U$108)*TRANSPOSE(($D116:$E116))),0)</f>
        <v>79516.708871276351</v>
      </c>
      <c r="V116" s="31" cm="1">
        <f t="array" ref="V116">V$106+IF($C116&lt;&gt;0,SUMPRODUCT((V$107:V$108)*TRANSPOSE(($D116:$E116))),0)</f>
        <v>81364.232878333423</v>
      </c>
      <c r="W116" s="31" cm="1">
        <f t="array" ref="W116">W$106+IF($C116&lt;&gt;0,SUMPRODUCT((W$107:W$108)*TRANSPOSE(($D116:$E116))),0)</f>
        <v>83230.816249775467</v>
      </c>
      <c r="X116" s="31" cm="1">
        <f t="array" ref="X116">X$106+IF($C116&lt;&gt;0,SUMPRODUCT((X$107:X$108)*TRANSPOSE(($D116:$E116))),0)</f>
        <v>85116.413784122327</v>
      </c>
      <c r="Y116" s="31" cm="1">
        <f t="array" ref="Y116">Y$106+IF($C116&lt;&gt;0,SUMPRODUCT((Y$107:Y$108)*TRANSPOSE(($D116:$E116))),0)</f>
        <v>87020.98171785078</v>
      </c>
      <c r="Z116" s="31" cm="1">
        <f t="array" ref="Z116">Z$106+IF($C116&lt;&gt;0,SUMPRODUCT((Z$107:Z$108)*TRANSPOSE(($D116:$E116))),0)</f>
        <v>88944.477684540674</v>
      </c>
      <c r="AA116" s="31" cm="1">
        <f t="array" ref="AA116">AA$106+IF($C116&lt;&gt;0,SUMPRODUCT((AA$107:AA$108)*TRANSPOSE(($D116:$E116))),0)</f>
        <v>90886.860675759614</v>
      </c>
      <c r="AB116" s="31" cm="1">
        <f t="array" ref="AB116">AB$106+IF($C116&lt;&gt;0,SUMPRODUCT((AB$107:AB$108)*TRANSPOSE(($D116:$E116))),0)</f>
        <v>92848.091003613081</v>
      </c>
      <c r="AC116" s="31" cm="1">
        <f t="array" ref="AC116">AC$106+IF($C116&lt;&gt;0,SUMPRODUCT((AC$107:AC$108)*TRANSPOSE(($D116:$E116))),0)</f>
        <v>94828.130264866166</v>
      </c>
      <c r="AD116" s="31" cm="1">
        <f t="array" ref="AD116">AD$106+IF($C116&lt;&gt;0,SUMPRODUCT((AD$107:AD$108)*TRANSPOSE(($D116:$E116))),0)</f>
        <v>96826.941306529334</v>
      </c>
      <c r="AE116" s="31" cm="1">
        <f t="array" ref="AE116">AE$106+IF($C116&lt;&gt;0,SUMPRODUCT((AE$107:AE$108)*TRANSPOSE(($D116:$E116))),0)</f>
        <v>98798.305839245208</v>
      </c>
      <c r="AF116" s="31" cm="1">
        <f t="array" ref="AF116">AF$106+IF($C116&lt;&gt;0,SUMPRODUCT((AF$107:AF$108)*TRANSPOSE(($D116:$E116))),0)</f>
        <v>100787.97062354628</v>
      </c>
      <c r="AG116" s="31" cm="1">
        <f t="array" ref="AG116">AG$106+IF($C116&lt;&gt;0,SUMPRODUCT((AG$107:AG$108)*TRANSPOSE(($D116:$E116))),0)</f>
        <v>102795.90353727527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-8570.091169901636</v>
      </c>
      <c r="K117" s="31" cm="1">
        <f t="array" ref="K117">K$106+IF($C117&lt;&gt;0,SUMPRODUCT((K$107:K$108)*TRANSPOSE(($D117:$E117))),0)</f>
        <v>-5811.1230664320537</v>
      </c>
      <c r="L117" s="31" cm="1">
        <f t="array" ref="L117">L$106+IF($C117&lt;&gt;0,SUMPRODUCT((L$107:L$108)*TRANSPOSE(($D117:$E117))),0)</f>
        <v>-3009.007394123917</v>
      </c>
      <c r="M117" s="31" cm="1">
        <f t="array" ref="M117">M$106+IF($C117&lt;&gt;0,SUMPRODUCT((M$107:M$108)*TRANSPOSE(($D117:$E117))),0)</f>
        <v>-398.43752605128248</v>
      </c>
      <c r="N117" s="31" cm="1">
        <f t="array" ref="N117">N$106+IF($C117&lt;&gt;0,SUMPRODUCT((N$107:N$108)*TRANSPOSE(($D117:$E117))),0)</f>
        <v>2335.2787643556003</v>
      </c>
      <c r="O117" s="31" cm="1">
        <f t="array" ref="O117">O$106+IF($C117&lt;&gt;0,SUMPRODUCT((O$107:O$108)*TRANSPOSE(($D117:$E117))),0)</f>
        <v>5507.9107471331008</v>
      </c>
      <c r="P117" s="31" cm="1">
        <f t="array" ref="P117">P$106+IF($C117&lt;&gt;0,SUMPRODUCT((P$107:P$108)*TRANSPOSE(($D117:$E117))),0)</f>
        <v>9167.749804641724</v>
      </c>
      <c r="Q117" s="31" cm="1">
        <f t="array" ref="Q117">Q$106+IF($C117&lt;&gt;0,SUMPRODUCT((Q$107:Q$108)*TRANSPOSE(($D117:$E117))),0)</f>
        <v>12197.479360406192</v>
      </c>
      <c r="R117" s="31" cm="1">
        <f t="array" ref="R117">R$106+IF($C117&lt;&gt;0,SUMPRODUCT((R$107:R$108)*TRANSPOSE(($D117:$E117))),0)</f>
        <v>13968.283598160509</v>
      </c>
      <c r="S117" s="31" cm="1">
        <f t="array" ref="S117">S$106+IF($C117&lt;&gt;0,SUMPRODUCT((S$107:S$108)*TRANSPOSE(($D117:$E117))),0)</f>
        <v>15758.343270695907</v>
      </c>
      <c r="T117" s="31" cm="1">
        <f t="array" ref="T117">T$106+IF($C117&lt;&gt;0,SUMPRODUCT((T$107:T$108)*TRANSPOSE(($D117:$E117))),0)</f>
        <v>77688.290910778334</v>
      </c>
      <c r="U117" s="31" cm="1">
        <f t="array" ref="U117">U$106+IF($C117&lt;&gt;0,SUMPRODUCT((U$107:U$108)*TRANSPOSE(($D117:$E117))),0)</f>
        <v>79516.708871276351</v>
      </c>
      <c r="V117" s="31" cm="1">
        <f t="array" ref="V117">V$106+IF($C117&lt;&gt;0,SUMPRODUCT((V$107:V$108)*TRANSPOSE(($D117:$E117))),0)</f>
        <v>81364.232878333423</v>
      </c>
      <c r="W117" s="31" cm="1">
        <f t="array" ref="W117">W$106+IF($C117&lt;&gt;0,SUMPRODUCT((W$107:W$108)*TRANSPOSE(($D117:$E117))),0)</f>
        <v>83230.816249775467</v>
      </c>
      <c r="X117" s="31" cm="1">
        <f t="array" ref="X117">X$106+IF($C117&lt;&gt;0,SUMPRODUCT((X$107:X$108)*TRANSPOSE(($D117:$E117))),0)</f>
        <v>85116.413784122327</v>
      </c>
      <c r="Y117" s="31" cm="1">
        <f t="array" ref="Y117">Y$106+IF($C117&lt;&gt;0,SUMPRODUCT((Y$107:Y$108)*TRANSPOSE(($D117:$E117))),0)</f>
        <v>87020.98171785078</v>
      </c>
      <c r="Z117" s="31" cm="1">
        <f t="array" ref="Z117">Z$106+IF($C117&lt;&gt;0,SUMPRODUCT((Z$107:Z$108)*TRANSPOSE(($D117:$E117))),0)</f>
        <v>88944.477684540674</v>
      </c>
      <c r="AA117" s="31" cm="1">
        <f t="array" ref="AA117">AA$106+IF($C117&lt;&gt;0,SUMPRODUCT((AA$107:AA$108)*TRANSPOSE(($D117:$E117))),0)</f>
        <v>90886.860675759614</v>
      </c>
      <c r="AB117" s="31" cm="1">
        <f t="array" ref="AB117">AB$106+IF($C117&lt;&gt;0,SUMPRODUCT((AB$107:AB$108)*TRANSPOSE(($D117:$E117))),0)</f>
        <v>92848.091003613081</v>
      </c>
      <c r="AC117" s="31" cm="1">
        <f t="array" ref="AC117">AC$106+IF($C117&lt;&gt;0,SUMPRODUCT((AC$107:AC$108)*TRANSPOSE(($D117:$E117))),0)</f>
        <v>94828.130264866166</v>
      </c>
      <c r="AD117" s="31" cm="1">
        <f t="array" ref="AD117">AD$106+IF($C117&lt;&gt;0,SUMPRODUCT((AD$107:AD$108)*TRANSPOSE(($D117:$E117))),0)</f>
        <v>96826.941306529334</v>
      </c>
      <c r="AE117" s="31" cm="1">
        <f t="array" ref="AE117">AE$106+IF($C117&lt;&gt;0,SUMPRODUCT((AE$107:AE$108)*TRANSPOSE(($D117:$E117))),0)</f>
        <v>98798.305839245208</v>
      </c>
      <c r="AF117" s="31" cm="1">
        <f t="array" ref="AF117">AF$106+IF($C117&lt;&gt;0,SUMPRODUCT((AF$107:AF$108)*TRANSPOSE(($D117:$E117))),0)</f>
        <v>100787.97062354628</v>
      </c>
      <c r="AG117" s="31" cm="1">
        <f t="array" ref="AG117">AG$106+IF($C117&lt;&gt;0,SUMPRODUCT((AG$107:AG$108)*TRANSPOSE(($D117:$E117))),0)</f>
        <v>102795.90353727527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NC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134</v>
      </c>
      <c r="B3" s="5"/>
      <c r="C3" s="199">
        <f>INDEX(Assumptions!$E$14:$E$18, MATCH(A3,_xlfn.ANCHORARRAY( Assumptions!$C$14),0))</f>
        <v>0</v>
      </c>
    </row>
    <row r="4" spans="1:43" x14ac:dyDescent="0.2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4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 t="shared" si="0"/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  <c r="AL19"/>
      <c r="AM19"/>
    </row>
    <row r="20" spans="1:43" x14ac:dyDescent="0.2">
      <c r="G20" s="204"/>
      <c r="AH20"/>
      <c r="AI20"/>
      <c r="AJ20"/>
      <c r="AK20"/>
      <c r="AL20"/>
      <c r="AM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35890.696556723749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0</v>
      </c>
      <c r="J28" s="118">
        <f t="shared" ref="J28:AG28" si="2">J27*$E$28</f>
        <v>0</v>
      </c>
      <c r="K28" s="118">
        <f t="shared" si="2"/>
        <v>0</v>
      </c>
      <c r="L28" s="118">
        <f t="shared" si="2"/>
        <v>0</v>
      </c>
      <c r="M28" s="118">
        <f t="shared" si="2"/>
        <v>0</v>
      </c>
      <c r="N28" s="118">
        <f t="shared" si="2"/>
        <v>0</v>
      </c>
      <c r="O28" s="118">
        <f t="shared" si="2"/>
        <v>0</v>
      </c>
      <c r="P28" s="118">
        <f t="shared" si="2"/>
        <v>0</v>
      </c>
      <c r="Q28" s="118">
        <f t="shared" si="2"/>
        <v>0</v>
      </c>
      <c r="R28" s="118">
        <f t="shared" si="2"/>
        <v>0</v>
      </c>
      <c r="S28" s="118">
        <f t="shared" si="2"/>
        <v>0</v>
      </c>
      <c r="T28" s="118">
        <f t="shared" si="2"/>
        <v>0</v>
      </c>
      <c r="U28" s="118">
        <f t="shared" si="2"/>
        <v>0</v>
      </c>
      <c r="V28" s="118">
        <f t="shared" si="2"/>
        <v>0</v>
      </c>
      <c r="W28" s="118">
        <f t="shared" si="2"/>
        <v>0</v>
      </c>
      <c r="X28" s="118">
        <f t="shared" si="2"/>
        <v>0</v>
      </c>
      <c r="Y28" s="118">
        <f t="shared" si="2"/>
        <v>0</v>
      </c>
      <c r="Z28" s="118">
        <f t="shared" si="2"/>
        <v>0</v>
      </c>
      <c r="AA28" s="118">
        <f t="shared" si="2"/>
        <v>0</v>
      </c>
      <c r="AB28" s="118">
        <f t="shared" si="2"/>
        <v>0</v>
      </c>
      <c r="AC28" s="118">
        <f t="shared" si="2"/>
        <v>0</v>
      </c>
      <c r="AD28" s="118">
        <f t="shared" si="2"/>
        <v>0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208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208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173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6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6"/>
      <c r="G67" s="209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6"/>
      <c r="G68" s="209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6"/>
      <c r="G69" s="209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8"/>
      <c r="F76" s="96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6"/>
      <c r="G77" s="209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6"/>
      <c r="G78" s="209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6"/>
      <c r="G79" s="209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9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8"/>
      <c r="F83" s="96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6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6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E89" s="64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193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NC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185</v>
      </c>
      <c r="B3" s="5"/>
      <c r="C3" s="199">
        <f>INDEX(Assumptions!$E$14:$E$18, MATCH(A3,_xlfn.ANCHORARRAY( Assumptions!$C$14),0))</f>
        <v>0</v>
      </c>
    </row>
    <row r="4" spans="1:43" x14ac:dyDescent="0.2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  <c r="AI12"/>
      <c r="AJ12"/>
      <c r="AK12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>SUM(K14:K16)</f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</row>
    <row r="20" spans="1:43" x14ac:dyDescent="0.2">
      <c r="G20" s="204"/>
      <c r="AH20"/>
      <c r="AI20"/>
      <c r="AJ20"/>
      <c r="AK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35890.696556723749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0</v>
      </c>
      <c r="J28" s="118">
        <f t="shared" ref="J28:AG28" si="2">J27*$E$28</f>
        <v>0</v>
      </c>
      <c r="K28" s="118">
        <f t="shared" si="2"/>
        <v>0</v>
      </c>
      <c r="L28" s="118">
        <f t="shared" si="2"/>
        <v>0</v>
      </c>
      <c r="M28" s="118">
        <f t="shared" si="2"/>
        <v>0</v>
      </c>
      <c r="N28" s="118">
        <f t="shared" si="2"/>
        <v>0</v>
      </c>
      <c r="O28" s="118">
        <f t="shared" si="2"/>
        <v>0</v>
      </c>
      <c r="P28" s="118">
        <f t="shared" si="2"/>
        <v>0</v>
      </c>
      <c r="Q28" s="118">
        <f t="shared" si="2"/>
        <v>0</v>
      </c>
      <c r="R28" s="118">
        <f t="shared" si="2"/>
        <v>0</v>
      </c>
      <c r="S28" s="118">
        <f t="shared" si="2"/>
        <v>0</v>
      </c>
      <c r="T28" s="118">
        <f t="shared" si="2"/>
        <v>0</v>
      </c>
      <c r="U28" s="118">
        <f t="shared" si="2"/>
        <v>0</v>
      </c>
      <c r="V28" s="118">
        <f t="shared" si="2"/>
        <v>0</v>
      </c>
      <c r="W28" s="118">
        <f t="shared" si="2"/>
        <v>0</v>
      </c>
      <c r="X28" s="118">
        <f t="shared" si="2"/>
        <v>0</v>
      </c>
      <c r="Y28" s="118">
        <f t="shared" si="2"/>
        <v>0</v>
      </c>
      <c r="Z28" s="118">
        <f t="shared" si="2"/>
        <v>0</v>
      </c>
      <c r="AA28" s="118">
        <f t="shared" si="2"/>
        <v>0</v>
      </c>
      <c r="AB28" s="118">
        <f t="shared" si="2"/>
        <v>0</v>
      </c>
      <c r="AC28" s="118">
        <f t="shared" si="2"/>
        <v>0</v>
      </c>
      <c r="AD28" s="118">
        <f t="shared" si="2"/>
        <v>0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208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208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173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6"/>
      <c r="G67" s="209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6"/>
      <c r="G68" s="209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6"/>
      <c r="G69" s="209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8"/>
      <c r="F76" s="96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6"/>
      <c r="G77" s="209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6"/>
      <c r="G78" s="209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6"/>
      <c r="G79" s="209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9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8"/>
      <c r="F83" s="96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6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6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E89" s="64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193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NC transformer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2" t="s">
        <v>90</v>
      </c>
      <c r="B3" s="5"/>
      <c r="C3" s="34"/>
      <c r="D3" s="34"/>
      <c r="E3" s="3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4" s="2" customFormat="1" ht="10.5" customHeight="1" x14ac:dyDescent="0.2">
      <c r="A4" s="114"/>
      <c r="B4" s="114"/>
      <c r="C4" s="115"/>
      <c r="D4" s="115"/>
      <c r="E4" s="115"/>
      <c r="F4" s="11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4" s="2" customFormat="1" hidden="1" outlineLevel="1" x14ac:dyDescent="0.2">
      <c r="A5" s="115" t="s">
        <v>194</v>
      </c>
      <c r="B5" s="115"/>
      <c r="C5" s="116"/>
      <c r="D5" s="115"/>
      <c r="E5" s="115"/>
      <c r="F5" s="115"/>
      <c r="G5" s="100"/>
      <c r="H5" s="187">
        <f t="shared" ref="H5:AG5" si="0">IF(H9=start,1/((1+real_disc)^(1/2)),G5/(1+real_disc))</f>
        <v>0</v>
      </c>
      <c r="I5" s="187">
        <f t="shared" si="0"/>
        <v>0.98294637436598087</v>
      </c>
      <c r="J5" s="187">
        <f t="shared" si="0"/>
        <v>0.94970664189949849</v>
      </c>
      <c r="K5" s="187">
        <f t="shared" si="0"/>
        <v>0.91759095835700344</v>
      </c>
      <c r="L5" s="187">
        <f t="shared" si="0"/>
        <v>0.88656131242222558</v>
      </c>
      <c r="M5" s="187">
        <f t="shared" si="0"/>
        <v>0.85658097818572532</v>
      </c>
      <c r="N5" s="187">
        <f t="shared" si="0"/>
        <v>0.8276144716770294</v>
      </c>
      <c r="O5" s="187">
        <f t="shared" si="0"/>
        <v>0.79962750886669509</v>
      </c>
      <c r="P5" s="187">
        <f t="shared" si="0"/>
        <v>0.77258696508859437</v>
      </c>
      <c r="Q5" s="187">
        <f t="shared" si="0"/>
        <v>0.74646083583439071</v>
      </c>
      <c r="R5" s="187">
        <f t="shared" si="0"/>
        <v>0.72121819887380756</v>
      </c>
      <c r="S5" s="187">
        <f t="shared" si="0"/>
        <v>0.69682917765585273</v>
      </c>
      <c r="T5" s="187">
        <f t="shared" si="0"/>
        <v>0.67326490594768384</v>
      </c>
      <c r="U5" s="187">
        <f t="shared" si="0"/>
        <v>0.6504974936692598</v>
      </c>
      <c r="V5" s="187">
        <f t="shared" si="0"/>
        <v>0.62849999388334288</v>
      </c>
      <c r="W5" s="187">
        <f t="shared" si="0"/>
        <v>0.60724637090178057</v>
      </c>
      <c r="X5" s="187">
        <f t="shared" si="0"/>
        <v>0.58671146947031949</v>
      </c>
      <c r="Y5" s="187">
        <f t="shared" si="0"/>
        <v>0.56687098499547783</v>
      </c>
      <c r="Z5" s="187">
        <f t="shared" si="0"/>
        <v>0.54770143477823952</v>
      </c>
      <c r="AA5" s="187">
        <f t="shared" si="0"/>
        <v>0.52918013022052135</v>
      </c>
      <c r="AB5" s="187">
        <f t="shared" si="0"/>
        <v>0.5112851499715183</v>
      </c>
      <c r="AC5" s="187">
        <f t="shared" si="0"/>
        <v>0.4939953139821433</v>
      </c>
      <c r="AD5" s="187">
        <f t="shared" si="0"/>
        <v>0.47729015843685346</v>
      </c>
      <c r="AE5" s="187">
        <f t="shared" si="0"/>
        <v>0.46114991153319179</v>
      </c>
      <c r="AF5" s="187">
        <f t="shared" si="0"/>
        <v>0.4455554700803786</v>
      </c>
      <c r="AG5" s="187">
        <f t="shared" si="0"/>
        <v>0.43048837688925473</v>
      </c>
    </row>
    <row r="6" spans="1:34" s="2" customFormat="1" hidden="1" outlineLevel="1" x14ac:dyDescent="0.2">
      <c r="A6" s="188" t="str">
        <f>'Option1 (base case)'!A6</f>
        <v>Count</v>
      </c>
      <c r="B6" s="115"/>
      <c r="C6" s="116"/>
      <c r="D6" s="115"/>
      <c r="E6" s="115"/>
      <c r="F6" s="115"/>
      <c r="G6" s="100"/>
      <c r="H6" s="188">
        <f>'Option1 (base case)'!H6</f>
        <v>0</v>
      </c>
      <c r="I6" s="188">
        <f>'Option1 (base case)'!I6</f>
        <v>1</v>
      </c>
      <c r="J6" s="188">
        <f>'Option1 (base case)'!J6</f>
        <v>2</v>
      </c>
      <c r="K6" s="188">
        <f>'Option1 (base case)'!K6</f>
        <v>3</v>
      </c>
      <c r="L6" s="188">
        <f>'Option1 (base case)'!L6</f>
        <v>4</v>
      </c>
      <c r="M6" s="188">
        <f>'Option1 (base case)'!M6</f>
        <v>5</v>
      </c>
      <c r="N6" s="188">
        <f>'Option1 (base case)'!N6</f>
        <v>6</v>
      </c>
      <c r="O6" s="188">
        <f>'Option1 (base case)'!O6</f>
        <v>7</v>
      </c>
      <c r="P6" s="188">
        <f>'Option1 (base case)'!P6</f>
        <v>8</v>
      </c>
      <c r="Q6" s="188">
        <f>'Option1 (base case)'!Q6</f>
        <v>9</v>
      </c>
      <c r="R6" s="188">
        <f>'Option1 (base case)'!R6</f>
        <v>10</v>
      </c>
      <c r="S6" s="188">
        <f>'Option1 (base case)'!S6</f>
        <v>11</v>
      </c>
      <c r="T6" s="188">
        <f>'Option1 (base case)'!T6</f>
        <v>12</v>
      </c>
      <c r="U6" s="188">
        <f>'Option1 (base case)'!U6</f>
        <v>13</v>
      </c>
      <c r="V6" s="188">
        <f>'Option1 (base case)'!V6</f>
        <v>14</v>
      </c>
      <c r="W6" s="188">
        <f>'Option1 (base case)'!W6</f>
        <v>15</v>
      </c>
      <c r="X6" s="188">
        <f>'Option1 (base case)'!X6</f>
        <v>16</v>
      </c>
      <c r="Y6" s="188">
        <f>'Option1 (base case)'!Y6</f>
        <v>17</v>
      </c>
      <c r="Z6" s="188">
        <f>'Option1 (base case)'!Z6</f>
        <v>18</v>
      </c>
      <c r="AA6" s="188">
        <f>'Option1 (base case)'!AA6</f>
        <v>19</v>
      </c>
      <c r="AB6" s="188">
        <f>'Option1 (base case)'!AB6</f>
        <v>20</v>
      </c>
      <c r="AC6" s="188">
        <f>'Option1 (base case)'!AC6</f>
        <v>21</v>
      </c>
      <c r="AD6" s="188">
        <f>'Option1 (base case)'!AD6</f>
        <v>22</v>
      </c>
      <c r="AE6" s="188">
        <f>'Option1 (base case)'!AE6</f>
        <v>23</v>
      </c>
      <c r="AF6" s="188">
        <f>'Option1 (base case)'!AF6</f>
        <v>24</v>
      </c>
      <c r="AG6" s="188">
        <f>'Option1 (base case)'!AG6</f>
        <v>25</v>
      </c>
    </row>
    <row r="7" spans="1:34" s="2" customFormat="1" hidden="1" outlineLevel="1" x14ac:dyDescent="0.2">
      <c r="A7" s="115" t="s">
        <v>195</v>
      </c>
      <c r="B7" s="115"/>
      <c r="C7" s="116"/>
      <c r="D7" s="115"/>
      <c r="E7" s="115"/>
      <c r="F7" s="115"/>
      <c r="G7" s="100"/>
      <c r="H7" s="100" t="b">
        <f t="shared" ref="H7:AG7" si="1">H$6&lt;(first_year+years)</f>
        <v>1</v>
      </c>
      <c r="I7" s="100" t="b">
        <f t="shared" si="1"/>
        <v>1</v>
      </c>
      <c r="J7" s="100" t="b">
        <f t="shared" si="1"/>
        <v>1</v>
      </c>
      <c r="K7" s="100" t="b">
        <f t="shared" si="1"/>
        <v>1</v>
      </c>
      <c r="L7" s="100" t="b">
        <f t="shared" si="1"/>
        <v>1</v>
      </c>
      <c r="M7" s="100" t="b">
        <f t="shared" si="1"/>
        <v>1</v>
      </c>
      <c r="N7" s="100" t="b">
        <f t="shared" si="1"/>
        <v>1</v>
      </c>
      <c r="O7" s="100" t="b">
        <f t="shared" si="1"/>
        <v>1</v>
      </c>
      <c r="P7" s="100" t="b">
        <f t="shared" si="1"/>
        <v>1</v>
      </c>
      <c r="Q7" s="100" t="b">
        <f t="shared" si="1"/>
        <v>1</v>
      </c>
      <c r="R7" s="100" t="b">
        <f t="shared" si="1"/>
        <v>1</v>
      </c>
      <c r="S7" s="100" t="b">
        <f t="shared" si="1"/>
        <v>1</v>
      </c>
      <c r="T7" s="100" t="b">
        <f t="shared" si="1"/>
        <v>1</v>
      </c>
      <c r="U7" s="100" t="b">
        <f t="shared" si="1"/>
        <v>1</v>
      </c>
      <c r="V7" s="100" t="b">
        <f t="shared" si="1"/>
        <v>1</v>
      </c>
      <c r="W7" s="100" t="b">
        <f t="shared" si="1"/>
        <v>1</v>
      </c>
      <c r="X7" s="100" t="b">
        <f t="shared" si="1"/>
        <v>1</v>
      </c>
      <c r="Y7" s="100" t="b">
        <f t="shared" si="1"/>
        <v>1</v>
      </c>
      <c r="Z7" s="100" t="b">
        <f t="shared" si="1"/>
        <v>1</v>
      </c>
      <c r="AA7" s="100" t="b">
        <f t="shared" si="1"/>
        <v>1</v>
      </c>
      <c r="AB7" s="100" t="b">
        <f t="shared" si="1"/>
        <v>1</v>
      </c>
      <c r="AC7" s="100" t="b">
        <f t="shared" si="1"/>
        <v>0</v>
      </c>
      <c r="AD7" s="100" t="b">
        <f t="shared" si="1"/>
        <v>0</v>
      </c>
      <c r="AE7" s="100" t="b">
        <f t="shared" si="1"/>
        <v>0</v>
      </c>
      <c r="AF7" s="100" t="b">
        <f t="shared" si="1"/>
        <v>0</v>
      </c>
      <c r="AG7" s="100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7"/>
      <c r="D10" s="117"/>
      <c r="F10" s="117"/>
      <c r="G10" s="220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4" s="2" customFormat="1" ht="15" x14ac:dyDescent="0.2">
      <c r="A11" s="119" t="s">
        <v>39</v>
      </c>
      <c r="B11" s="119"/>
      <c r="C11" s="120"/>
      <c r="D11" s="120"/>
      <c r="E11" s="120"/>
      <c r="F11" s="70" t="s">
        <v>153</v>
      </c>
      <c r="G11" s="221"/>
      <c r="H11" s="121" t="str" cm="1">
        <f t="array" ref="H11">IF(H6=$C$4,UPPER($A$4),IF(H6=end,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4" s="2" customFormat="1" x14ac:dyDescent="0.2">
      <c r="A12" s="117"/>
      <c r="B12" s="117"/>
      <c r="C12" s="117"/>
      <c r="D12" s="117"/>
      <c r="F12" s="117"/>
      <c r="G12" s="223"/>
      <c r="H12" s="117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</row>
    <row r="13" spans="1:34" s="2" customFormat="1" x14ac:dyDescent="0.2">
      <c r="A13" s="122"/>
      <c r="B13" s="122"/>
      <c r="C13" s="122"/>
      <c r="D13" s="117"/>
      <c r="F13" s="117"/>
      <c r="G13" s="220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</row>
    <row r="14" spans="1:34" s="269" customFormat="1" x14ac:dyDescent="0.2">
      <c r="A14" s="267" t="str">
        <f>A15</f>
        <v>Option 1 (base case)</v>
      </c>
      <c r="B14" s="267"/>
      <c r="C14" s="267" t="s">
        <v>124</v>
      </c>
      <c r="D14" s="268" t="str">
        <f t="shared" ref="D14:D25" si="2">A14&amp;C14</f>
        <v>Option 1 (base case)Energy at risk value</v>
      </c>
      <c r="F14" s="96">
        <f>SUMPRODUCT($H14:$AG14, $H$5:$AG$5)</f>
        <v>24905532.240001623</v>
      </c>
      <c r="G14" s="270">
        <f>output_dollars</f>
        <v>46203</v>
      </c>
      <c r="H14" s="271"/>
      <c r="I14" s="31">
        <f>'Option1 (base case)'!I$28*conv_2026</f>
        <v>956386.79689476988</v>
      </c>
      <c r="J14" s="31">
        <f>'Option1 (base case)'!J$28*conv_2026</f>
        <v>1006464.4788208064</v>
      </c>
      <c r="K14" s="31">
        <f>'Option1 (base case)'!K$28*conv_2026</f>
        <v>1065101.6214569854</v>
      </c>
      <c r="L14" s="31">
        <f>'Option1 (base case)'!L$28*conv_2026</f>
        <v>1124647.6676159762</v>
      </c>
      <c r="M14" s="31">
        <f>'Option1 (base case)'!M$28*conv_2026</f>
        <v>1180033.6006415</v>
      </c>
      <c r="N14" s="31">
        <f>'Option1 (base case)'!N$28*conv_2026</f>
        <v>1238057.8560195323</v>
      </c>
      <c r="O14" s="31">
        <f>'Option1 (base case)'!O$28*conv_2026</f>
        <v>1305536.9796454078</v>
      </c>
      <c r="P14" s="31">
        <f>'Option1 (base case)'!P$28*conv_2026</f>
        <v>1383512.7372365675</v>
      </c>
      <c r="Q14" s="31">
        <f>'Option1 (base case)'!Q$28*conv_2026</f>
        <v>1447855.3032005364</v>
      </c>
      <c r="R14" s="31">
        <f>'Option1 (base case)'!R$28*conv_2026</f>
        <v>1484988.8743118199</v>
      </c>
      <c r="S14" s="31">
        <f>'Option1 (base case)'!S$28*conv_2026</f>
        <v>1522517.0583068002</v>
      </c>
      <c r="T14" s="31">
        <f>'Option1 (base case)'!T$28*conv_2026</f>
        <v>1560438.4951062335</v>
      </c>
      <c r="U14" s="31">
        <f>'Option1 (base case)'!U$28*conv_2026</f>
        <v>1598751.8573833983</v>
      </c>
      <c r="V14" s="31">
        <f>'Option1 (base case)'!V$28*conv_2026</f>
        <v>1637455.8495396106</v>
      </c>
      <c r="W14" s="31">
        <f>'Option1 (base case)'!W$28*conv_2026</f>
        <v>1676549.2067265376</v>
      </c>
      <c r="X14" s="31">
        <f>'Option1 (base case)'!X$28*conv_2026</f>
        <v>1716030.6939126351</v>
      </c>
      <c r="Y14" s="31">
        <f>'Option1 (base case)'!Y$28*conv_2026</f>
        <v>1755899.1049910528</v>
      </c>
      <c r="Z14" s="31">
        <f>'Option1 (base case)'!Z$28*conv_2026</f>
        <v>1796153.261926708</v>
      </c>
      <c r="AA14" s="31">
        <f>'Option1 (base case)'!AA$28*conv_2026</f>
        <v>1836792.013940224</v>
      </c>
      <c r="AB14" s="31">
        <f>'Option1 (base case)'!AB$28*conv_2026</f>
        <v>1877814.2367267364</v>
      </c>
      <c r="AC14" s="31">
        <f>'Option1 (base case)'!AC$28*conv_2026</f>
        <v>1919218.8317076317</v>
      </c>
      <c r="AD14" s="31">
        <f>'Option1 (base case)'!AD$28*conv_2026</f>
        <v>1961004.7253133708</v>
      </c>
      <c r="AE14" s="31">
        <f>'Option1 (base case)'!AE$28*conv_2026</f>
        <v>2003170.8682958104</v>
      </c>
      <c r="AF14" s="31">
        <f>'Option1 (base case)'!AF$28*conv_2026</f>
        <v>2045716.2350683615</v>
      </c>
      <c r="AG14" s="31">
        <f>'Option1 (base case)'!AG$28*conv_2026</f>
        <v>2088639.8230726158</v>
      </c>
    </row>
    <row r="15" spans="1:34" s="1" customFormat="1" x14ac:dyDescent="0.2">
      <c r="A15" s="134" t="str">
        <f>Data!B9</f>
        <v>Option 1 (base case)</v>
      </c>
      <c r="B15" s="134"/>
      <c r="C15" s="58" t="str">
        <f>'Option1 (base case)'!C$66</f>
        <v>Capital expenditure</v>
      </c>
      <c r="D15" s="38" t="str">
        <f t="shared" si="2"/>
        <v>Option 1 (base case)Capital expenditure</v>
      </c>
      <c r="F15" s="96">
        <f>SUMPRODUCT($H15:$AG15, $H$5:$AG$5)</f>
        <v>0</v>
      </c>
      <c r="G15" s="224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4" t="str">
        <f t="shared" ref="A16:A25" si="3">A15</f>
        <v>Option 1 (base case)</v>
      </c>
      <c r="B16" s="134"/>
      <c r="C16" s="58" t="str">
        <f>'Option1 (base case)'!C$36</f>
        <v>Total risk cost</v>
      </c>
      <c r="D16" s="38" t="str">
        <f t="shared" si="2"/>
        <v>Option 1 (base case)Total risk cost</v>
      </c>
      <c r="F16" s="107" cm="1">
        <f t="array" ref="F16">SUMPRODUCT(($H16:$AG16)*($H$5:$AG$5)*($H$7:$AG$7))</f>
        <v>20951835.987893969</v>
      </c>
      <c r="G16" s="224">
        <f>output_dollars</f>
        <v>46203</v>
      </c>
      <c r="H16" s="31"/>
      <c r="I16" s="31">
        <f>'Option1 (base case)'!I$36*conv_2026</f>
        <v>994295.91492635966</v>
      </c>
      <c r="J16" s="31">
        <f>'Option1 (base case)'!J$36*conv_2026</f>
        <v>1045279.0629131302</v>
      </c>
      <c r="K16" s="31">
        <f>'Option1 (base case)'!K$36*conv_2026</f>
        <v>1104832.2975647333</v>
      </c>
      <c r="L16" s="31">
        <f>'Option1 (base case)'!L$36*conv_2026</f>
        <v>1165305.0091292781</v>
      </c>
      <c r="M16" s="31">
        <f>'Option1 (base case)'!M$36*conv_2026</f>
        <v>1221628.1294944957</v>
      </c>
      <c r="N16" s="31">
        <f>'Option1 (base case)'!N$36*conv_2026</f>
        <v>1280600.0437582359</v>
      </c>
      <c r="O16" s="31">
        <f>'Option1 (base case)'!O$36*conv_2026</f>
        <v>1349037.2484569771</v>
      </c>
      <c r="P16" s="31">
        <f>'Option1 (base case)'!P$36*conv_2026</f>
        <v>1427981.4609419492</v>
      </c>
      <c r="Q16" s="31">
        <f>'Option1 (base case)'!Q$36*conv_2026</f>
        <v>1493302.8082123308</v>
      </c>
      <c r="R16" s="31">
        <f>'Option1 (base case)'!R$36*conv_2026</f>
        <v>1531425.440559082</v>
      </c>
      <c r="S16" s="31">
        <f>'Option1 (base case)'!S$36*conv_2026</f>
        <v>1569952.9201283962</v>
      </c>
      <c r="T16" s="31">
        <f>'Option1 (base case)'!T$36*conv_2026</f>
        <v>1608883.8421142604</v>
      </c>
      <c r="U16" s="31">
        <f>'Option1 (base case)'!U$36*conv_2026</f>
        <v>1648216.8352980886</v>
      </c>
      <c r="V16" s="31">
        <f>'Option1 (base case)'!V$36*conv_2026</f>
        <v>1687950.5609970526</v>
      </c>
      <c r="W16" s="31">
        <f>'Option1 (base case)'!W$36*conv_2026</f>
        <v>1728083.7120604618</v>
      </c>
      <c r="X16" s="31">
        <f>'Option1 (base case)'!X$36*conv_2026</f>
        <v>1768615.0119114481</v>
      </c>
      <c r="Y16" s="31">
        <f>'Option1 (base case)'!Y$36*conv_2026</f>
        <v>1809543.2136312281</v>
      </c>
      <c r="Z16" s="31">
        <f>'Option1 (base case)'!Z$36*conv_2026</f>
        <v>1850867.099083574</v>
      </c>
      <c r="AA16" s="31">
        <f>'Option1 (base case)'!AA$36*conv_2026</f>
        <v>1892585.478077143</v>
      </c>
      <c r="AB16" s="31">
        <f>'Option1 (base case)'!AB$36*conv_2026</f>
        <v>1934697.1875635982</v>
      </c>
      <c r="AC16" s="31">
        <f>'Option1 (base case)'!AC$36*conv_2026</f>
        <v>1977201.0908695445</v>
      </c>
      <c r="AD16" s="31">
        <f>'Option1 (base case)'!AD$36*conv_2026</f>
        <v>2020096.0769603811</v>
      </c>
      <c r="AE16" s="31">
        <f>'Option1 (base case)'!AE$36*conv_2026</f>
        <v>2062262.2199428207</v>
      </c>
      <c r="AF16" s="31">
        <f>'Option1 (base case)'!AF$36*conv_2026</f>
        <v>2104807.5867153718</v>
      </c>
      <c r="AG16" s="31">
        <f>'Option1 (base case)'!AG$36*conv_2026</f>
        <v>2147731.1747196261</v>
      </c>
    </row>
    <row r="17" spans="1:33" s="1" customFormat="1" x14ac:dyDescent="0.2">
      <c r="A17" s="134" t="str">
        <f t="shared" si="3"/>
        <v>Option 1 (base case)</v>
      </c>
      <c r="B17" s="134"/>
      <c r="C17" s="75"/>
      <c r="D17" s="38" t="str">
        <f t="shared" si="2"/>
        <v>Option 1 (base case)</v>
      </c>
      <c r="F17"/>
      <c r="G17" s="22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4" t="str">
        <f t="shared" si="3"/>
        <v>Option 1 (base case)</v>
      </c>
      <c r="B18" s="134"/>
      <c r="C18" s="58" t="str">
        <f>'Option1 (base case)'!C$82</f>
        <v>Annualised capex</v>
      </c>
      <c r="D18" s="38" t="str">
        <f t="shared" si="2"/>
        <v>Option 1 (base case)Annualised capex</v>
      </c>
      <c r="F18" s="96">
        <f>SUMPRODUCT($H18:$AG18, $H$5:$AG$5)</f>
        <v>0</v>
      </c>
      <c r="G18" s="224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4" t="str">
        <f t="shared" si="3"/>
        <v>Option 1 (base case)</v>
      </c>
      <c r="B19" s="134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6">
        <f>SUMPRODUCT($H19:$AG19, $H$5:$AG$5)</f>
        <v>0</v>
      </c>
      <c r="G19" s="224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4" t="str">
        <f t="shared" si="3"/>
        <v>Option 1 (base case)</v>
      </c>
      <c r="B20" s="134"/>
      <c r="C20" s="58" t="str">
        <f>'Option1 (base case)'!C$84</f>
        <v>Risk mitigated</v>
      </c>
      <c r="D20" s="38" t="str">
        <f t="shared" si="2"/>
        <v>Option 1 (base case)Risk mitigated</v>
      </c>
      <c r="F20" s="96">
        <f>SUMPRODUCT($H20:$AG20, $H$5:$AG$5)</f>
        <v>0</v>
      </c>
      <c r="G20" s="224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4" t="str">
        <f t="shared" si="3"/>
        <v>Option 1 (base case)</v>
      </c>
      <c r="B21" s="134"/>
      <c r="C21" s="58" t="str">
        <f>'Option1 (base case)'!C$85</f>
        <v>Other benefits value</v>
      </c>
      <c r="D21" s="38" t="str">
        <f t="shared" si="2"/>
        <v>Option 1 (base case)Other benefits value</v>
      </c>
      <c r="F21" s="96">
        <f>SUMPRODUCT($H21:$AG21, $H$5:$AG$5)</f>
        <v>0</v>
      </c>
      <c r="G21" s="224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4" t="str">
        <f t="shared" si="3"/>
        <v>Option 1 (base case)</v>
      </c>
      <c r="B22" s="134"/>
      <c r="C22" s="143" t="str">
        <f>'Option1 (base case)'!C$87</f>
        <v>Net benefits</v>
      </c>
      <c r="D22" s="108" t="str">
        <f t="shared" si="2"/>
        <v>Option 1 (base case)Net benefits</v>
      </c>
      <c r="E22" s="109"/>
      <c r="F22" s="142"/>
      <c r="G22" s="226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4" t="str">
        <f t="shared" si="3"/>
        <v>Option 1 (base case)</v>
      </c>
      <c r="B23" s="134"/>
      <c r="C23" s="8" t="s">
        <v>119</v>
      </c>
      <c r="D23" s="38" t="str">
        <f t="shared" si="2"/>
        <v>Option 1 (base case)NPV</v>
      </c>
      <c r="F23" s="107" cm="1">
        <f t="array" ref="F23">SUMPRODUCT(($H22:$AG22)*($H$5:$AG$5)*($H$7:$AG$7))</f>
        <v>0</v>
      </c>
      <c r="G23" s="224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4" t="str">
        <f t="shared" si="3"/>
        <v>Option 1 (base case)</v>
      </c>
      <c r="B24" s="134"/>
      <c r="C24" s="8" t="s">
        <v>189</v>
      </c>
      <c r="D24" s="38" t="str">
        <f t="shared" si="2"/>
        <v>Option 1 (base case)PV of costs</v>
      </c>
      <c r="F24" s="107">
        <f>SUM(F18:F19)</f>
        <v>0</v>
      </c>
      <c r="G24" s="224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4" t="str">
        <f t="shared" si="3"/>
        <v>Option 1 (base case)</v>
      </c>
      <c r="B25" s="134"/>
      <c r="C25" s="8" t="s">
        <v>190</v>
      </c>
      <c r="D25" s="38" t="str">
        <f t="shared" si="2"/>
        <v>Option 1 (base case)PV of benefits</v>
      </c>
      <c r="F25" s="107">
        <f>SUM(F20:F21)</f>
        <v>0</v>
      </c>
      <c r="G25" s="224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7"/>
    </row>
    <row r="27" spans="1:33" s="2" customFormat="1" x14ac:dyDescent="0.2">
      <c r="A27" s="122"/>
      <c r="B27" s="122"/>
      <c r="C27" s="122"/>
      <c r="D27" s="38" t="str">
        <f t="shared" si="6"/>
        <v/>
      </c>
      <c r="F27" s="117"/>
      <c r="G27" s="220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</row>
    <row r="28" spans="1:33" s="269" customFormat="1" x14ac:dyDescent="0.2">
      <c r="A28" s="267" t="str">
        <f>A29</f>
        <v>Option 2</v>
      </c>
      <c r="B28" s="267"/>
      <c r="C28" s="267" t="s">
        <v>124</v>
      </c>
      <c r="D28" s="268" t="str">
        <f t="shared" si="6"/>
        <v>Option 2Energy at risk value</v>
      </c>
      <c r="F28" s="96">
        <f>SUMPRODUCT($H28:$AG28, $H$5:$AG$5)</f>
        <v>6548665.2110258713</v>
      </c>
      <c r="G28" s="270">
        <f>output_dollars</f>
        <v>46203</v>
      </c>
      <c r="H28" s="271"/>
      <c r="I28" s="31">
        <f>Option2!I$28*conv_2026</f>
        <v>956386.79689476988</v>
      </c>
      <c r="J28" s="31">
        <f>Option2!J$28*conv_2026</f>
        <v>1006464.4788208064</v>
      </c>
      <c r="K28" s="31">
        <f>Option2!K$28*conv_2026</f>
        <v>32201.237962098669</v>
      </c>
      <c r="L28" s="31">
        <f>Option2!L$28*conv_2026</f>
        <v>60446.129199273848</v>
      </c>
      <c r="M28" s="31">
        <f>Option2!M$28*conv_2026</f>
        <v>88310.583850344978</v>
      </c>
      <c r="N28" s="31">
        <f>Option2!N$28*conv_2026</f>
        <v>116745.07484116754</v>
      </c>
      <c r="O28" s="31">
        <f>Option2!O$28*conv_2026</f>
        <v>146869.82603970123</v>
      </c>
      <c r="P28" s="31">
        <f>Option2!P$28*conv_2026</f>
        <v>179387.37387786538</v>
      </c>
      <c r="Q28" s="31">
        <f>Option2!Q$28*conv_2026</f>
        <v>211290.92381642264</v>
      </c>
      <c r="R28" s="31">
        <f>Option2!R$28*conv_2026</f>
        <v>239711.90151219573</v>
      </c>
      <c r="S28" s="31">
        <f>Option2!S$28*conv_2026</f>
        <v>268290.46749776957</v>
      </c>
      <c r="T28" s="31">
        <f>Option2!T$28*conv_2026</f>
        <v>297069.37264790258</v>
      </c>
      <c r="U28" s="31">
        <f>Option2!U$28*conv_2026</f>
        <v>326080.96881227812</v>
      </c>
      <c r="V28" s="31">
        <f>Option2!V$28*conv_2026</f>
        <v>355350.30308623967</v>
      </c>
      <c r="W28" s="31">
        <f>Option2!W$28*conv_2026</f>
        <v>384897.12156353379</v>
      </c>
      <c r="X28" s="31">
        <f>Option2!X$28*conv_2026</f>
        <v>414737.21991058579</v>
      </c>
      <c r="Y28" s="31">
        <f>Option2!Y$28*conv_2026</f>
        <v>444883.38418843003</v>
      </c>
      <c r="Z28" s="31">
        <f>Option2!Z$28*conv_2026</f>
        <v>475346.06459053262</v>
      </c>
      <c r="AA28" s="31">
        <f>Option2!AA$28*conv_2026</f>
        <v>506133.86938047741</v>
      </c>
      <c r="AB28" s="31">
        <f>Option2!AB$28*conv_2026</f>
        <v>537253.93440485408</v>
      </c>
      <c r="AC28" s="31">
        <f>Option2!AC$28*conv_2026</f>
        <v>568712.20442469034</v>
      </c>
      <c r="AD28" s="31">
        <f>Option2!AD$28*conv_2026</f>
        <v>600513.65063671465</v>
      </c>
      <c r="AE28" s="31">
        <f>Option2!AE$28*conv_2026</f>
        <v>632662.44116529694</v>
      </c>
      <c r="AF28" s="31">
        <f>Option2!AF$28*conv_2026</f>
        <v>665162.07632384915</v>
      </c>
      <c r="AG28" s="31">
        <f>Option2!AG$28*conv_2026</f>
        <v>698015.49709752505</v>
      </c>
    </row>
    <row r="29" spans="1:33" s="2" customFormat="1" x14ac:dyDescent="0.2">
      <c r="A29" s="134" t="str">
        <f>Data!B10</f>
        <v>Option 2</v>
      </c>
      <c r="B29" s="134"/>
      <c r="C29" s="58" t="str">
        <f>Option2!C$66</f>
        <v>Capital expenditure</v>
      </c>
      <c r="D29" s="38" t="str">
        <f t="shared" si="6"/>
        <v>Option 2Capital expenditure</v>
      </c>
      <c r="E29" s="1"/>
      <c r="F29" s="96" cm="1">
        <f t="array" ref="F29">SUMPRODUCT(($H29:$AG29)*($H$5:$AG$5)*($H$7:$AG$7))</f>
        <v>-8219730.616019452</v>
      </c>
      <c r="G29" s="224">
        <f>output_dollars</f>
        <v>46203</v>
      </c>
      <c r="H29" s="31"/>
      <c r="I29" s="31">
        <f>SUM(Option2!I$67:I$69)*conv_2026*I$7</f>
        <v>-5638449.9478436401</v>
      </c>
      <c r="J29" s="31">
        <f>SUM(Option2!J$67:J$69)*conv_2026*J$7</f>
        <v>-2819224.9739218201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4" t="str">
        <f t="shared" ref="A30:A39" si="7">A29</f>
        <v>Option 2</v>
      </c>
      <c r="B30" s="134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6" cm="1">
        <f t="array" ref="F30">SUMPRODUCT(($H30:$AG30)*($H$5:$AG$5)*($H$7:$AG$7))</f>
        <v>5445508.948973814</v>
      </c>
      <c r="G30" s="224">
        <f>output_dollars</f>
        <v>46203</v>
      </c>
      <c r="H30" s="31"/>
      <c r="I30" s="31">
        <f>Option2!I$36*conv_2026*I$7</f>
        <v>994295.91492635966</v>
      </c>
      <c r="J30" s="31">
        <f>Option2!J$36*conv_2026*J$7</f>
        <v>1045279.0629131302</v>
      </c>
      <c r="K30" s="31">
        <f>Option2!K$36*conv_2026*K$7</f>
        <v>50054.932650974493</v>
      </c>
      <c r="L30" s="31">
        <f>Option2!L$36*conv_2026*L$7</f>
        <v>78797.450929639075</v>
      </c>
      <c r="M30" s="31">
        <f>Option2!M$36*conv_2026*M$7</f>
        <v>107179.66099159488</v>
      </c>
      <c r="N30" s="31">
        <f>Option2!N$36*conv_2026*N$7</f>
        <v>136150.24266074557</v>
      </c>
      <c r="O30" s="31">
        <f>Option2!O$36*conv_2026*O$7</f>
        <v>166828.29219789189</v>
      </c>
      <c r="P30" s="31">
        <f>Option2!P$36*conv_2026*P$7</f>
        <v>199915.53664865054</v>
      </c>
      <c r="Q30" s="31">
        <f>Option2!Q$36*conv_2026*Q$7</f>
        <v>232404.55673196464</v>
      </c>
      <c r="R30" s="31">
        <f>Option2!R$36*conv_2026*R$7</f>
        <v>261426.27290477735</v>
      </c>
      <c r="S30" s="31">
        <f>Option2!S$36*conv_2026*S$7</f>
        <v>290620.42366182368</v>
      </c>
      <c r="T30" s="31">
        <f>Option2!T$36*conv_2026*T$7</f>
        <v>320029.39873194153</v>
      </c>
      <c r="U30" s="31">
        <f>Option2!U$36*conv_2026*U$7</f>
        <v>349685.23515201727</v>
      </c>
      <c r="V30" s="31">
        <f>Option2!V$36*conv_2026*V$7</f>
        <v>379612.70153356501</v>
      </c>
      <c r="W30" s="31">
        <f>Option2!W$36*conv_2026*W$7</f>
        <v>409831.29466610547</v>
      </c>
      <c r="X30" s="31">
        <f>Option2!X$36*conv_2026*X$7</f>
        <v>440356.58481760701</v>
      </c>
      <c r="Y30" s="31">
        <f>Option2!Y$36*conv_2026*Y$7</f>
        <v>471201.15256280772</v>
      </c>
      <c r="Z30" s="31">
        <f>Option2!Z$36*conv_2026*Z$7</f>
        <v>502375.2594295122</v>
      </c>
      <c r="AA30" s="31">
        <f>Option2!AA$36*conv_2026*AA$7</f>
        <v>533887.33939766116</v>
      </c>
      <c r="AB30" s="31">
        <f>Option2!AB$36*conv_2026*AB$7</f>
        <v>565744.36645714578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4" t="str">
        <f t="shared" si="7"/>
        <v>Option 2</v>
      </c>
      <c r="B31" s="134"/>
      <c r="C31" s="75"/>
      <c r="D31" s="38" t="str">
        <f t="shared" si="6"/>
        <v>Option 2</v>
      </c>
      <c r="E31" s="1"/>
      <c r="F31" s="96"/>
      <c r="G31" s="22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4" t="str">
        <f t="shared" si="7"/>
        <v>Option 2</v>
      </c>
      <c r="B32" s="134"/>
      <c r="C32" s="58" t="str">
        <f>Option2!C$82</f>
        <v>Annualised capex</v>
      </c>
      <c r="D32" s="38" t="str">
        <f t="shared" si="6"/>
        <v>Option 2Annualised capex</v>
      </c>
      <c r="E32" s="1"/>
      <c r="F32" s="96" cm="1">
        <f t="array" ref="F32">SUMPRODUCT(($H32:$AG32)*($H$5:$AG$5)*($H$7:$AG$7))</f>
        <v>-4745067.3458774518</v>
      </c>
      <c r="G32" s="224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-240388.03748188337</v>
      </c>
      <c r="K32" s="31">
        <f>Option2!K$82*conv_2026*K$7</f>
        <v>-360582.05622282508</v>
      </c>
      <c r="L32" s="31">
        <f>Option2!L$82*conv_2026*L$7</f>
        <v>-360582.05622282508</v>
      </c>
      <c r="M32" s="31">
        <f>Option2!M$82*conv_2026*M$7</f>
        <v>-360582.05622282508</v>
      </c>
      <c r="N32" s="31">
        <f>Option2!N$82*conv_2026*N$7</f>
        <v>-360582.05622282508</v>
      </c>
      <c r="O32" s="31">
        <f>Option2!O$82*conv_2026*O$7</f>
        <v>-360582.05622282508</v>
      </c>
      <c r="P32" s="31">
        <f>Option2!P$82*conv_2026*P$7</f>
        <v>-360582.05622282508</v>
      </c>
      <c r="Q32" s="31">
        <f>Option2!Q$82*conv_2026*Q$7</f>
        <v>-360582.05622282508</v>
      </c>
      <c r="R32" s="31">
        <f>Option2!R$82*conv_2026*R$7</f>
        <v>-360582.05622282508</v>
      </c>
      <c r="S32" s="31">
        <f>Option2!S$82*conv_2026*S$7</f>
        <v>-360582.05622282508</v>
      </c>
      <c r="T32" s="31">
        <f>Option2!T$82*conv_2026*T$7</f>
        <v>-360582.05622282508</v>
      </c>
      <c r="U32" s="31">
        <f>Option2!U$82*conv_2026*U$7</f>
        <v>-360582.05622282508</v>
      </c>
      <c r="V32" s="31">
        <f>Option2!V$82*conv_2026*V$7</f>
        <v>-360582.05622282508</v>
      </c>
      <c r="W32" s="31">
        <f>Option2!W$82*conv_2026*W$7</f>
        <v>-360582.05622282508</v>
      </c>
      <c r="X32" s="31">
        <f>Option2!X$82*conv_2026*X$7</f>
        <v>-360582.05622282508</v>
      </c>
      <c r="Y32" s="31">
        <f>Option2!Y$82*conv_2026*Y$7</f>
        <v>-360582.05622282508</v>
      </c>
      <c r="Z32" s="31">
        <f>Option2!Z$82*conv_2026*Z$7</f>
        <v>-360582.05622282508</v>
      </c>
      <c r="AA32" s="31">
        <f>Option2!AA$82*conv_2026*AA$7</f>
        <v>-360582.05622282508</v>
      </c>
      <c r="AB32" s="31">
        <f>Option2!AB$82*conv_2026*AB$7</f>
        <v>-360582.05622282508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4" t="str">
        <f t="shared" si="7"/>
        <v>Option 2</v>
      </c>
      <c r="B33" s="134"/>
      <c r="C33" s="58" t="str">
        <f>Option2!C$83</f>
        <v>Operating expenditure</v>
      </c>
      <c r="D33" s="38" t="str">
        <f t="shared" si="6"/>
        <v>Option 2Operating expenditure</v>
      </c>
      <c r="E33" s="1"/>
      <c r="F33" s="96" cm="1">
        <f t="array" ref="F33">SUMPRODUCT(($H33:$AG33)*($H$5:$AG$5)*($H$7:$AG$7))</f>
        <v>0</v>
      </c>
      <c r="G33" s="224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4" t="str">
        <f t="shared" si="7"/>
        <v>Option 2</v>
      </c>
      <c r="B34" s="134"/>
      <c r="C34" s="58" t="str">
        <f>Option2!C$84</f>
        <v>Risk mitigated</v>
      </c>
      <c r="D34" s="38" t="str">
        <f t="shared" si="6"/>
        <v>Option 2Risk mitigated</v>
      </c>
      <c r="E34" s="1"/>
      <c r="F34" s="96" cm="1">
        <f t="array" ref="F34">SUMPRODUCT(($H34:$AG34)*($H$5:$AG$5)*($H$7:$AG$7))</f>
        <v>15506327.038920157</v>
      </c>
      <c r="G34" s="224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1054777.3649137588</v>
      </c>
      <c r="L34" s="31">
        <f>Option2!L$84*conv_2026*L$7</f>
        <v>1086507.558199639</v>
      </c>
      <c r="M34" s="31">
        <f>Option2!M$84*conv_2026*M$7</f>
        <v>1114448.4685029008</v>
      </c>
      <c r="N34" s="31">
        <f>Option2!N$84*conv_2026*N$7</f>
        <v>1144449.8010974901</v>
      </c>
      <c r="O34" s="31">
        <f>Option2!O$84*conv_2026*O$7</f>
        <v>1182208.9562590851</v>
      </c>
      <c r="P34" s="31">
        <f>Option2!P$84*conv_2026*P$7</f>
        <v>1228065.9242932985</v>
      </c>
      <c r="Q34" s="31">
        <f>Option2!Q$84*conv_2026*Q$7</f>
        <v>1260898.2514803661</v>
      </c>
      <c r="R34" s="31">
        <f>Option2!R$84*conv_2026*R$7</f>
        <v>1269999.1676543045</v>
      </c>
      <c r="S34" s="31">
        <f>Option2!S$84*conv_2026*S$7</f>
        <v>1279332.4964665724</v>
      </c>
      <c r="T34" s="31">
        <f>Option2!T$84*conv_2026*T$7</f>
        <v>1288854.4433823188</v>
      </c>
      <c r="U34" s="31">
        <f>Option2!U$84*conv_2026*U$7</f>
        <v>1298531.6001460715</v>
      </c>
      <c r="V34" s="31">
        <f>Option2!V$84*conv_2026*V$7</f>
        <v>1308337.8594634875</v>
      </c>
      <c r="W34" s="31">
        <f>Option2!W$84*conv_2026*W$7</f>
        <v>1318252.4173943561</v>
      </c>
      <c r="X34" s="31">
        <f>Option2!X$84*conv_2026*X$7</f>
        <v>1328258.4270938411</v>
      </c>
      <c r="Y34" s="31">
        <f>Option2!Y$84*conv_2026*Y$7</f>
        <v>1338342.0610684203</v>
      </c>
      <c r="Z34" s="31">
        <f>Option2!Z$84*conv_2026*Z$7</f>
        <v>1348491.8396540619</v>
      </c>
      <c r="AA34" s="31">
        <f>Option2!AA$84*conv_2026*AA$7</f>
        <v>1358698.1386794816</v>
      </c>
      <c r="AB34" s="31">
        <f>Option2!AB$84*conv_2026*AB$7</f>
        <v>1368952.8211064523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4" t="str">
        <f t="shared" si="7"/>
        <v>Option 2</v>
      </c>
      <c r="B35" s="134"/>
      <c r="C35" s="58" t="str">
        <f>Option2!C$85</f>
        <v>Other benefits value</v>
      </c>
      <c r="D35" s="38" t="str">
        <f t="shared" si="6"/>
        <v>Option 2Other benefits value</v>
      </c>
      <c r="E35" s="1"/>
      <c r="F35" s="96" cm="1">
        <f t="array" ref="F35">SUMPRODUCT(($H35:$AG35)*($H$5:$AG$5)*($H$7:$AG$7))</f>
        <v>0</v>
      </c>
      <c r="G35" s="224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4" t="str">
        <f t="shared" si="7"/>
        <v>Option 2</v>
      </c>
      <c r="B36" s="134"/>
      <c r="C36" s="124" t="str">
        <f>Option2!C87</f>
        <v>Net benefits</v>
      </c>
      <c r="D36" s="108" t="str">
        <f t="shared" si="6"/>
        <v>Option 2Net benefits</v>
      </c>
      <c r="E36" s="109"/>
      <c r="F36" s="142"/>
      <c r="G36" s="226">
        <f t="shared" si="8"/>
        <v>46203</v>
      </c>
      <c r="H36" s="52"/>
      <c r="I36" s="52">
        <f>SUM(I32:I35)</f>
        <v>0</v>
      </c>
      <c r="J36" s="52">
        <f t="shared" ref="J36:AG36" si="9">SUM(J32:J35)</f>
        <v>-240388.03748188337</v>
      </c>
      <c r="K36" s="52">
        <f t="shared" si="9"/>
        <v>694195.30869093374</v>
      </c>
      <c r="L36" s="52">
        <f t="shared" si="9"/>
        <v>725925.50197681389</v>
      </c>
      <c r="M36" s="52">
        <f t="shared" si="9"/>
        <v>753866.41228007572</v>
      </c>
      <c r="N36" s="52">
        <f t="shared" si="9"/>
        <v>783867.74487466505</v>
      </c>
      <c r="O36" s="52">
        <f t="shared" si="9"/>
        <v>821626.90003626002</v>
      </c>
      <c r="P36" s="52">
        <f t="shared" si="9"/>
        <v>867483.86807047343</v>
      </c>
      <c r="Q36" s="52">
        <f t="shared" si="9"/>
        <v>900316.19525754103</v>
      </c>
      <c r="R36" s="52">
        <f t="shared" si="9"/>
        <v>909417.11143147945</v>
      </c>
      <c r="S36" s="52">
        <f t="shared" si="9"/>
        <v>918750.44024374732</v>
      </c>
      <c r="T36" s="52">
        <f t="shared" si="9"/>
        <v>928272.38715949375</v>
      </c>
      <c r="U36" s="52">
        <f t="shared" si="9"/>
        <v>937949.54392324644</v>
      </c>
      <c r="V36" s="52">
        <f t="shared" si="9"/>
        <v>947755.80324066244</v>
      </c>
      <c r="W36" s="52">
        <f t="shared" si="9"/>
        <v>957670.36117153103</v>
      </c>
      <c r="X36" s="52">
        <f t="shared" si="9"/>
        <v>967676.37087101606</v>
      </c>
      <c r="Y36" s="52">
        <f t="shared" si="9"/>
        <v>977760.00484559522</v>
      </c>
      <c r="Z36" s="52">
        <f t="shared" si="9"/>
        <v>987909.78343123686</v>
      </c>
      <c r="AA36" s="52">
        <f t="shared" si="9"/>
        <v>998116.0824566565</v>
      </c>
      <c r="AB36" s="52">
        <f t="shared" si="9"/>
        <v>1008370.7648836272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4" t="str">
        <f t="shared" si="7"/>
        <v>Option 2</v>
      </c>
      <c r="B37" s="134"/>
      <c r="C37" s="8" t="s">
        <v>119</v>
      </c>
      <c r="D37" s="38" t="str">
        <f t="shared" si="6"/>
        <v>Option 2NPV</v>
      </c>
      <c r="E37" s="1"/>
      <c r="F37" s="107" cm="1">
        <f t="array" ref="F37">SUMPRODUCT(($H36:$AG36)*($H$5:$AG$5)*($H$7:$AG$7))</f>
        <v>10761259.693042705</v>
      </c>
      <c r="G37" s="224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4" t="str">
        <f t="shared" si="7"/>
        <v>Option 2</v>
      </c>
      <c r="B38" s="134"/>
      <c r="C38" s="8" t="s">
        <v>189</v>
      </c>
      <c r="D38" s="38" t="str">
        <f t="shared" si="6"/>
        <v>Option 2PV of costs</v>
      </c>
      <c r="E38" s="1"/>
      <c r="F38" s="107">
        <f>SUM(F32:F33)</f>
        <v>-4745067.3458774518</v>
      </c>
      <c r="G38" s="224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4" t="str">
        <f t="shared" si="7"/>
        <v>Option 2</v>
      </c>
      <c r="B39" s="134"/>
      <c r="C39" s="8" t="s">
        <v>190</v>
      </c>
      <c r="D39" s="38" t="str">
        <f t="shared" si="6"/>
        <v>Option 2PV of benefits</v>
      </c>
      <c r="E39" s="1"/>
      <c r="F39" s="107">
        <f>SUM(F34:F35)</f>
        <v>15506327.038920157</v>
      </c>
      <c r="G39" s="224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4"/>
      <c r="B40" s="134"/>
      <c r="C40" s="1"/>
      <c r="D40" s="38"/>
      <c r="E40" s="1"/>
      <c r="F40" s="107"/>
      <c r="G40" s="227"/>
      <c r="H40" s="1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</row>
    <row r="41" spans="1:33" s="2" customFormat="1" x14ac:dyDescent="0.2">
      <c r="A41" s="122"/>
      <c r="B41" s="122"/>
      <c r="C41" s="122"/>
      <c r="D41" s="38" t="str">
        <f>A41&amp;C41</f>
        <v/>
      </c>
      <c r="F41" s="117"/>
      <c r="G41" s="220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</row>
    <row r="42" spans="1:33" s="269" customFormat="1" x14ac:dyDescent="0.2">
      <c r="A42" s="267" t="str">
        <f>A43</f>
        <v>Option 3</v>
      </c>
      <c r="B42" s="267"/>
      <c r="C42" s="267" t="s">
        <v>124</v>
      </c>
      <c r="D42" s="268" t="str">
        <f>A42&amp;C42</f>
        <v>Option 3Energy at risk value</v>
      </c>
      <c r="F42" s="96">
        <f>SUMPRODUCT($H42:$AG42, $H$5:$AG$5)</f>
        <v>23668621.59210581</v>
      </c>
      <c r="G42" s="270">
        <f>output_dollars</f>
        <v>46203</v>
      </c>
      <c r="H42" s="271"/>
      <c r="I42" s="31">
        <f>Option3!I$28*conv_2026</f>
        <v>956386.79689476988</v>
      </c>
      <c r="J42" s="31">
        <f>Option3!J$28*conv_2026</f>
        <v>954590.95294246799</v>
      </c>
      <c r="K42" s="31">
        <f>Option3!K$28*conv_2026</f>
        <v>1010199.6882443391</v>
      </c>
      <c r="L42" s="31">
        <f>Option3!L$28*conv_2026</f>
        <v>1066669.7933112108</v>
      </c>
      <c r="M42" s="31">
        <f>Option3!M$28*conv_2026</f>
        <v>1119193.4423459587</v>
      </c>
      <c r="N42" s="31">
        <f>Option3!N$28*conv_2026</f>
        <v>1174218.8435611655</v>
      </c>
      <c r="O42" s="31">
        <f>Option3!O$28*conv_2026</f>
        <v>1238211.1169707605</v>
      </c>
      <c r="P42" s="31">
        <f>Option3!P$28*conv_2026</f>
        <v>1312158.2819802098</v>
      </c>
      <c r="Q42" s="31">
        <f>Option3!Q$28*conv_2026</f>
        <v>1373173.986567219</v>
      </c>
      <c r="R42" s="31">
        <f>Option3!R$28*conv_2026</f>
        <v>1408382.2424451348</v>
      </c>
      <c r="S42" s="31">
        <f>Option3!S$28*conv_2026</f>
        <v>1443964.1517318443</v>
      </c>
      <c r="T42" s="31">
        <f>Option3!T$28*conv_2026</f>
        <v>1479918.4094982026</v>
      </c>
      <c r="U42" s="31">
        <f>Option3!U$28*conv_2026</f>
        <v>1516243.7418016999</v>
      </c>
      <c r="V42" s="31">
        <f>Option3!V$28*conv_2026</f>
        <v>1552938.9047152603</v>
      </c>
      <c r="W42" s="31">
        <f>Option3!W$28*conv_2026</f>
        <v>1590002.6834004596</v>
      </c>
      <c r="X42" s="31">
        <f>Option3!X$28*conv_2026</f>
        <v>1627433.8912225561</v>
      </c>
      <c r="Y42" s="31">
        <f>Option3!Y$28*conv_2026</f>
        <v>1665231.3689048716</v>
      </c>
      <c r="Z42" s="31">
        <f>Option3!Z$28*conv_2026</f>
        <v>1703393.9837202937</v>
      </c>
      <c r="AA42" s="31">
        <f>Option3!AA$28*conv_2026</f>
        <v>1741920.6287177536</v>
      </c>
      <c r="AB42" s="31">
        <f>Option3!AB$28*conv_2026</f>
        <v>1780810.2219817617</v>
      </c>
      <c r="AC42" s="31">
        <f>Option3!AC$28*conv_2026</f>
        <v>1820061.7059231622</v>
      </c>
      <c r="AD42" s="31">
        <f>Option3!AD$28*conv_2026</f>
        <v>1859674.0465993905</v>
      </c>
      <c r="AE42" s="31">
        <f>Option3!AE$28*conv_2026</f>
        <v>1899646.2330626734</v>
      </c>
      <c r="AF42" s="31">
        <f>Option3!AF$28*conv_2026</f>
        <v>1939977.2767346459</v>
      </c>
      <c r="AG42" s="31">
        <f>Option3!AG$28*conv_2026</f>
        <v>1980666.2108060552</v>
      </c>
    </row>
    <row r="43" spans="1:33" s="2" customFormat="1" x14ac:dyDescent="0.2">
      <c r="A43" s="134" t="str">
        <f>Data!B11</f>
        <v>Option 3</v>
      </c>
      <c r="B43" s="134"/>
      <c r="C43" s="58" t="str">
        <f>Option3!C$66</f>
        <v>Capital expenditure</v>
      </c>
      <c r="D43" s="38" t="str">
        <f>A43&amp;C43</f>
        <v>Option 3Capital expenditure</v>
      </c>
      <c r="E43" s="1"/>
      <c r="F43" s="96">
        <f>SUMPRODUCT($H43:$AG43, $H$5:$AG$5)</f>
        <v>-546966.72539062134</v>
      </c>
      <c r="G43" s="224">
        <f>output_dollars</f>
        <v>46203</v>
      </c>
      <c r="H43" s="31"/>
      <c r="I43" s="31">
        <f>SUM(Option3!I$67:I$69)*conv_2026*I$7</f>
        <v>-556456.32320829842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4" t="str">
        <f t="shared" ref="A44:A53" si="10">A43</f>
        <v>Option 3</v>
      </c>
      <c r="B44" s="134"/>
      <c r="C44" s="58" t="str">
        <f>'Option1 (base case)'!C$36</f>
        <v>Total risk cost</v>
      </c>
      <c r="D44" s="38" t="str">
        <f>A44&amp;C44</f>
        <v>Option 3Total risk cost</v>
      </c>
      <c r="E44" s="1"/>
      <c r="F44" s="96">
        <f>SUMPRODUCT($H44:$AG44, $H$5:$AG$5)</f>
        <v>19874722.54902862</v>
      </c>
      <c r="G44" s="224">
        <f>output_dollars</f>
        <v>46203</v>
      </c>
      <c r="H44" s="31"/>
      <c r="I44" s="31">
        <f>Option3!I$36*conv_2026*I$7</f>
        <v>994295.91492635966</v>
      </c>
      <c r="J44" s="31">
        <f>Option3!J$36*conv_2026*J$7</f>
        <v>987907.75629603188</v>
      </c>
      <c r="K44" s="31">
        <f>Option3!K$36*conv_2026*K$7</f>
        <v>1044390.5004542237</v>
      </c>
      <c r="L44" s="31">
        <f>Option3!L$36*conv_2026*L$7</f>
        <v>1101744.7020503345</v>
      </c>
      <c r="M44" s="31">
        <f>Option3!M$36*conv_2026*M$7</f>
        <v>1155162.4861950199</v>
      </c>
      <c r="N44" s="31">
        <f>Option3!N$36*conv_2026*N$7</f>
        <v>1211092.0130274512</v>
      </c>
      <c r="O44" s="31">
        <f>Option3!O$36*conv_2026*O$7</f>
        <v>1275998.3554701337</v>
      </c>
      <c r="P44" s="31">
        <f>Option3!P$36*conv_2026*P$7</f>
        <v>1350869.4867841552</v>
      </c>
      <c r="Q44" s="31">
        <f>Option3!Q$36*conv_2026*Q$7</f>
        <v>1412819.0097167045</v>
      </c>
      <c r="R44" s="31">
        <f>Option3!R$36*conv_2026*R$7</f>
        <v>1448970.8916329306</v>
      </c>
      <c r="S44" s="31">
        <f>Option3!S$36*conv_2026*S$7</f>
        <v>1485506.1911548399</v>
      </c>
      <c r="T44" s="31">
        <f>Option3!T$36*conv_2026*T$7</f>
        <v>1522423.5606811636</v>
      </c>
      <c r="U44" s="31">
        <f>Option3!U$36*conv_2026*U$7</f>
        <v>1559721.6843938185</v>
      </c>
      <c r="V44" s="31">
        <f>Option3!V$36*conv_2026*V$7</f>
        <v>1597399.2772607703</v>
      </c>
      <c r="W44" s="31">
        <f>Option3!W$36*conv_2026*W$7</f>
        <v>1635455.0840845106</v>
      </c>
      <c r="X44" s="31">
        <f>Option3!X$36*conv_2026*X$7</f>
        <v>1673887.8785934704</v>
      </c>
      <c r="Y44" s="31">
        <f>Option3!Y$36*conv_2026*Y$7</f>
        <v>1712696.4625738445</v>
      </c>
      <c r="Z44" s="31">
        <f>Option3!Z$36*conv_2026*Z$7</f>
        <v>1751879.66503953</v>
      </c>
      <c r="AA44" s="31">
        <f>Option3!AA$36*conv_2026*AA$7</f>
        <v>1791436.3414379868</v>
      </c>
      <c r="AB44" s="31">
        <f>Option3!AB$36*conv_2026*AB$7</f>
        <v>1831365.372890038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4" t="str">
        <f t="shared" si="10"/>
        <v>Option 3</v>
      </c>
      <c r="B45" s="134"/>
      <c r="C45" s="58"/>
      <c r="D45" s="38"/>
      <c r="E45" s="1"/>
      <c r="F45" s="96"/>
      <c r="G45" s="224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4" t="str">
        <f t="shared" si="10"/>
        <v>Option 3</v>
      </c>
      <c r="B46" s="134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6">
        <f>SUMPRODUCT($H46:$AG46, $H$5:$AG$5)</f>
        <v>-546966.72539062169</v>
      </c>
      <c r="G46" s="224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-66909.069461024992</v>
      </c>
      <c r="K46" s="31">
        <f>Option3!K$82*conv_2026*K$7</f>
        <v>-66909.069461024992</v>
      </c>
      <c r="L46" s="31">
        <f>Option3!L$82*conv_2026*L$7</f>
        <v>-66909.069461024992</v>
      </c>
      <c r="M46" s="31">
        <f>Option3!M$82*conv_2026*M$7</f>
        <v>-66909.069461024992</v>
      </c>
      <c r="N46" s="31">
        <f>Option3!N$82*conv_2026*N$7</f>
        <v>-66909.069461024992</v>
      </c>
      <c r="O46" s="31">
        <f>Option3!O$82*conv_2026*O$7</f>
        <v>-66909.069461024992</v>
      </c>
      <c r="P46" s="31">
        <f>Option3!P$82*conv_2026*P$7</f>
        <v>-66909.069461024992</v>
      </c>
      <c r="Q46" s="31">
        <f>Option3!Q$82*conv_2026*Q$7</f>
        <v>-66909.069461024992</v>
      </c>
      <c r="R46" s="31">
        <f>Option3!R$82*conv_2026*R$7</f>
        <v>-66909.069461024992</v>
      </c>
      <c r="S46" s="31">
        <f>Option3!S$82*conv_2026*S$7</f>
        <v>-66909.069461024992</v>
      </c>
      <c r="T46" s="31">
        <f>Option3!T$82*conv_2026*T$7</f>
        <v>0</v>
      </c>
      <c r="U46" s="31">
        <f>Option3!U$82*conv_2026*U$7</f>
        <v>0</v>
      </c>
      <c r="V46" s="31">
        <f>Option3!V$82*conv_2026*V$7</f>
        <v>0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4" t="str">
        <f t="shared" si="10"/>
        <v>Option 3</v>
      </c>
      <c r="B47" s="134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6">
        <f>SUMPRODUCT($H47:$AG47, $H$5:$AG$5)</f>
        <v>0</v>
      </c>
      <c r="G47" s="224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4" t="str">
        <f t="shared" si="10"/>
        <v>Option 3</v>
      </c>
      <c r="B48" s="134"/>
      <c r="C48" s="58" t="str">
        <f>Option3!C$84</f>
        <v>Risk mitigated</v>
      </c>
      <c r="D48" s="38" t="str">
        <f t="shared" si="11"/>
        <v>Option 3Risk mitigated</v>
      </c>
      <c r="E48" s="1"/>
      <c r="F48" s="96">
        <f>SUMPRODUCT($H48:$AG48, $H$5:$AG$5)</f>
        <v>1077113.4388653503</v>
      </c>
      <c r="G48" s="224">
        <f t="shared" si="12"/>
        <v>46203</v>
      </c>
      <c r="H48" s="31"/>
      <c r="I48" s="31">
        <f>Option3!I$84*conv_2026*I$7</f>
        <v>0</v>
      </c>
      <c r="J48" s="31">
        <f>Option3!J$84*conv_2026*J$7</f>
        <v>57371.306617098249</v>
      </c>
      <c r="K48" s="31">
        <f>Option3!K$84*conv_2026*K$7</f>
        <v>60441.797110509564</v>
      </c>
      <c r="L48" s="31">
        <f>Option3!L$84*conv_2026*L$7</f>
        <v>63560.307078943435</v>
      </c>
      <c r="M48" s="31">
        <f>Option3!M$84*conv_2026*M$7</f>
        <v>66465.643299475574</v>
      </c>
      <c r="N48" s="31">
        <f>Option3!N$84*conv_2026*N$7</f>
        <v>69508.030730784463</v>
      </c>
      <c r="O48" s="31">
        <f>Option3!O$84*conv_2026*O$7</f>
        <v>73038.892986843304</v>
      </c>
      <c r="P48" s="31">
        <f>Option3!P$84*conv_2026*P$7</f>
        <v>77111.974157794044</v>
      </c>
      <c r="Q48" s="31">
        <f>Option3!Q$84*conv_2026*Q$7</f>
        <v>80483.79849562647</v>
      </c>
      <c r="R48" s="31">
        <f>Option3!R$84*conv_2026*R$7</f>
        <v>82454.548926151343</v>
      </c>
      <c r="S48" s="31">
        <f>Option3!S$84*conv_2026*S$7</f>
        <v>84446.728973556339</v>
      </c>
      <c r="T48" s="31">
        <f>Option3!T$84*conv_2026*T$7</f>
        <v>86460.281433096767</v>
      </c>
      <c r="U48" s="31">
        <f>Option3!U$84*conv_2026*U$7</f>
        <v>88495.150904270238</v>
      </c>
      <c r="V48" s="31">
        <f>Option3!V$84*conv_2026*V$7</f>
        <v>90551.283736282334</v>
      </c>
      <c r="W48" s="31">
        <f>Option3!W$84*conv_2026*W$7</f>
        <v>92628.627975951109</v>
      </c>
      <c r="X48" s="31">
        <f>Option3!X$84*conv_2026*X$7</f>
        <v>94727.133317977685</v>
      </c>
      <c r="Y48" s="31">
        <f>Option3!Y$84*conv_2026*Y$7</f>
        <v>96846.751057383604</v>
      </c>
      <c r="Z48" s="31">
        <f>Option3!Z$84*conv_2026*Z$7</f>
        <v>98987.434044044101</v>
      </c>
      <c r="AA48" s="31">
        <f>Option3!AA$84*conv_2026*AA$7</f>
        <v>101149.13663915616</v>
      </c>
      <c r="AB48" s="31">
        <f>Option3!AB$84*conv_2026*AB$7</f>
        <v>103331.81467356005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4" t="str">
        <f t="shared" si="10"/>
        <v>Option 3</v>
      </c>
      <c r="B49" s="134"/>
      <c r="C49" s="58" t="str">
        <f>Option3!C$85</f>
        <v>Other benefits value</v>
      </c>
      <c r="D49" s="38" t="str">
        <f t="shared" si="11"/>
        <v>Option 3Other benefits value</v>
      </c>
      <c r="E49" s="1"/>
      <c r="F49" s="96">
        <f>SUMPRODUCT($H49:$AG49, $H$5:$AG$5)</f>
        <v>0</v>
      </c>
      <c r="G49" s="224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4" t="str">
        <f t="shared" si="10"/>
        <v>Option 3</v>
      </c>
      <c r="B50" s="134"/>
      <c r="C50" s="124" t="str">
        <f>Option3!C87</f>
        <v>Net benefits</v>
      </c>
      <c r="D50" s="108" t="str">
        <f t="shared" si="11"/>
        <v>Option 3Net benefits</v>
      </c>
      <c r="E50" s="109"/>
      <c r="F50" s="142"/>
      <c r="G50" s="226">
        <f t="shared" si="12"/>
        <v>46203</v>
      </c>
      <c r="H50" s="52"/>
      <c r="I50" s="52">
        <f t="shared" ref="I50:AB50" si="13">SUM(I46:I49)</f>
        <v>0</v>
      </c>
      <c r="J50" s="52">
        <f t="shared" si="13"/>
        <v>-9537.7628439267428</v>
      </c>
      <c r="K50" s="52">
        <f t="shared" si="13"/>
        <v>-6467.2723505154281</v>
      </c>
      <c r="L50" s="52">
        <f t="shared" si="13"/>
        <v>-3348.762382081557</v>
      </c>
      <c r="M50" s="52">
        <f t="shared" si="13"/>
        <v>-443.42616154941788</v>
      </c>
      <c r="N50" s="52">
        <f t="shared" si="13"/>
        <v>2598.9612697594712</v>
      </c>
      <c r="O50" s="52">
        <f t="shared" si="13"/>
        <v>6129.8235258183122</v>
      </c>
      <c r="P50" s="52">
        <f t="shared" si="13"/>
        <v>10202.904696769052</v>
      </c>
      <c r="Q50" s="52">
        <f t="shared" si="13"/>
        <v>13574.729034601478</v>
      </c>
      <c r="R50" s="52">
        <f t="shared" si="13"/>
        <v>15545.479465126351</v>
      </c>
      <c r="S50" s="52">
        <f t="shared" si="13"/>
        <v>17537.659512531347</v>
      </c>
      <c r="T50" s="52">
        <f t="shared" si="13"/>
        <v>86460.281433096767</v>
      </c>
      <c r="U50" s="52">
        <f t="shared" si="13"/>
        <v>88495.150904270238</v>
      </c>
      <c r="V50" s="52">
        <f t="shared" si="13"/>
        <v>90551.283736282334</v>
      </c>
      <c r="W50" s="52">
        <f t="shared" si="13"/>
        <v>92628.627975951109</v>
      </c>
      <c r="X50" s="52">
        <f t="shared" si="13"/>
        <v>94727.133317977685</v>
      </c>
      <c r="Y50" s="52">
        <f t="shared" si="13"/>
        <v>96846.751057383604</v>
      </c>
      <c r="Z50" s="52">
        <f t="shared" si="13"/>
        <v>98987.434044044101</v>
      </c>
      <c r="AA50" s="52">
        <f t="shared" si="13"/>
        <v>101149.13663915616</v>
      </c>
      <c r="AB50" s="52">
        <f t="shared" si="13"/>
        <v>103331.81467356005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4" t="str">
        <f t="shared" si="10"/>
        <v>Option 3</v>
      </c>
      <c r="B51" s="134"/>
      <c r="C51" s="8" t="s">
        <v>119</v>
      </c>
      <c r="D51" s="38" t="str">
        <f t="shared" si="11"/>
        <v>Option 3NPV</v>
      </c>
      <c r="E51" s="1"/>
      <c r="F51" s="107" cm="1">
        <f t="array" ref="F51">SUMPRODUCT(($H50:$AG50)*($H$5:$AG$5)*($H$7:$AG$7))</f>
        <v>530146.71347472875</v>
      </c>
      <c r="G51" s="224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4" t="str">
        <f t="shared" si="10"/>
        <v>Option 3</v>
      </c>
      <c r="B52" s="134"/>
      <c r="C52" s="8" t="s">
        <v>189</v>
      </c>
      <c r="D52" s="38" t="str">
        <f t="shared" si="11"/>
        <v>Option 3PV of costs</v>
      </c>
      <c r="E52" s="1"/>
      <c r="F52" s="107">
        <f>SUM(F46:F47)</f>
        <v>-546966.72539062169</v>
      </c>
      <c r="G52" s="224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4" t="str">
        <f t="shared" si="10"/>
        <v>Option 3</v>
      </c>
      <c r="B53" s="134"/>
      <c r="C53" s="8" t="s">
        <v>190</v>
      </c>
      <c r="D53" s="38" t="str">
        <f t="shared" si="11"/>
        <v>Option 3PV of benefits</v>
      </c>
      <c r="E53" s="1"/>
      <c r="F53" s="107">
        <f>SUM(F48:F49)</f>
        <v>1077113.4388653503</v>
      </c>
      <c r="G53" s="224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4"/>
      <c r="B54" s="134"/>
      <c r="C54" s="1"/>
      <c r="D54" s="38"/>
      <c r="E54" s="1"/>
      <c r="F54" s="107"/>
      <c r="G54" s="227"/>
      <c r="H54" s="1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</row>
    <row r="55" spans="1:33" s="2" customFormat="1" x14ac:dyDescent="0.2">
      <c r="A55" s="122"/>
      <c r="B55" s="122"/>
      <c r="C55" s="122"/>
      <c r="D55" s="38"/>
      <c r="F55" s="117"/>
      <c r="G55" s="220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</row>
    <row r="56" spans="1:33" s="269" customFormat="1" x14ac:dyDescent="0.2">
      <c r="A56" s="267" t="str">
        <f>A57</f>
        <v>Option 4</v>
      </c>
      <c r="B56" s="267"/>
      <c r="C56" s="267" t="s">
        <v>124</v>
      </c>
      <c r="D56" s="268" t="str">
        <f>A56&amp;C56</f>
        <v>Option 4Energy at risk value</v>
      </c>
      <c r="F56" s="96">
        <f>SUMPRODUCT($H56:$AG56, $H$5:$AG$5)</f>
        <v>0</v>
      </c>
      <c r="G56" s="270">
        <f>output_dollars</f>
        <v>46203</v>
      </c>
      <c r="H56" s="271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4" t="str">
        <f>Data!B12</f>
        <v>Option 4</v>
      </c>
      <c r="B57" s="134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6">
        <f>SUMPRODUCT($H57:$AG57, $H$5:$AG$5)</f>
        <v>0</v>
      </c>
      <c r="G57" s="224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4" t="str">
        <f t="shared" ref="A58:A67" si="15">A57</f>
        <v>Option 4</v>
      </c>
      <c r="B58" s="134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6">
        <f>SUMPRODUCT($H58:$AG58, $H$5:$AG$5)</f>
        <v>0</v>
      </c>
      <c r="G58" s="224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4" t="str">
        <f t="shared" si="15"/>
        <v>Option 4</v>
      </c>
      <c r="B59" s="134"/>
      <c r="C59" s="75"/>
      <c r="D59" s="38" t="str">
        <f t="shared" si="14"/>
        <v>Option 4</v>
      </c>
      <c r="E59" s="1"/>
      <c r="F59"/>
      <c r="G59" s="225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4" t="str">
        <f t="shared" si="15"/>
        <v>Option 4</v>
      </c>
      <c r="B60" s="134"/>
      <c r="C60" s="58" t="str">
        <f>Option4!C$82</f>
        <v>Annualised capex</v>
      </c>
      <c r="D60" s="38" t="str">
        <f t="shared" si="14"/>
        <v>Option 4Annualised capex</v>
      </c>
      <c r="E60" s="1"/>
      <c r="F60" s="96">
        <f>SUMPRODUCT($H60:$AG60, $H$5:$AG$5)</f>
        <v>0</v>
      </c>
      <c r="G60" s="224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4" t="str">
        <f t="shared" si="15"/>
        <v>Option 4</v>
      </c>
      <c r="B61" s="134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6">
        <f>SUMPRODUCT($H61:$AG61, $H$5:$AG$5)</f>
        <v>0</v>
      </c>
      <c r="G61" s="224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4" t="str">
        <f t="shared" si="15"/>
        <v>Option 4</v>
      </c>
      <c r="B62" s="134"/>
      <c r="C62" s="58" t="str">
        <f>Option4!C$84</f>
        <v>Risk mitigated</v>
      </c>
      <c r="D62" s="38" t="str">
        <f t="shared" si="14"/>
        <v>Option 4Risk mitigated</v>
      </c>
      <c r="E62" s="1"/>
      <c r="F62" s="96">
        <f>SUMPRODUCT($H62:$AG62, $H$5:$AG$5)</f>
        <v>0</v>
      </c>
      <c r="G62" s="224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4" t="str">
        <f t="shared" si="15"/>
        <v>Option 4</v>
      </c>
      <c r="B63" s="134"/>
      <c r="C63" s="58" t="str">
        <f>Option4!C$85</f>
        <v>Other benefits value</v>
      </c>
      <c r="D63" s="38" t="str">
        <f t="shared" si="14"/>
        <v>Option 4Other benefits value</v>
      </c>
      <c r="E63" s="1"/>
      <c r="F63" s="96">
        <f>SUMPRODUCT($H63:$AG63, $H$5:$AG$5)</f>
        <v>0</v>
      </c>
      <c r="G63" s="224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4" t="str">
        <f t="shared" si="15"/>
        <v>Option 4</v>
      </c>
      <c r="B64" s="134"/>
      <c r="C64" s="124" t="str">
        <f>Option4!C87</f>
        <v>Net benefits</v>
      </c>
      <c r="D64" s="108" t="str">
        <f t="shared" si="14"/>
        <v>Option 4Net benefits</v>
      </c>
      <c r="E64" s="109"/>
      <c r="F64" s="142"/>
      <c r="G64" s="226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4" t="str">
        <f t="shared" si="15"/>
        <v>Option 4</v>
      </c>
      <c r="B65" s="134"/>
      <c r="C65" s="8" t="s">
        <v>119</v>
      </c>
      <c r="D65" s="38" t="str">
        <f t="shared" si="14"/>
        <v>Option 4NPV</v>
      </c>
      <c r="E65" s="1"/>
      <c r="F65" s="107" cm="1">
        <f t="array" ref="F65">SUMPRODUCT(($H64:$AG64)*($H$5:$AG$5)*($H$7:$AG$7))</f>
        <v>0</v>
      </c>
      <c r="G65" s="224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4" t="str">
        <f t="shared" si="15"/>
        <v>Option 4</v>
      </c>
      <c r="B66" s="134"/>
      <c r="C66" s="8" t="s">
        <v>189</v>
      </c>
      <c r="D66" s="38" t="str">
        <f t="shared" si="14"/>
        <v>Option 4PV of costs</v>
      </c>
      <c r="E66" s="1"/>
      <c r="F66" s="107">
        <f>SUM(F60:F61)</f>
        <v>0</v>
      </c>
      <c r="G66" s="224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4" t="str">
        <f t="shared" si="15"/>
        <v>Option 4</v>
      </c>
      <c r="B67" s="134"/>
      <c r="C67" s="8" t="s">
        <v>190</v>
      </c>
      <c r="D67" s="38" t="str">
        <f t="shared" si="14"/>
        <v>Option 4PV of benefits</v>
      </c>
      <c r="E67" s="1"/>
      <c r="F67" s="107">
        <f>SUM(F62:F63)</f>
        <v>0</v>
      </c>
      <c r="G67" s="224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4"/>
      <c r="B68" s="134"/>
      <c r="C68" s="1"/>
      <c r="D68" s="38"/>
      <c r="E68" s="1"/>
      <c r="F68" s="107"/>
      <c r="G68" s="227"/>
      <c r="H68" s="1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</row>
    <row r="69" spans="1:33" s="2" customFormat="1" x14ac:dyDescent="0.2">
      <c r="A69" s="122"/>
      <c r="B69" s="122"/>
      <c r="C69" s="122"/>
      <c r="D69" s="38" t="str">
        <f t="shared" ref="D69:D81" si="18">A69&amp;C69</f>
        <v/>
      </c>
      <c r="F69" s="117"/>
      <c r="G69" s="220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s="269" customFormat="1" x14ac:dyDescent="0.2">
      <c r="A70" s="267" t="str">
        <f>A71</f>
        <v>Option 5</v>
      </c>
      <c r="B70" s="267"/>
      <c r="C70" s="267" t="s">
        <v>124</v>
      </c>
      <c r="D70" s="268" t="str">
        <f t="shared" si="18"/>
        <v>Option 5Energy at risk value</v>
      </c>
      <c r="F70" s="96">
        <f>SUMPRODUCT($H70:$AG70, $H$5:$AG$5)</f>
        <v>0</v>
      </c>
      <c r="G70" s="270">
        <f>output_dollars</f>
        <v>46203</v>
      </c>
      <c r="H70" s="271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4" t="str">
        <f>Data!B13</f>
        <v>Option 5</v>
      </c>
      <c r="B71" s="134"/>
      <c r="C71" s="58" t="str">
        <f>Option5!C$66</f>
        <v>Capital expenditure</v>
      </c>
      <c r="D71" s="38" t="str">
        <f t="shared" si="18"/>
        <v>Option 5Capital expenditure</v>
      </c>
      <c r="E71" s="1"/>
      <c r="F71" s="96">
        <f>SUMPRODUCT($H71:$AG71, $H$5:$AG$5)</f>
        <v>0</v>
      </c>
      <c r="G71" s="224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4" t="str">
        <f t="shared" ref="A72:A81" si="19">A71</f>
        <v>Option 5</v>
      </c>
      <c r="B72" s="134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6">
        <f>SUMPRODUCT($H72:$AG72, $H$5:$AG$5)</f>
        <v>0</v>
      </c>
      <c r="G72" s="224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4" t="str">
        <f t="shared" si="19"/>
        <v>Option 5</v>
      </c>
      <c r="B73" s="134"/>
      <c r="C73" s="75"/>
      <c r="D73" s="38" t="str">
        <f t="shared" si="18"/>
        <v>Option 5</v>
      </c>
      <c r="E73" s="1"/>
      <c r="F73"/>
      <c r="G73" s="225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4" t="str">
        <f t="shared" si="19"/>
        <v>Option 5</v>
      </c>
      <c r="B74" s="134"/>
      <c r="C74" s="58" t="str">
        <f>Option5!C$82</f>
        <v>Annualised capex</v>
      </c>
      <c r="D74" s="38" t="str">
        <f t="shared" si="18"/>
        <v>Option 5Annualised capex</v>
      </c>
      <c r="E74" s="1"/>
      <c r="F74" s="107" cm="1">
        <f t="array" ref="F74">SUMPRODUCT(($H74:$AG74)*($H$5:$AG$5)*($H$7:$AG$7))</f>
        <v>0</v>
      </c>
      <c r="G74" s="224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4" t="str">
        <f t="shared" si="19"/>
        <v>Option 5</v>
      </c>
      <c r="B75" s="134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7" cm="1">
        <f t="array" ref="F75">SUMPRODUCT(($H75:$AG75)*($H$5:$AG$5)*($H$7:$AG$7))</f>
        <v>0</v>
      </c>
      <c r="G75" s="224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4" t="str">
        <f t="shared" si="19"/>
        <v>Option 5</v>
      </c>
      <c r="B76" s="134"/>
      <c r="C76" s="58" t="str">
        <f>Option5!C$84</f>
        <v>Risk mitigated</v>
      </c>
      <c r="D76" s="38" t="str">
        <f t="shared" si="18"/>
        <v>Option 5Risk mitigated</v>
      </c>
      <c r="E76" s="1"/>
      <c r="F76" s="96">
        <f>SUMPRODUCT($H76:$AG76, $H$5:$AG$5)</f>
        <v>0</v>
      </c>
      <c r="G76" s="224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4" t="str">
        <f t="shared" si="19"/>
        <v>Option 5</v>
      </c>
      <c r="B77" s="134"/>
      <c r="C77" s="58" t="str">
        <f>Option5!C$85</f>
        <v>Other benefits value</v>
      </c>
      <c r="D77" s="38" t="str">
        <f t="shared" si="18"/>
        <v>Option 5Other benefits value</v>
      </c>
      <c r="E77" s="1"/>
      <c r="F77" s="96">
        <f>SUMPRODUCT($H77:$AG77, $H$5:$AG$5)</f>
        <v>0</v>
      </c>
      <c r="G77" s="224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4" t="str">
        <f t="shared" si="19"/>
        <v>Option 5</v>
      </c>
      <c r="B78" s="134"/>
      <c r="C78" s="124" t="str">
        <f>Option5!C87</f>
        <v>Net benefits</v>
      </c>
      <c r="D78" s="108" t="str">
        <f t="shared" si="18"/>
        <v>Option 5Net benefits</v>
      </c>
      <c r="E78" s="109"/>
      <c r="F78" s="142"/>
      <c r="G78" s="226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4" t="str">
        <f t="shared" si="19"/>
        <v>Option 5</v>
      </c>
      <c r="B79" s="134"/>
      <c r="C79" s="8" t="s">
        <v>119</v>
      </c>
      <c r="D79" s="38" t="str">
        <f t="shared" si="18"/>
        <v>Option 5NPV</v>
      </c>
      <c r="E79" s="1"/>
      <c r="F79" s="107" cm="1">
        <f t="array" ref="F79">SUMPRODUCT(($H78:$AG78)*($H$5:$AG$5)*($H$7:$AG$7))</f>
        <v>0</v>
      </c>
      <c r="G79" s="224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4" t="str">
        <f t="shared" si="19"/>
        <v>Option 5</v>
      </c>
      <c r="B80" s="134"/>
      <c r="C80" s="8" t="s">
        <v>189</v>
      </c>
      <c r="D80" s="38" t="str">
        <f t="shared" si="18"/>
        <v>Option 5PV of costs</v>
      </c>
      <c r="E80" s="1"/>
      <c r="F80" s="107">
        <f>SUM(F74:F75)</f>
        <v>0</v>
      </c>
      <c r="G80" s="224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4" t="str">
        <f t="shared" si="19"/>
        <v>Option 5</v>
      </c>
      <c r="B81" s="134"/>
      <c r="C81" s="8" t="s">
        <v>190</v>
      </c>
      <c r="D81" s="38" t="str">
        <f t="shared" si="18"/>
        <v>Option 5PV of benefits</v>
      </c>
      <c r="E81" s="1"/>
      <c r="F81" s="107">
        <f>SUM(F76:F77)</f>
        <v>0</v>
      </c>
      <c r="G81" s="224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3"/>
      <c r="B82" s="123"/>
      <c r="C82" s="123"/>
      <c r="D82" s="38" t="str">
        <f>A82&amp;C82</f>
        <v/>
      </c>
      <c r="F82" s="117"/>
      <c r="G82" s="220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</row>
    <row r="83" spans="1:33" ht="12" x14ac:dyDescent="0.2">
      <c r="E83" s="84"/>
      <c r="G83" s="228"/>
    </row>
    <row r="84" spans="1:33" ht="12" x14ac:dyDescent="0.2">
      <c r="E84" s="84"/>
      <c r="G84" s="228"/>
    </row>
    <row r="85" spans="1:33" ht="12" x14ac:dyDescent="0.2">
      <c r="E85" s="84"/>
      <c r="G85" s="228"/>
    </row>
    <row r="86" spans="1:33" ht="12" x14ac:dyDescent="0.2">
      <c r="E86" s="84"/>
      <c r="G86" s="228"/>
    </row>
    <row r="87" spans="1:33" ht="12" x14ac:dyDescent="0.2">
      <c r="E87" s="10"/>
      <c r="G87" s="228"/>
    </row>
    <row r="88" spans="1:33" ht="15" x14ac:dyDescent="0.25">
      <c r="A88" s="201" t="s">
        <v>202</v>
      </c>
      <c r="B88" s="54"/>
      <c r="C88" s="19"/>
      <c r="D88" s="19"/>
      <c r="E88" s="83"/>
      <c r="F88" s="19"/>
      <c r="G88" s="222"/>
      <c r="H88" s="222"/>
      <c r="I88" s="198" t="str">
        <f>"FY"&amp;RIGHT(I$9,2)</f>
        <v>FY27</v>
      </c>
      <c r="J88" s="198" t="str">
        <f t="shared" ref="J88:AG88" si="22">"FY"&amp;RIGHT(J$9,2)</f>
        <v>FY28</v>
      </c>
      <c r="K88" s="198" t="str">
        <f t="shared" si="22"/>
        <v>FY29</v>
      </c>
      <c r="L88" s="198" t="str">
        <f t="shared" si="22"/>
        <v>FY30</v>
      </c>
      <c r="M88" s="198" t="str">
        <f t="shared" si="22"/>
        <v>FY31</v>
      </c>
      <c r="N88" s="198" t="str">
        <f t="shared" si="22"/>
        <v>FY32</v>
      </c>
      <c r="O88" s="198" t="str">
        <f t="shared" si="22"/>
        <v>FY33</v>
      </c>
      <c r="P88" s="198" t="str">
        <f t="shared" si="22"/>
        <v>FY34</v>
      </c>
      <c r="Q88" s="198" t="str">
        <f t="shared" si="22"/>
        <v>FY35</v>
      </c>
      <c r="R88" s="198" t="str">
        <f t="shared" si="22"/>
        <v>FY36</v>
      </c>
      <c r="S88" s="198" t="str">
        <f t="shared" si="22"/>
        <v>FY37</v>
      </c>
      <c r="T88" s="198" t="str">
        <f t="shared" si="22"/>
        <v>FY38</v>
      </c>
      <c r="U88" s="198" t="str">
        <f t="shared" si="22"/>
        <v>FY39</v>
      </c>
      <c r="V88" s="198" t="str">
        <f t="shared" si="22"/>
        <v>FY40</v>
      </c>
      <c r="W88" s="198" t="str">
        <f t="shared" si="22"/>
        <v>FY41</v>
      </c>
      <c r="X88" s="198" t="str">
        <f t="shared" si="22"/>
        <v>FY42</v>
      </c>
      <c r="Y88" s="198" t="str">
        <f t="shared" si="22"/>
        <v>FY43</v>
      </c>
      <c r="Z88" s="198" t="str">
        <f t="shared" si="22"/>
        <v>FY44</v>
      </c>
      <c r="AA88" s="198" t="str">
        <f t="shared" si="22"/>
        <v>FY45</v>
      </c>
      <c r="AB88" s="198" t="str">
        <f t="shared" si="22"/>
        <v>FY46</v>
      </c>
      <c r="AC88" s="198" t="str">
        <f t="shared" si="22"/>
        <v>FY47</v>
      </c>
      <c r="AD88" s="198" t="str">
        <f t="shared" si="22"/>
        <v>FY48</v>
      </c>
      <c r="AE88" s="198" t="str">
        <f t="shared" si="22"/>
        <v>FY49</v>
      </c>
      <c r="AF88" s="198" t="str">
        <f t="shared" si="22"/>
        <v>FY50</v>
      </c>
      <c r="AG88" s="198" t="str">
        <f t="shared" si="22"/>
        <v>FY51</v>
      </c>
    </row>
    <row r="89" spans="1:33" ht="12" x14ac:dyDescent="0.2">
      <c r="E89" s="84"/>
      <c r="G89" s="228"/>
    </row>
    <row r="90" spans="1:33" ht="12" x14ac:dyDescent="0.2">
      <c r="E90" s="84"/>
    </row>
    <row r="91" spans="1:33" x14ac:dyDescent="0.2">
      <c r="A91" s="197" t="str">
        <f>Summary!$C$26</f>
        <v>Option 2</v>
      </c>
      <c r="B91" s="138"/>
      <c r="C91" s="195" t="s">
        <v>91</v>
      </c>
      <c r="D91" s="117">
        <f>INDEX(Data!$C$30:$C$36, MATCH(C91, Data!$B$30:$B$36,0))</f>
        <v>-1</v>
      </c>
      <c r="E91" s="2"/>
      <c r="F91" s="117"/>
      <c r="G91" s="118"/>
      <c r="H91" s="118" t="str">
        <f>A91&amp;" "&amp;LOWER(C91)</f>
        <v>Option 2 annualised capex</v>
      </c>
      <c r="I91" s="296" cm="1">
        <f t="array" ref="I91">MAX($D91*INDEX(I$15:W$81, MATCH($A91&amp;$C91, $D$15:$D$81,0),))/mill_conv</f>
        <v>0.36058205622282508</v>
      </c>
      <c r="J91" s="296" cm="1">
        <f t="array" ref="J91">MAX($D91*INDEX(J$15:X$81, MATCH($A91&amp;$C91, $D$15:$D$81,0),))/mill_conv</f>
        <v>0.36058205622282508</v>
      </c>
      <c r="K91" s="296" cm="1">
        <f t="array" ref="K91">MAX($D91*INDEX(K$15:Y$81, MATCH($A91&amp;$C91, $D$15:$D$81,0),))/mill_conv</f>
        <v>0.36058205622282508</v>
      </c>
      <c r="L91" s="296" cm="1">
        <f t="array" ref="L91">MAX($D91*INDEX(L$15:Z$81, MATCH($A91&amp;$C91, $D$15:$D$81,0),))/mill_conv</f>
        <v>0.36058205622282508</v>
      </c>
      <c r="M91" s="296" cm="1">
        <f t="array" ref="M91">MAX($D91*INDEX(M$15:AA$81, MATCH($A91&amp;$C91, $D$15:$D$81,0),))/mill_conv</f>
        <v>0.36058205622282508</v>
      </c>
      <c r="N91" s="296" cm="1">
        <f t="array" ref="N91">MAX($D91*INDEX(N$15:AB$81, MATCH($A91&amp;$C91, $D$15:$D$81,0),))/mill_conv</f>
        <v>0.36058205622282508</v>
      </c>
      <c r="O91" s="296" cm="1">
        <f t="array" ref="O91">MAX($D91*INDEX(O$15:AC$81, MATCH($A91&amp;$C91, $D$15:$D$81,0),))/mill_conv</f>
        <v>0.36058205622282508</v>
      </c>
      <c r="P91" s="296" cm="1">
        <f t="array" ref="P91">MAX($D91*INDEX(P$15:AD$81, MATCH($A91&amp;$C91, $D$15:$D$81,0),))/mill_conv</f>
        <v>0.36058205622282508</v>
      </c>
      <c r="Q91" s="296" cm="1">
        <f t="array" ref="Q91">MAX($D91*INDEX(Q$15:AE$81, MATCH($A91&amp;$C91, $D$15:$D$81,0),))/mill_conv</f>
        <v>0.36058205622282508</v>
      </c>
      <c r="R91" s="296" cm="1">
        <f t="array" ref="R91">MAX($D91*INDEX(R$15:AF$81, MATCH($A91&amp;$C91, $D$15:$D$81,0),))/mill_conv</f>
        <v>0.36058205622282508</v>
      </c>
      <c r="S91" s="296" cm="1">
        <f t="array" ref="S91">MAX($D91*INDEX(S$15:AG$81, MATCH($A91&amp;$C91, $D$15:$D$81,0),))/mill_conv</f>
        <v>0.36058205622282508</v>
      </c>
      <c r="T91" s="296" cm="1">
        <f t="array" ref="T91">MAX($D91*INDEX(T$15:AH$81, MATCH($A91&amp;$C91, $D$15:$D$81,0),))/mill_conv</f>
        <v>0.36058205622282508</v>
      </c>
      <c r="U91" s="296" cm="1">
        <f t="array" ref="U91">MAX($D91*INDEX(U$15:AI$81, MATCH($A91&amp;$C91, $D$15:$D$81,0),))/mill_conv</f>
        <v>0.36058205622282508</v>
      </c>
      <c r="V91" s="296" cm="1">
        <f t="array" ref="V91">MAX($D91*INDEX(V$15:AJ$81, MATCH($A91&amp;$C91, $D$15:$D$81,0),))/mill_conv</f>
        <v>0.36058205622282508</v>
      </c>
      <c r="W91" s="296" cm="1">
        <f t="array" ref="W91">MAX($D91*INDEX(W$15:AK$81, MATCH($A91&amp;$C91, $D$15:$D$81,0),))/mill_conv</f>
        <v>0.36058205622282508</v>
      </c>
      <c r="X91" s="296" cm="1">
        <f t="array" ref="X91">MAX($D91*INDEX(X$15:AL$81, MATCH($A91&amp;$C91, $D$15:$D$81,0),))/mill_conv</f>
        <v>0.36058205622282508</v>
      </c>
      <c r="Y91" s="296" cm="1">
        <f t="array" ref="Y91">MAX($D91*INDEX(Y$15:AM$81, MATCH($A91&amp;$C91, $D$15:$D$81,0),))/mill_conv</f>
        <v>0.36058205622282508</v>
      </c>
      <c r="Z91" s="296" cm="1">
        <f t="array" ref="Z91">MAX($D91*INDEX(Z$15:AN$81, MATCH($A91&amp;$C91, $D$15:$D$81,0),))/mill_conv</f>
        <v>0.36058205622282508</v>
      </c>
      <c r="AA91" s="296" cm="1">
        <f t="array" ref="AA91">MAX($D91*INDEX(AA$15:AO$81, MATCH($A91&amp;$C91, $D$15:$D$81,0),))/mill_conv</f>
        <v>0.36058205622282508</v>
      </c>
      <c r="AB91" s="296" cm="1">
        <f t="array" ref="AB91">MAX($D91*INDEX(AB$15:AP$81, MATCH($A91&amp;$C91, $D$15:$D$81,0),))/mill_conv</f>
        <v>0.36058205622282508</v>
      </c>
      <c r="AC91" s="296" cm="1">
        <f t="array" ref="AC91">MAX($D91*INDEX(AC$15:AQ$81, MATCH($A91&amp;$C91, $D$15:$D$81,0),))/mill_conv</f>
        <v>0</v>
      </c>
      <c r="AD91" s="296" cm="1">
        <f t="array" ref="AD91">MAX($D91*INDEX(AD$15:AR$81, MATCH($A91&amp;$C91, $D$15:$D$81,0),))/mill_conv</f>
        <v>0</v>
      </c>
      <c r="AE91" s="296" cm="1">
        <f t="array" ref="AE91">MAX($D91*INDEX(AE$15:AS$81, MATCH($A91&amp;$C91, $D$15:$D$81,0),))/mill_conv</f>
        <v>0</v>
      </c>
      <c r="AF91" s="296" cm="1">
        <f t="array" ref="AF91">MAX($D91*INDEX(AF$15:AT$81, MATCH($A91&amp;$C91, $D$15:$D$81,0),))/mill_conv</f>
        <v>0</v>
      </c>
      <c r="AG91" s="296" cm="1">
        <f t="array" ref="AG91">MAX($D91*INDEX(AG$15:AU$81, MATCH($A91&amp;$C91, $D$15:$D$81,0),))/mill_conv</f>
        <v>0</v>
      </c>
    </row>
    <row r="92" spans="1:33" x14ac:dyDescent="0.2">
      <c r="A92" s="196" t="str">
        <f>A16</f>
        <v>Option 1 (base case)</v>
      </c>
      <c r="B92" s="138"/>
      <c r="C92" s="196" t="s">
        <v>172</v>
      </c>
      <c r="D92" s="117">
        <f>INDEX(Data!$C$30:$C$36, MATCH(C92, Data!$B$30:$B$36,0))</f>
        <v>1</v>
      </c>
      <c r="E92" s="84"/>
      <c r="H92" s="118" t="str">
        <f>A92&amp;" risk cost"</f>
        <v>Option 1 (base case) risk cost</v>
      </c>
      <c r="I92" s="296">
        <f t="shared" ref="I92:R92" si="23">$D92*INDEX(I$15:I$81, MATCH($A92&amp;$C92, $D$15:$D$81,0))/mill_conv</f>
        <v>0.99429591492635971</v>
      </c>
      <c r="J92" s="296">
        <f t="shared" si="23"/>
        <v>1.0452790629131301</v>
      </c>
      <c r="K92" s="296">
        <f t="shared" si="23"/>
        <v>1.1048322975647333</v>
      </c>
      <c r="L92" s="296">
        <f t="shared" si="23"/>
        <v>1.165305009129278</v>
      </c>
      <c r="M92" s="296">
        <f t="shared" si="23"/>
        <v>1.2216281294944957</v>
      </c>
      <c r="N92" s="296">
        <f t="shared" si="23"/>
        <v>1.2806000437582359</v>
      </c>
      <c r="O92" s="296">
        <f t="shared" si="23"/>
        <v>1.349037248456977</v>
      </c>
      <c r="P92" s="296">
        <f t="shared" si="23"/>
        <v>1.4279814609419492</v>
      </c>
      <c r="Q92" s="296">
        <f t="shared" si="23"/>
        <v>1.4933028082123307</v>
      </c>
      <c r="R92" s="296">
        <f t="shared" si="23"/>
        <v>1.5314254405590819</v>
      </c>
      <c r="S92" s="296">
        <f t="shared" ref="S92:AG92" si="24">$D92*INDEX(S$15:S$81, MATCH($A92&amp;$C92, $D$15:$D$81,0))/mill_conv</f>
        <v>1.5699529201283962</v>
      </c>
      <c r="T92" s="296">
        <f t="shared" si="24"/>
        <v>1.6088838421142604</v>
      </c>
      <c r="U92" s="296">
        <f t="shared" si="24"/>
        <v>1.6482168352980886</v>
      </c>
      <c r="V92" s="296">
        <f t="shared" si="24"/>
        <v>1.6879505609970527</v>
      </c>
      <c r="W92" s="296">
        <f t="shared" si="24"/>
        <v>1.7280837120604617</v>
      </c>
      <c r="X92" s="296">
        <f t="shared" si="24"/>
        <v>1.7686150119114481</v>
      </c>
      <c r="Y92" s="296">
        <f t="shared" si="24"/>
        <v>1.8095432136312282</v>
      </c>
      <c r="Z92" s="296">
        <f t="shared" si="24"/>
        <v>1.8508670990835741</v>
      </c>
      <c r="AA92" s="296">
        <f t="shared" si="24"/>
        <v>1.8925854780771429</v>
      </c>
      <c r="AB92" s="296">
        <f t="shared" si="24"/>
        <v>1.9346971875635981</v>
      </c>
      <c r="AC92" s="296">
        <f t="shared" si="24"/>
        <v>1.9772010908695445</v>
      </c>
      <c r="AD92" s="296">
        <f t="shared" si="24"/>
        <v>2.0200960769603813</v>
      </c>
      <c r="AE92" s="296">
        <f t="shared" si="24"/>
        <v>2.0622622199428209</v>
      </c>
      <c r="AF92" s="296">
        <f t="shared" si="24"/>
        <v>2.1048075867153719</v>
      </c>
      <c r="AG92" s="296">
        <f t="shared" si="24"/>
        <v>2.1477311747196262</v>
      </c>
    </row>
    <row r="93" spans="1:33" ht="12" x14ac:dyDescent="0.2">
      <c r="E93" s="8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3" t="str">
        <f>I88</f>
        <v>FY27</v>
      </c>
      <c r="J97" s="293" t="str">
        <f t="shared" ref="J97:AG97" si="25">J88</f>
        <v>FY28</v>
      </c>
      <c r="K97" s="293" t="str">
        <f t="shared" si="25"/>
        <v>FY29</v>
      </c>
      <c r="L97" s="293" t="str">
        <f t="shared" si="25"/>
        <v>FY30</v>
      </c>
      <c r="M97" s="293" t="str">
        <f t="shared" si="25"/>
        <v>FY31</v>
      </c>
      <c r="N97" s="293" t="str">
        <f t="shared" si="25"/>
        <v>FY32</v>
      </c>
      <c r="O97" s="293" t="str">
        <f t="shared" si="25"/>
        <v>FY33</v>
      </c>
      <c r="P97" s="293" t="str">
        <f t="shared" si="25"/>
        <v>FY34</v>
      </c>
      <c r="Q97" s="293" t="str">
        <f t="shared" si="25"/>
        <v>FY35</v>
      </c>
      <c r="R97" s="293" t="str">
        <f t="shared" si="25"/>
        <v>FY36</v>
      </c>
      <c r="S97" s="293" t="str">
        <f t="shared" si="25"/>
        <v>FY37</v>
      </c>
      <c r="T97" s="293" t="str">
        <f t="shared" si="25"/>
        <v>FY38</v>
      </c>
      <c r="U97" s="293" t="str">
        <f t="shared" si="25"/>
        <v>FY39</v>
      </c>
      <c r="V97" s="293" t="str">
        <f t="shared" si="25"/>
        <v>FY40</v>
      </c>
      <c r="W97" s="293" t="str">
        <f t="shared" si="25"/>
        <v>FY41</v>
      </c>
      <c r="X97" s="293" t="str">
        <f t="shared" si="25"/>
        <v>FY42</v>
      </c>
      <c r="Y97" s="293" t="str">
        <f t="shared" si="25"/>
        <v>FY43</v>
      </c>
      <c r="Z97" s="293" t="str">
        <f t="shared" si="25"/>
        <v>FY44</v>
      </c>
      <c r="AA97" s="293" t="str">
        <f t="shared" si="25"/>
        <v>FY45</v>
      </c>
      <c r="AB97" s="293" t="str">
        <f t="shared" si="25"/>
        <v>FY46</v>
      </c>
      <c r="AC97" s="293" t="str">
        <f t="shared" si="25"/>
        <v>FY47</v>
      </c>
      <c r="AD97" s="293" t="str">
        <f t="shared" si="25"/>
        <v>FY48</v>
      </c>
      <c r="AE97" s="293" t="str">
        <f t="shared" si="25"/>
        <v>FY49</v>
      </c>
      <c r="AF97" s="293" t="str">
        <f t="shared" si="25"/>
        <v>FY50</v>
      </c>
      <c r="AG97" s="293" t="str">
        <f t="shared" si="25"/>
        <v>FY51</v>
      </c>
    </row>
    <row r="98" spans="1:33" x14ac:dyDescent="0.2">
      <c r="A98" s="197" t="s">
        <v>234</v>
      </c>
      <c r="B98" s="138"/>
      <c r="C98" s="195" t="s">
        <v>123</v>
      </c>
      <c r="D98" s="189">
        <f>MAX(H98:AG98)</f>
        <v>0</v>
      </c>
      <c r="E98" s="292"/>
      <c r="F98" s="117"/>
      <c r="G98" s="118"/>
      <c r="H98" s="118" t="str">
        <f>A98&amp;" "&amp;LOWER(C98)</f>
        <v>Energy at risk energy at risk (weighted)</v>
      </c>
      <c r="I98" s="118">
        <f>INDEX('Option1 (base case)'!I$14:I$87, MATCH($C98, 'Option1 (base case)'!$C$14:$C$87,0))</f>
        <v>0</v>
      </c>
      <c r="J98" s="118">
        <f>INDEX('Option1 (base case)'!J$14:J$87, MATCH($C98, 'Option1 (base case)'!$C$14:$C$87,0))</f>
        <v>0</v>
      </c>
      <c r="K98" s="118">
        <f>INDEX('Option1 (base case)'!K$14:K$87, MATCH($C98, 'Option1 (base case)'!$C$14:$C$87,0))</f>
        <v>0</v>
      </c>
      <c r="L98" s="118">
        <f>INDEX('Option1 (base case)'!L$14:L$87, MATCH($C98, 'Option1 (base case)'!$C$14:$C$87,0))</f>
        <v>0</v>
      </c>
      <c r="M98" s="118">
        <f>INDEX('Option1 (base case)'!M$14:M$87, MATCH($C98, 'Option1 (base case)'!$C$14:$C$87,0))</f>
        <v>0</v>
      </c>
      <c r="N98" s="118">
        <f>INDEX('Option1 (base case)'!N$14:N$87, MATCH($C98, 'Option1 (base case)'!$C$14:$C$87,0))</f>
        <v>0</v>
      </c>
      <c r="O98" s="118">
        <f>INDEX('Option1 (base case)'!O$14:O$87, MATCH($C98, 'Option1 (base case)'!$C$14:$C$87,0))</f>
        <v>0</v>
      </c>
      <c r="P98" s="118">
        <f>INDEX('Option1 (base case)'!P$14:P$87, MATCH($C98, 'Option1 (base case)'!$C$14:$C$87,0))</f>
        <v>0</v>
      </c>
      <c r="Q98" s="118">
        <f>INDEX('Option1 (base case)'!Q$14:Q$87, MATCH($C98, 'Option1 (base case)'!$C$14:$C$87,0))</f>
        <v>0</v>
      </c>
      <c r="R98" s="118">
        <f>INDEX('Option1 (base case)'!R$14:R$87, MATCH($C98, 'Option1 (base case)'!$C$14:$C$87,0))</f>
        <v>0</v>
      </c>
      <c r="S98" s="118">
        <f>INDEX('Option1 (base case)'!S$14:S$87, MATCH($C98, 'Option1 (base case)'!$C$14:$C$87,0))</f>
        <v>0</v>
      </c>
      <c r="T98" s="118">
        <f>INDEX('Option1 (base case)'!T$14:T$87, MATCH($C98, 'Option1 (base case)'!$C$14:$C$87,0))</f>
        <v>0</v>
      </c>
      <c r="U98" s="118">
        <f>INDEX('Option1 (base case)'!U$14:U$87, MATCH($C98, 'Option1 (base case)'!$C$14:$C$87,0))</f>
        <v>0</v>
      </c>
      <c r="V98" s="118">
        <f>INDEX('Option1 (base case)'!V$14:V$87, MATCH($C98, 'Option1 (base case)'!$C$14:$C$87,0))</f>
        <v>0</v>
      </c>
      <c r="W98" s="118">
        <f>INDEX('Option1 (base case)'!W$14:W$87, MATCH($C98, 'Option1 (base case)'!$C$14:$C$87,0))</f>
        <v>0</v>
      </c>
      <c r="X98" s="118">
        <f>INDEX('Option1 (base case)'!X$14:X$87, MATCH($C98, 'Option1 (base case)'!$C$14:$C$87,0))</f>
        <v>0</v>
      </c>
      <c r="Y98" s="118">
        <f>INDEX('Option1 (base case)'!Y$14:Y$87, MATCH($C98, 'Option1 (base case)'!$C$14:$C$87,0))</f>
        <v>0</v>
      </c>
      <c r="Z98" s="118">
        <f>INDEX('Option1 (base case)'!Z$14:Z$87, MATCH($C98, 'Option1 (base case)'!$C$14:$C$87,0))</f>
        <v>0</v>
      </c>
      <c r="AA98" s="118">
        <f>INDEX('Option1 (base case)'!AA$14:AA$87, MATCH($C98, 'Option1 (base case)'!$C$14:$C$87,0))</f>
        <v>0</v>
      </c>
      <c r="AB98" s="118">
        <f>INDEX('Option1 (base case)'!AB$14:AB$87, MATCH($C98, 'Option1 (base case)'!$C$14:$C$87,0))</f>
        <v>0</v>
      </c>
      <c r="AC98" s="118">
        <f>INDEX('Option1 (base case)'!AC$14:AC$87, MATCH($C98, 'Option1 (base case)'!$C$14:$C$87,0))</f>
        <v>0</v>
      </c>
      <c r="AD98" s="118">
        <f>INDEX('Option1 (base case)'!AD$14:AD$87, MATCH($C98, 'Option1 (base case)'!$C$14:$C$87,0))</f>
        <v>0</v>
      </c>
      <c r="AE98" s="118">
        <f>INDEX('Option1 (base case)'!AE$14:AE$87, MATCH($C98, 'Option1 (base case)'!$C$14:$C$87,0))</f>
        <v>0</v>
      </c>
      <c r="AF98" s="118">
        <f>INDEX('Option1 (base case)'!AF$14:AF$87, MATCH($C98, 'Option1 (base case)'!$C$14:$C$87,0))</f>
        <v>0</v>
      </c>
      <c r="AG98" s="118">
        <f>INDEX('Option1 (base case)'!AG$14:AG$87, MATCH($C98, 'Option1 (base case)'!$C$14:$C$87,0))</f>
        <v>0</v>
      </c>
    </row>
    <row r="99" spans="1:33" x14ac:dyDescent="0.2">
      <c r="A99" s="196" t="str">
        <f>A23</f>
        <v>Option 1 (base case)</v>
      </c>
      <c r="B99" s="138"/>
      <c r="C99" s="196" t="s">
        <v>124</v>
      </c>
      <c r="D99" s="189">
        <f>MAX(H99:AG99)</f>
        <v>1.8767329401797226</v>
      </c>
      <c r="E99" s="292"/>
      <c r="H99" s="118" t="str">
        <f>A99&amp;" risk cost"</f>
        <v>Option 1 (base case) risk cost</v>
      </c>
      <c r="I99" s="118">
        <f>INDEX('Option1 (base case)'!I$14:I$87, MATCH($C99, 'Option1 (base case)'!$C$14:$C$87,0))/10^6</f>
        <v>0.85935477503484614</v>
      </c>
      <c r="J99" s="118">
        <f>INDEX('Option1 (base case)'!J$14:J$87, MATCH($C99, 'Option1 (base case)'!$C$14:$C$87,0))/10^6</f>
        <v>0.90435173152310133</v>
      </c>
      <c r="K99" s="118">
        <f>INDEX('Option1 (base case)'!K$14:K$87, MATCH($C99, 'Option1 (base case)'!$C$14:$C$87,0))/10^6</f>
        <v>0.95703973253107022</v>
      </c>
      <c r="L99" s="118">
        <f>INDEX('Option1 (base case)'!L$14:L$87, MATCH($C99, 'Option1 (base case)'!$C$14:$C$87,0))/10^6</f>
        <v>1.0105444225448998</v>
      </c>
      <c r="M99" s="118">
        <f>INDEX('Option1 (base case)'!M$14:M$87, MATCH($C99, 'Option1 (base case)'!$C$14:$C$87,0))/10^6</f>
        <v>1.0603110715302069</v>
      </c>
      <c r="N99" s="118">
        <f>INDEX('Option1 (base case)'!N$14:N$87, MATCH($C99, 'Option1 (base case)'!$C$14:$C$87,0))/10^6</f>
        <v>1.1124483669099128</v>
      </c>
      <c r="O99" s="118">
        <f>INDEX('Option1 (base case)'!O$14:O$87, MATCH($C99, 'Option1 (base case)'!$C$14:$C$87,0))/10^6</f>
        <v>1.1730812690906434</v>
      </c>
      <c r="P99" s="118">
        <f>INDEX('Option1 (base case)'!P$14:P$87, MATCH($C99, 'Option1 (base case)'!$C$14:$C$87,0))/10^6</f>
        <v>1.2431458494889607</v>
      </c>
      <c r="Q99" s="118">
        <f>INDEX('Option1 (base case)'!Q$14:Q$87, MATCH($C99, 'Option1 (base case)'!$C$14:$C$87,0))/10^6</f>
        <v>1.3009604193666071</v>
      </c>
      <c r="R99" s="118">
        <f>INDEX('Option1 (base case)'!R$14:R$87, MATCH($C99, 'Option1 (base case)'!$C$14:$C$87,0))/10^6</f>
        <v>1.3343265341563417</v>
      </c>
      <c r="S99" s="118">
        <f>INDEX('Option1 (base case)'!S$14:S$87, MATCH($C99, 'Option1 (base case)'!$C$14:$C$87,0))/10^6</f>
        <v>1.3680472256372187</v>
      </c>
      <c r="T99" s="118">
        <f>INDEX('Option1 (base case)'!T$14:T$87, MATCH($C99, 'Option1 (base case)'!$C$14:$C$87,0))/10^6</f>
        <v>1.4021212717193927</v>
      </c>
      <c r="U99" s="118">
        <f>INDEX('Option1 (base case)'!U$14:U$87, MATCH($C99, 'Option1 (base case)'!$C$14:$C$87,0))/10^6</f>
        <v>1.4365474797425719</v>
      </c>
      <c r="V99" s="118">
        <f>INDEX('Option1 (base case)'!V$14:V$87, MATCH($C99, 'Option1 (base case)'!$C$14:$C$87,0))/10^6</f>
        <v>1.4713246855554749</v>
      </c>
      <c r="W99" s="118">
        <f>INDEX('Option1 (base case)'!W$14:W$87, MATCH($C99, 'Option1 (base case)'!$C$14:$C$87,0))/10^6</f>
        <v>1.5064517526373356</v>
      </c>
      <c r="X99" s="118">
        <f>INDEX('Option1 (base case)'!X$14:X$87, MATCH($C99, 'Option1 (base case)'!$C$14:$C$87,0))/10^6</f>
        <v>1.541927571259059</v>
      </c>
      <c r="Y99" s="118">
        <f>INDEX('Option1 (base case)'!Y$14:Y$87, MATCH($C99, 'Option1 (base case)'!$C$14:$C$87,0))/10^6</f>
        <v>1.5777510576816347</v>
      </c>
      <c r="Z99" s="118">
        <f>INDEX('Option1 (base case)'!Z$14:Z$87, MATCH($C99, 'Option1 (base case)'!$C$14:$C$87,0))/10^6</f>
        <v>1.6139211533897457</v>
      </c>
      <c r="AA99" s="118">
        <f>INDEX('Option1 (base case)'!AA$14:AA$87, MATCH($C99, 'Option1 (base case)'!$C$14:$C$87,0))/10^6</f>
        <v>1.6504368243585015</v>
      </c>
      <c r="AB99" s="118">
        <f>INDEX('Option1 (base case)'!AB$14:AB$87, MATCH($C99, 'Option1 (base case)'!$C$14:$C$87,0))/10^6</f>
        <v>1.6872970603515038</v>
      </c>
      <c r="AC99" s="118">
        <f>INDEX('Option1 (base case)'!AC$14:AC$87, MATCH($C99, 'Option1 (base case)'!$C$14:$C$87,0))/10^6</f>
        <v>1.7245008742484988</v>
      </c>
      <c r="AD99" s="118">
        <f>INDEX('Option1 (base case)'!AD$14:AD$87, MATCH($C99, 'Option1 (base case)'!$C$14:$C$87,0))/10^6</f>
        <v>1.762047301400965</v>
      </c>
      <c r="AE99" s="118">
        <f>INDEX('Option1 (base case)'!AE$14:AE$87, MATCH($C99, 'Option1 (base case)'!$C$14:$C$87,0))/10^6</f>
        <v>1.7999353990142035</v>
      </c>
      <c r="AF99" s="118">
        <f>INDEX('Option1 (base case)'!AF$14:AF$87, MATCH($C99, 'Option1 (base case)'!$C$14:$C$87,0))/10^6</f>
        <v>1.8381642455544422</v>
      </c>
      <c r="AG99" s="118">
        <f>INDEX('Option1 (base case)'!AG$14:AG$87, MATCH($C99, 'Option1 (base case)'!$C$14:$C$87,0))/10^6</f>
        <v>1.8767329401797226</v>
      </c>
    </row>
    <row r="100" spans="1:33" ht="12" x14ac:dyDescent="0.2">
      <c r="E100" s="10"/>
    </row>
    <row r="101" spans="1:33" s="294" customFormat="1" ht="12" x14ac:dyDescent="0.2"/>
    <row r="102" spans="1:33" ht="12" x14ac:dyDescent="0.2">
      <c r="E102" s="10"/>
    </row>
    <row r="103" spans="1:33" ht="12" x14ac:dyDescent="0.2">
      <c r="E103" s="10"/>
      <c r="I103" s="294"/>
    </row>
    <row r="104" spans="1:33" ht="12" x14ac:dyDescent="0.2">
      <c r="E104" s="10"/>
      <c r="H104" s="149"/>
    </row>
    <row r="105" spans="1:33" ht="12" x14ac:dyDescent="0.2">
      <c r="E105" s="10"/>
      <c r="H105" s="149"/>
    </row>
    <row r="106" spans="1:33" ht="12" x14ac:dyDescent="0.2">
      <c r="D106" s="189"/>
      <c r="E106" s="10"/>
    </row>
    <row r="107" spans="1:33" ht="12" x14ac:dyDescent="0.2">
      <c r="D107" s="189"/>
      <c r="E107" s="10"/>
    </row>
    <row r="108" spans="1:33" ht="12" x14ac:dyDescent="0.2">
      <c r="D108" s="189"/>
      <c r="E108" s="84"/>
    </row>
    <row r="109" spans="1:33" ht="12" x14ac:dyDescent="0.2">
      <c r="C109" s="123"/>
      <c r="D109" s="189"/>
      <c r="E109" s="189"/>
    </row>
    <row r="110" spans="1:33" ht="12" x14ac:dyDescent="0.2">
      <c r="D110" s="189"/>
      <c r="E110" s="84"/>
    </row>
    <row r="111" spans="1:33" ht="12" x14ac:dyDescent="0.2">
      <c r="D111" s="189"/>
      <c r="E111" s="84"/>
    </row>
    <row r="112" spans="1:33" ht="12" x14ac:dyDescent="0.2">
      <c r="D112" s="189"/>
      <c r="E112" s="84"/>
    </row>
    <row r="113" spans="4:5" ht="12" x14ac:dyDescent="0.2">
      <c r="D113" s="189"/>
      <c r="E113" s="84"/>
    </row>
    <row r="114" spans="4:5" ht="12" x14ac:dyDescent="0.2">
      <c r="D114" s="189"/>
      <c r="E114" s="84"/>
    </row>
    <row r="115" spans="4:5" ht="12" x14ac:dyDescent="0.2">
      <c r="D115" s="189"/>
      <c r="E115" s="84"/>
    </row>
    <row r="116" spans="4:5" ht="12" x14ac:dyDescent="0.2">
      <c r="D116" s="189"/>
      <c r="E116" s="84"/>
    </row>
    <row r="117" spans="4:5" ht="12" x14ac:dyDescent="0.2">
      <c r="D117" s="189"/>
      <c r="E117" s="84"/>
    </row>
    <row r="118" spans="4:5" ht="12" x14ac:dyDescent="0.2">
      <c r="D118" s="189"/>
      <c r="E118" s="84"/>
    </row>
    <row r="119" spans="4:5" ht="12" x14ac:dyDescent="0.2">
      <c r="D119" s="189"/>
      <c r="E119" s="84"/>
    </row>
    <row r="120" spans="4:5" ht="12" x14ac:dyDescent="0.2">
      <c r="D120" s="189"/>
      <c r="E120" s="84"/>
    </row>
    <row r="121" spans="4:5" ht="12" x14ac:dyDescent="0.2">
      <c r="D121" s="189"/>
      <c r="E121" s="84"/>
    </row>
    <row r="122" spans="4:5" ht="12" x14ac:dyDescent="0.2">
      <c r="D122" s="189"/>
      <c r="E122" s="84"/>
    </row>
    <row r="123" spans="4:5" ht="12" x14ac:dyDescent="0.2">
      <c r="D123" s="189"/>
      <c r="E123" s="84"/>
    </row>
    <row r="124" spans="4:5" ht="12" x14ac:dyDescent="0.2">
      <c r="D124" s="189"/>
      <c r="E124" s="84"/>
    </row>
    <row r="125" spans="4:5" ht="12" x14ac:dyDescent="0.2">
      <c r="D125" s="189"/>
      <c r="E125" s="84"/>
    </row>
    <row r="126" spans="4:5" ht="12" x14ac:dyDescent="0.2">
      <c r="D126" s="189"/>
      <c r="E126" s="84"/>
    </row>
    <row r="127" spans="4:5" ht="12" x14ac:dyDescent="0.2">
      <c r="D127" s="189"/>
      <c r="E127" s="84"/>
    </row>
    <row r="128" spans="4:5" ht="12" x14ac:dyDescent="0.2">
      <c r="D128" s="189"/>
      <c r="E128" s="84"/>
    </row>
    <row r="129" spans="4:5" ht="12" x14ac:dyDescent="0.2">
      <c r="D129" s="189"/>
      <c r="E129" s="84"/>
    </row>
    <row r="130" spans="4:5" ht="12" x14ac:dyDescent="0.2">
      <c r="D130" s="189"/>
      <c r="E130" s="84"/>
    </row>
    <row r="131" spans="4:5" ht="12" x14ac:dyDescent="0.2">
      <c r="D131" s="189"/>
      <c r="E131" s="84"/>
    </row>
    <row r="132" spans="4:5" ht="12" x14ac:dyDescent="0.2">
      <c r="D132" s="189"/>
      <c r="E132" s="84"/>
    </row>
    <row r="133" spans="4:5" ht="12" x14ac:dyDescent="0.2">
      <c r="D133" s="189"/>
      <c r="E133" s="84"/>
    </row>
    <row r="134" spans="4:5" ht="12" x14ac:dyDescent="0.2">
      <c r="D134" s="189"/>
      <c r="E134" s="84"/>
    </row>
    <row r="135" spans="4:5" ht="12" x14ac:dyDescent="0.2">
      <c r="D135" s="189"/>
      <c r="E135" s="84"/>
    </row>
    <row r="136" spans="4:5" ht="12" x14ac:dyDescent="0.2">
      <c r="D136" s="189"/>
      <c r="E136" s="84"/>
    </row>
    <row r="137" spans="4:5" ht="12" x14ac:dyDescent="0.2">
      <c r="D137" s="189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NC transformer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2" t="s">
        <v>222</v>
      </c>
      <c r="B3" s="5"/>
      <c r="D3" s="34"/>
      <c r="E3" s="34"/>
      <c r="F3" s="34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3" s="2" customFormat="1" ht="6.75" customHeight="1" x14ac:dyDescent="0.2">
      <c r="A4" s="114"/>
      <c r="B4" s="114"/>
      <c r="D4" s="115"/>
      <c r="E4" s="115"/>
      <c r="F4" s="11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3" s="2" customFormat="1" hidden="1" outlineLevel="1" x14ac:dyDescent="0.2">
      <c r="A5" s="115" t="s">
        <v>194</v>
      </c>
      <c r="B5" s="115"/>
      <c r="D5" s="116"/>
      <c r="E5" s="115"/>
      <c r="F5" s="115"/>
      <c r="G5" s="100"/>
      <c r="H5" s="187">
        <f>Consol!H5</f>
        <v>0</v>
      </c>
      <c r="I5" s="187">
        <f>Consol!I5</f>
        <v>0.98294637436598087</v>
      </c>
      <c r="J5" s="187">
        <f>Consol!J5</f>
        <v>0.94970664189949849</v>
      </c>
      <c r="K5" s="187">
        <f>Consol!K5</f>
        <v>0.91759095835700344</v>
      </c>
      <c r="L5" s="187">
        <f>Consol!L5</f>
        <v>0.88656131242222558</v>
      </c>
      <c r="M5" s="187">
        <f>Consol!M5</f>
        <v>0.85658097818572532</v>
      </c>
      <c r="N5" s="187">
        <f>Consol!N5</f>
        <v>0.8276144716770294</v>
      </c>
      <c r="O5" s="187">
        <f>Consol!O5</f>
        <v>0.79962750886669509</v>
      </c>
      <c r="P5" s="187">
        <f>Consol!P5</f>
        <v>0.77258696508859437</v>
      </c>
      <c r="Q5" s="187">
        <f>Consol!Q5</f>
        <v>0.74646083583439071</v>
      </c>
      <c r="R5" s="187">
        <f>Consol!R5</f>
        <v>0.72121819887380756</v>
      </c>
      <c r="S5" s="187">
        <f>Consol!S5</f>
        <v>0.69682917765585273</v>
      </c>
      <c r="T5" s="187">
        <f>Consol!T5</f>
        <v>0.67326490594768384</v>
      </c>
      <c r="U5" s="187">
        <f>Consol!U5</f>
        <v>0.6504974936692598</v>
      </c>
      <c r="V5" s="187">
        <f>Consol!V5</f>
        <v>0.62849999388334288</v>
      </c>
      <c r="W5" s="187">
        <f>Consol!W5</f>
        <v>0.60724637090178057</v>
      </c>
      <c r="X5" s="187">
        <f>Consol!X5</f>
        <v>0.58671146947031949</v>
      </c>
      <c r="Y5" s="187">
        <f>Consol!Y5</f>
        <v>0.56687098499547783</v>
      </c>
      <c r="Z5" s="187">
        <f>Consol!Z5</f>
        <v>0.54770143477823952</v>
      </c>
      <c r="AA5" s="187">
        <f>Consol!AA5</f>
        <v>0.52918013022052135</v>
      </c>
      <c r="AB5" s="187">
        <f>Consol!AB5</f>
        <v>0.5112851499715183</v>
      </c>
      <c r="AC5" s="187">
        <f>Consol!AC5</f>
        <v>0.4939953139821433</v>
      </c>
      <c r="AD5" s="187">
        <f>Consol!AD5</f>
        <v>0.47729015843685346</v>
      </c>
      <c r="AE5" s="187">
        <f>Consol!AE5</f>
        <v>0.46114991153319179</v>
      </c>
      <c r="AF5" s="187">
        <f>Consol!AF5</f>
        <v>0.4455554700803786</v>
      </c>
      <c r="AG5" s="187">
        <f>Consol!AG5</f>
        <v>0.43048837688925473</v>
      </c>
    </row>
    <row r="6" spans="1:33" s="2" customFormat="1" hidden="1" outlineLevel="1" x14ac:dyDescent="0.2">
      <c r="A6" s="188" t="str">
        <f>'Option1 (base case)'!A6</f>
        <v>Count</v>
      </c>
      <c r="B6" s="115"/>
      <c r="D6" s="116"/>
      <c r="E6" s="115"/>
      <c r="F6" s="115"/>
      <c r="G6" s="100"/>
      <c r="H6" s="188">
        <f>Consol!H6</f>
        <v>0</v>
      </c>
      <c r="I6" s="188">
        <f>Consol!I6</f>
        <v>1</v>
      </c>
      <c r="J6" s="188">
        <f>Consol!J6</f>
        <v>2</v>
      </c>
      <c r="K6" s="188">
        <f>Consol!K6</f>
        <v>3</v>
      </c>
      <c r="L6" s="188">
        <f>Consol!L6</f>
        <v>4</v>
      </c>
      <c r="M6" s="188">
        <f>Consol!M6</f>
        <v>5</v>
      </c>
      <c r="N6" s="188">
        <f>Consol!N6</f>
        <v>6</v>
      </c>
      <c r="O6" s="188">
        <f>Consol!O6</f>
        <v>7</v>
      </c>
      <c r="P6" s="188">
        <f>Consol!P6</f>
        <v>8</v>
      </c>
      <c r="Q6" s="188">
        <f>Consol!Q6</f>
        <v>9</v>
      </c>
      <c r="R6" s="188">
        <f>Consol!R6</f>
        <v>10</v>
      </c>
      <c r="S6" s="188">
        <f>Consol!S6</f>
        <v>11</v>
      </c>
      <c r="T6" s="188">
        <f>Consol!T6</f>
        <v>12</v>
      </c>
      <c r="U6" s="188">
        <f>Consol!U6</f>
        <v>13</v>
      </c>
      <c r="V6" s="188">
        <f>Consol!V6</f>
        <v>14</v>
      </c>
      <c r="W6" s="188">
        <f>Consol!W6</f>
        <v>15</v>
      </c>
      <c r="X6" s="188">
        <f>Consol!X6</f>
        <v>16</v>
      </c>
      <c r="Y6" s="188">
        <f>Consol!Y6</f>
        <v>17</v>
      </c>
      <c r="Z6" s="188">
        <f>Consol!Z6</f>
        <v>18</v>
      </c>
      <c r="AA6" s="188">
        <f>Consol!AA6</f>
        <v>19</v>
      </c>
      <c r="AB6" s="188">
        <f>Consol!AB6</f>
        <v>20</v>
      </c>
      <c r="AC6" s="188">
        <f>Consol!AC6</f>
        <v>21</v>
      </c>
      <c r="AD6" s="188">
        <f>Consol!AD6</f>
        <v>22</v>
      </c>
      <c r="AE6" s="188">
        <f>Consol!AE6</f>
        <v>23</v>
      </c>
      <c r="AF6" s="188">
        <f>Consol!AF6</f>
        <v>24</v>
      </c>
      <c r="AG6" s="188">
        <f>Consol!AG6</f>
        <v>25</v>
      </c>
    </row>
    <row r="7" spans="1:33" s="2" customFormat="1" hidden="1" outlineLevel="1" x14ac:dyDescent="0.2">
      <c r="A7" s="115" t="s">
        <v>195</v>
      </c>
      <c r="B7" s="115"/>
      <c r="D7" s="116"/>
      <c r="E7" s="115"/>
      <c r="F7" s="115"/>
      <c r="G7" s="100"/>
      <c r="H7" s="254" t="b">
        <f>Consol!H7</f>
        <v>1</v>
      </c>
      <c r="I7" s="254" t="b">
        <f>Consol!I7</f>
        <v>1</v>
      </c>
      <c r="J7" s="254" t="b">
        <f>Consol!J7</f>
        <v>1</v>
      </c>
      <c r="K7" s="254" t="b">
        <f>Consol!K7</f>
        <v>1</v>
      </c>
      <c r="L7" s="254" t="b">
        <f>Consol!L7</f>
        <v>1</v>
      </c>
      <c r="M7" s="254" t="b">
        <f>Consol!M7</f>
        <v>1</v>
      </c>
      <c r="N7" s="254" t="b">
        <f>Consol!N7</f>
        <v>1</v>
      </c>
      <c r="O7" s="254" t="b">
        <f>Consol!O7</f>
        <v>1</v>
      </c>
      <c r="P7" s="254" t="b">
        <f>Consol!P7</f>
        <v>1</v>
      </c>
      <c r="Q7" s="254" t="b">
        <f>Consol!Q7</f>
        <v>1</v>
      </c>
      <c r="R7" s="254" t="b">
        <f>Consol!R7</f>
        <v>1</v>
      </c>
      <c r="S7" s="254" t="b">
        <f>Consol!S7</f>
        <v>1</v>
      </c>
      <c r="T7" s="254" t="b">
        <f>Consol!T7</f>
        <v>1</v>
      </c>
      <c r="U7" s="254" t="b">
        <f>Consol!U7</f>
        <v>1</v>
      </c>
      <c r="V7" s="254" t="b">
        <f>Consol!V7</f>
        <v>1</v>
      </c>
      <c r="W7" s="254" t="b">
        <f>Consol!W7</f>
        <v>1</v>
      </c>
      <c r="X7" s="254" t="b">
        <f>Consol!X7</f>
        <v>1</v>
      </c>
      <c r="Y7" s="254" t="b">
        <f>Consol!Y7</f>
        <v>1</v>
      </c>
      <c r="Z7" s="254" t="b">
        <f>Consol!Z7</f>
        <v>1</v>
      </c>
      <c r="AA7" s="254" t="b">
        <f>Consol!AA7</f>
        <v>1</v>
      </c>
      <c r="AB7" s="254" t="b">
        <f>Consol!AB7</f>
        <v>1</v>
      </c>
      <c r="AC7" s="254" t="b">
        <f>Consol!AC7</f>
        <v>0</v>
      </c>
      <c r="AD7" s="254" t="b">
        <f>Consol!AD7</f>
        <v>0</v>
      </c>
      <c r="AE7" s="254" t="b">
        <f>Consol!AE7</f>
        <v>0</v>
      </c>
      <c r="AF7" s="254" t="b">
        <f>Consol!AF7</f>
        <v>0</v>
      </c>
      <c r="AG7" s="254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7"/>
      <c r="E10" s="117"/>
      <c r="G10" s="220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3" s="2" customFormat="1" ht="15" x14ac:dyDescent="0.2">
      <c r="A11" s="119"/>
      <c r="B11" s="119"/>
      <c r="C11" s="119"/>
      <c r="D11" s="120"/>
      <c r="E11" s="120"/>
      <c r="F11" s="70" t="s">
        <v>153</v>
      </c>
      <c r="G11" s="221"/>
      <c r="H11" s="121" t="str" cm="1">
        <f t="array" ref="H11">IF(H6=$D$4,UPPER($A$4),IF(H6=end,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3" s="7" customFormat="1" x14ac:dyDescent="0.2">
      <c r="A12" s="244"/>
      <c r="B12" s="244"/>
      <c r="C12" s="244"/>
      <c r="D12" s="244"/>
      <c r="E12" s="244"/>
      <c r="F12" s="244"/>
      <c r="G12" s="24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998116.0824566565</v>
      </c>
      <c r="AA12" s="31">
        <f>Consol!AB36</f>
        <v>1008370.7648836272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5"/>
    </row>
    <row r="13" spans="1:33" s="7" customFormat="1" x14ac:dyDescent="0.2">
      <c r="A13" s="244"/>
      <c r="B13" s="244"/>
      <c r="C13" s="244"/>
      <c r="D13" s="244"/>
      <c r="E13" s="244"/>
      <c r="F13" s="244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spans="1:33" s="7" customFormat="1" x14ac:dyDescent="0.2">
      <c r="A14" s="252" t="s">
        <v>142</v>
      </c>
      <c r="B14" s="252" t="s">
        <v>119</v>
      </c>
      <c r="C14" s="252" t="s">
        <v>188</v>
      </c>
      <c r="D14" s="252" t="str">
        <f>A14&amp;B14</f>
        <v>OPTION 1 (base case)NPV</v>
      </c>
      <c r="E14" s="253"/>
      <c r="F14" s="31">
        <f>SUMPRODUCT($H14:$AG14, $H$5:$AG$5)</f>
        <v>0</v>
      </c>
      <c r="G14" s="245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4"/>
      <c r="B15" s="244"/>
      <c r="C15" s="244"/>
      <c r="D15" s="244"/>
      <c r="E15" s="244"/>
      <c r="F15" s="244"/>
      <c r="G15" s="24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2" t="s">
        <v>142</v>
      </c>
      <c r="B16" s="252" t="str">
        <f>'Option1 (base case)'!A110</f>
        <v>sens1</v>
      </c>
      <c r="C16" s="252" t="str">
        <f>'Option1 (base case)'!C110</f>
        <v>Capex 10% higher</v>
      </c>
      <c r="D16" s="252" t="str">
        <f t="shared" ref="D16:D23" si="0">A16&amp;B16</f>
        <v>OPTION 1 (base case)sens1</v>
      </c>
      <c r="E16" s="253"/>
      <c r="F16" s="31">
        <f>SUMPRODUCT($H16:$AG16, $H$5:$AG$5)</f>
        <v>0</v>
      </c>
      <c r="G16" s="245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2" t="s">
        <v>142</v>
      </c>
      <c r="B17" s="252" t="str">
        <f>'Option1 (base case)'!A111</f>
        <v>sens2</v>
      </c>
      <c r="C17" s="252" t="str">
        <f>'Option1 (base case)'!C111</f>
        <v>Capex 10% lower</v>
      </c>
      <c r="D17" s="252" t="str">
        <f t="shared" si="0"/>
        <v>OPTION 1 (base case)sens2</v>
      </c>
      <c r="E17" s="253"/>
      <c r="F17" s="31">
        <f t="shared" ref="F17:F23" si="1">SUMPRODUCT($H17:$AG17, $H$5:$AG$5)</f>
        <v>0</v>
      </c>
      <c r="G17" s="252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2" t="s">
        <v>142</v>
      </c>
      <c r="B18" s="252" t="str">
        <f>'Option1 (base case)'!A112</f>
        <v>sens3</v>
      </c>
      <c r="C18" s="252" t="str">
        <f>'Option1 (base case)'!C112</f>
        <v>Total benefits 10% higher</v>
      </c>
      <c r="D18" s="252" t="str">
        <f t="shared" si="0"/>
        <v>OPTION 1 (base case)sens3</v>
      </c>
      <c r="E18" s="253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2" t="s">
        <v>142</v>
      </c>
      <c r="B19" s="252" t="str">
        <f>'Option1 (base case)'!A113</f>
        <v>sens4</v>
      </c>
      <c r="C19" s="252" t="str">
        <f>'Option1 (base case)'!C113</f>
        <v>Total benefits 10% lower</v>
      </c>
      <c r="D19" s="252" t="str">
        <f t="shared" si="0"/>
        <v>OPTION 1 (base case)sens4</v>
      </c>
      <c r="E19" s="253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2" t="s">
        <v>142</v>
      </c>
      <c r="B20" s="252" t="str">
        <f>'Option1 (base case)'!A114</f>
        <v>sens5</v>
      </c>
      <c r="C20" s="252" t="str">
        <f>'Option1 (base case)'!C114</f>
        <v>Capex 10% higher &amp; Total benefits 10% lower</v>
      </c>
      <c r="D20" s="252" t="str">
        <f t="shared" si="0"/>
        <v>OPTION 1 (base case)sens5</v>
      </c>
      <c r="E20" s="253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2" t="s">
        <v>142</v>
      </c>
      <c r="B21" s="252" t="str">
        <f>'Option1 (base case)'!A115</f>
        <v>sens</v>
      </c>
      <c r="C21" s="252">
        <f>'Option1 (base case)'!C115</f>
        <v>0</v>
      </c>
      <c r="D21" s="252" t="str">
        <f t="shared" si="0"/>
        <v>OPTION 1 (base case)sens</v>
      </c>
      <c r="E21" s="253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2" t="s">
        <v>142</v>
      </c>
      <c r="B22" s="252" t="str">
        <f>'Option1 (base case)'!A116</f>
        <v>sens</v>
      </c>
      <c r="C22" s="252">
        <f>'Option1 (base case)'!C116</f>
        <v>0</v>
      </c>
      <c r="D22" s="252" t="str">
        <f t="shared" si="0"/>
        <v>OPTION 1 (base case)sens</v>
      </c>
      <c r="E22" s="253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2" t="s">
        <v>142</v>
      </c>
      <c r="B23" s="252" t="str">
        <f>'Option1 (base case)'!A117</f>
        <v>sens</v>
      </c>
      <c r="C23" s="252">
        <f>'Option1 (base case)'!C117</f>
        <v>0</v>
      </c>
      <c r="D23" s="252" t="str">
        <f t="shared" si="0"/>
        <v>OPTION 1 (base case)sens</v>
      </c>
      <c r="E23" s="253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4"/>
      <c r="B24" s="244"/>
      <c r="C24" s="244"/>
      <c r="D24" s="244"/>
      <c r="E24" s="244"/>
      <c r="F24" s="244"/>
      <c r="G24" s="245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4"/>
      <c r="B25" s="244"/>
      <c r="C25" s="244"/>
      <c r="D25" s="244"/>
      <c r="E25" s="244"/>
      <c r="F25" s="244"/>
      <c r="G25" s="245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4"/>
      <c r="B26" s="244"/>
      <c r="C26" s="244"/>
      <c r="D26" s="244"/>
      <c r="E26" s="244"/>
      <c r="F26" s="244"/>
      <c r="G26" s="245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4"/>
      <c r="B27" s="244"/>
      <c r="C27" s="244"/>
      <c r="D27" s="244"/>
      <c r="E27" s="244"/>
      <c r="F27" s="244"/>
      <c r="G27" s="245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2" t="s">
        <v>131</v>
      </c>
      <c r="B28" s="252" t="s">
        <v>119</v>
      </c>
      <c r="C28" s="252" t="s">
        <v>188</v>
      </c>
      <c r="D28" s="252" t="str">
        <f>A28&amp;B28</f>
        <v>Option 2NPV</v>
      </c>
      <c r="E28" s="253"/>
      <c r="F28" s="31">
        <f>SUMPRODUCT($H28:$AG28, $H$5:$AG$5)</f>
        <v>10761259.693042705</v>
      </c>
      <c r="G28" s="245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-240388.03748188337</v>
      </c>
      <c r="K28" s="31">
        <f>(INDEX(Option2!K$106:K$117, MATCH($D28, Option2!$G$106:$G$117,0)))*conv_2026*K$7</f>
        <v>694195.30869093363</v>
      </c>
      <c r="L28" s="31">
        <f>(INDEX(Option2!L$106:L$117, MATCH($D28, Option2!$G$106:$G$117,0)))*conv_2026*L$7</f>
        <v>725925.501976814</v>
      </c>
      <c r="M28" s="31">
        <f>(INDEX(Option2!M$106:M$117, MATCH($D28, Option2!$G$106:$G$117,0)))*conv_2026*M$7</f>
        <v>753866.41228007583</v>
      </c>
      <c r="N28" s="31">
        <f>(INDEX(Option2!N$106:N$117, MATCH($D28, Option2!$G$106:$G$117,0)))*conv_2026*N$7</f>
        <v>783867.74487466516</v>
      </c>
      <c r="O28" s="31">
        <f>(INDEX(Option2!O$106:O$117, MATCH($D28, Option2!$G$106:$G$117,0)))*conv_2026*O$7</f>
        <v>821626.90003626002</v>
      </c>
      <c r="P28" s="31">
        <f>(INDEX(Option2!P$106:P$117, MATCH($D28, Option2!$G$106:$G$117,0)))*conv_2026*P$7</f>
        <v>867483.86807047366</v>
      </c>
      <c r="Q28" s="31">
        <f>(INDEX(Option2!Q$106:Q$117, MATCH($D28, Option2!$G$106:$G$117,0)))*conv_2026*Q$7</f>
        <v>900316.19525754114</v>
      </c>
      <c r="R28" s="31">
        <f>(INDEX(Option2!R$106:R$117, MATCH($D28, Option2!$G$106:$G$117,0)))*conv_2026*R$7</f>
        <v>909417.11143147969</v>
      </c>
      <c r="S28" s="31">
        <f>(INDEX(Option2!S$106:S$117, MATCH($D28, Option2!$G$106:$G$117,0)))*conv_2026*S$7</f>
        <v>918750.44024374743</v>
      </c>
      <c r="T28" s="31">
        <f>(INDEX(Option2!T$106:T$117, MATCH($D28, Option2!$G$106:$G$117,0)))*conv_2026*T$7</f>
        <v>928272.38715949387</v>
      </c>
      <c r="U28" s="31">
        <f>(INDEX(Option2!U$106:U$117, MATCH($D28, Option2!$G$106:$G$117,0)))*conv_2026*U$7</f>
        <v>937949.54392324656</v>
      </c>
      <c r="V28" s="31">
        <f>(INDEX(Option2!V$106:V$117, MATCH($D28, Option2!$G$106:$G$117,0)))*conv_2026*V$7</f>
        <v>947755.80324066256</v>
      </c>
      <c r="W28" s="31">
        <f>(INDEX(Option2!W$106:W$117, MATCH($D28, Option2!$G$106:$G$117,0)))*conv_2026*W$7</f>
        <v>957670.36117153114</v>
      </c>
      <c r="X28" s="31">
        <f>(INDEX(Option2!X$106:X$117, MATCH($D28, Option2!$G$106:$G$117,0)))*conv_2026*X$7</f>
        <v>967676.37087101617</v>
      </c>
      <c r="Y28" s="31">
        <f>(INDEX(Option2!Y$106:Y$117, MATCH($D28, Option2!$G$106:$G$117,0)))*conv_2026*Y$7</f>
        <v>977760.00484559522</v>
      </c>
      <c r="Z28" s="31">
        <f>(INDEX(Option2!Z$106:Z$117, MATCH($D28, Option2!$G$106:$G$117,0)))*conv_2026*Z$7</f>
        <v>987909.78343123698</v>
      </c>
      <c r="AA28" s="31">
        <f>(INDEX(Option2!AA$106:AA$117, MATCH($D28, Option2!$G$106:$G$117,0)))*conv_2026*AA$7</f>
        <v>998116.08245665673</v>
      </c>
      <c r="AB28" s="31">
        <f>(INDEX(Option2!AB$106:AB$117, MATCH($D28, Option2!$G$106:$G$117,0)))*conv_2026*AB$7</f>
        <v>1008370.7648836273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4"/>
      <c r="B29" s="244"/>
      <c r="C29" s="244"/>
      <c r="D29" s="244"/>
      <c r="E29" s="244"/>
      <c r="F29" s="244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spans="1:35" s="7" customFormat="1" x14ac:dyDescent="0.2">
      <c r="A30" s="252" t="s">
        <v>131</v>
      </c>
      <c r="B30" s="252" t="str">
        <f>Option2!A110</f>
        <v>sens1</v>
      </c>
      <c r="C30" s="252" t="str">
        <f>Option2!C110</f>
        <v>Capex 10% higher</v>
      </c>
      <c r="D30" s="252" t="str">
        <f t="shared" ref="D30:D37" si="2">A30&amp;B30</f>
        <v>Option 2sens1</v>
      </c>
      <c r="E30" s="253"/>
      <c r="F30" s="31">
        <f>SUMPRODUCT($H30:$AG30, $H$5:$AG$5)</f>
        <v>10286752.958454961</v>
      </c>
      <c r="G30" s="245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-264426.84123007173</v>
      </c>
      <c r="K30" s="31">
        <f>IF($B30=0,0, (INDEX(Option2!K$106:K$117, MATCH($D30, Option2!$G$106:$G$117,0)))*conv_2026*K$7)</f>
        <v>658137.10306865105</v>
      </c>
      <c r="L30" s="31">
        <f>IF($B30=0,0, (INDEX(Option2!L$106:L$117, MATCH($D30, Option2!$G$106:$G$117,0)))*conv_2026*L$7)</f>
        <v>689867.29635453143</v>
      </c>
      <c r="M30" s="31">
        <f>IF($B30=0,0, (INDEX(Option2!M$106:M$117, MATCH($D30, Option2!$G$106:$G$117,0)))*conv_2026*M$7)</f>
        <v>717808.20665779326</v>
      </c>
      <c r="N30" s="31">
        <f>IF($B30=0,0, (INDEX(Option2!N$106:N$117, MATCH($D30, Option2!$G$106:$G$117,0)))*conv_2026*N$7)</f>
        <v>747809.5392523827</v>
      </c>
      <c r="O30" s="31">
        <f>IF($B30=0,0, (INDEX(Option2!O$106:O$117, MATCH($D30, Option2!$G$106:$G$117,0)))*conv_2026*O$7)</f>
        <v>785568.69441397744</v>
      </c>
      <c r="P30" s="31">
        <f>IF($B30=0,0, (INDEX(Option2!P$106:P$117, MATCH($D30, Option2!$G$106:$G$117,0)))*conv_2026*P$7)</f>
        <v>831425.66244819108</v>
      </c>
      <c r="Q30" s="31">
        <f>IF($B30=0,0, (INDEX(Option2!Q$106:Q$117, MATCH($D30, Option2!$G$106:$G$117,0)))*conv_2026*Q$7)</f>
        <v>864257.98963525856</v>
      </c>
      <c r="R30" s="31">
        <f>IF($B30=0,0, (INDEX(Option2!R$106:R$117, MATCH($D30, Option2!$G$106:$G$117,0)))*conv_2026*R$7)</f>
        <v>873358.90580919711</v>
      </c>
      <c r="S30" s="31">
        <f>IF($B30=0,0, (INDEX(Option2!S$106:S$117, MATCH($D30, Option2!$G$106:$G$117,0)))*conv_2026*S$7)</f>
        <v>882692.23462146486</v>
      </c>
      <c r="T30" s="31">
        <f>IF($B30=0,0, (INDEX(Option2!T$106:T$117, MATCH($D30, Option2!$G$106:$G$117,0)))*conv_2026*T$7)</f>
        <v>892214.18153721141</v>
      </c>
      <c r="U30" s="31">
        <f>IF($B30=0,0, (INDEX(Option2!U$106:U$117, MATCH($D30, Option2!$G$106:$G$117,0)))*conv_2026*U$7)</f>
        <v>901891.3383009641</v>
      </c>
      <c r="V30" s="31">
        <f>IF($B30=0,0, (INDEX(Option2!V$106:V$117, MATCH($D30, Option2!$G$106:$G$117,0)))*conv_2026*V$7)</f>
        <v>911697.5976183801</v>
      </c>
      <c r="W30" s="31">
        <f>IF($B30=0,0, (INDEX(Option2!W$106:W$117, MATCH($D30, Option2!$G$106:$G$117,0)))*conv_2026*W$7)</f>
        <v>921612.15554924868</v>
      </c>
      <c r="X30" s="31">
        <f>IF($B30=0,0, (INDEX(Option2!X$106:X$117, MATCH($D30, Option2!$G$106:$G$117,0)))*conv_2026*X$7)</f>
        <v>931618.16524873371</v>
      </c>
      <c r="Y30" s="31">
        <f>IF($B30=0,0, (INDEX(Option2!Y$106:Y$117, MATCH($D30, Option2!$G$106:$G$117,0)))*conv_2026*Y$7)</f>
        <v>941701.79922331264</v>
      </c>
      <c r="Z30" s="31">
        <f>IF($B30=0,0, (INDEX(Option2!Z$106:Z$117, MATCH($D30, Option2!$G$106:$G$117,0)))*conv_2026*Z$7)</f>
        <v>951851.5778089544</v>
      </c>
      <c r="AA30" s="31">
        <f>IF($B30=0,0, (INDEX(Option2!AA$106:AA$117, MATCH($D30, Option2!$G$106:$G$117,0)))*conv_2026*AA$7)</f>
        <v>962057.87683437415</v>
      </c>
      <c r="AB30" s="31">
        <f>IF($B30=0,0, (INDEX(Option2!AB$106:AB$117, MATCH($D30, Option2!$G$106:$G$117,0)))*conv_2026*AB$7)</f>
        <v>972312.55926134484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2" t="s">
        <v>131</v>
      </c>
      <c r="B31" s="252" t="str">
        <f>Option2!A111</f>
        <v>sens2</v>
      </c>
      <c r="C31" s="252" t="str">
        <f>Option2!C111</f>
        <v>Capex 10% lower</v>
      </c>
      <c r="D31" s="252" t="str">
        <f t="shared" si="2"/>
        <v>Option 2sens2</v>
      </c>
      <c r="E31" s="253"/>
      <c r="F31" s="31">
        <f t="shared" ref="F31:F37" si="3">SUMPRODUCT($H31:$AG31, $H$5:$AG$5)</f>
        <v>11235766.427630449</v>
      </c>
      <c r="G31" s="252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-216349.23373369503</v>
      </c>
      <c r="K31" s="31">
        <f>IF($B31=0,0, (INDEX(Option2!K$106:K$117, MATCH($D31, Option2!$G$106:$G$117,0)))*conv_2026*K$7)</f>
        <v>730253.5143132162</v>
      </c>
      <c r="L31" s="31">
        <f>IF($B31=0,0, (INDEX(Option2!L$106:L$117, MATCH($D31, Option2!$G$106:$G$117,0)))*conv_2026*L$7)</f>
        <v>761983.70759909658</v>
      </c>
      <c r="M31" s="31">
        <f>IF($B31=0,0, (INDEX(Option2!M$106:M$117, MATCH($D31, Option2!$G$106:$G$117,0)))*conv_2026*M$7)</f>
        <v>789924.6179023583</v>
      </c>
      <c r="N31" s="31">
        <f>IF($B31=0,0, (INDEX(Option2!N$106:N$117, MATCH($D31, Option2!$G$106:$G$117,0)))*conv_2026*N$7)</f>
        <v>819925.95049694774</v>
      </c>
      <c r="O31" s="31">
        <f>IF($B31=0,0, (INDEX(Option2!O$106:O$117, MATCH($D31, Option2!$G$106:$G$117,0)))*conv_2026*O$7)</f>
        <v>857685.1056585426</v>
      </c>
      <c r="P31" s="31">
        <f>IF($B31=0,0, (INDEX(Option2!P$106:P$117, MATCH($D31, Option2!$G$106:$G$117,0)))*conv_2026*P$7)</f>
        <v>903542.07369275612</v>
      </c>
      <c r="Q31" s="31">
        <f>IF($B31=0,0, (INDEX(Option2!Q$106:Q$117, MATCH($D31, Option2!$G$106:$G$117,0)))*conv_2026*Q$7)</f>
        <v>936374.40087982372</v>
      </c>
      <c r="R31" s="31">
        <f>IF($B31=0,0, (INDEX(Option2!R$106:R$117, MATCH($D31, Option2!$G$106:$G$117,0)))*conv_2026*R$7)</f>
        <v>945475.31705376215</v>
      </c>
      <c r="S31" s="31">
        <f>IF($B31=0,0, (INDEX(Option2!S$106:S$117, MATCH($D31, Option2!$G$106:$G$117,0)))*conv_2026*S$7)</f>
        <v>954808.64586603001</v>
      </c>
      <c r="T31" s="31">
        <f>IF($B31=0,0, (INDEX(Option2!T$106:T$117, MATCH($D31, Option2!$G$106:$G$117,0)))*conv_2026*T$7)</f>
        <v>964330.59278177645</v>
      </c>
      <c r="U31" s="31">
        <f>IF($B31=0,0, (INDEX(Option2!U$106:U$117, MATCH($D31, Option2!$G$106:$G$117,0)))*conv_2026*U$7)</f>
        <v>974007.74954552914</v>
      </c>
      <c r="V31" s="31">
        <f>IF($B31=0,0, (INDEX(Option2!V$106:V$117, MATCH($D31, Option2!$G$106:$G$117,0)))*conv_2026*V$7)</f>
        <v>983814.00886294513</v>
      </c>
      <c r="W31" s="31">
        <f>IF($B31=0,0, (INDEX(Option2!W$106:W$117, MATCH($D31, Option2!$G$106:$G$117,0)))*conv_2026*W$7)</f>
        <v>993728.56679381372</v>
      </c>
      <c r="X31" s="31">
        <f>IF($B31=0,0, (INDEX(Option2!X$106:X$117, MATCH($D31, Option2!$G$106:$G$117,0)))*conv_2026*X$7)</f>
        <v>1003734.5764932988</v>
      </c>
      <c r="Y31" s="31">
        <f>IF($B31=0,0, (INDEX(Option2!Y$106:Y$117, MATCH($D31, Option2!$G$106:$G$117,0)))*conv_2026*Y$7)</f>
        <v>1013818.2104678778</v>
      </c>
      <c r="Z31" s="31">
        <f>IF($B31=0,0, (INDEX(Option2!Z$106:Z$117, MATCH($D31, Option2!$G$106:$G$117,0)))*conv_2026*Z$7)</f>
        <v>1023967.9890535194</v>
      </c>
      <c r="AA31" s="31">
        <f>IF($B31=0,0, (INDEX(Option2!AA$106:AA$117, MATCH($D31, Option2!$G$106:$G$117,0)))*conv_2026*AA$7)</f>
        <v>1034174.2880789392</v>
      </c>
      <c r="AB31" s="31">
        <f>IF($B31=0,0, (INDEX(Option2!AB$106:AB$117, MATCH($D31, Option2!$G$106:$G$117,0)))*conv_2026*AB$7)</f>
        <v>1044428.9705059099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2" t="s">
        <v>131</v>
      </c>
      <c r="B32" s="252" t="str">
        <f>Option2!A112</f>
        <v>sens3</v>
      </c>
      <c r="C32" s="252" t="str">
        <f>Option2!C112</f>
        <v>Total benefits 10% higher</v>
      </c>
      <c r="D32" s="252" t="str">
        <f t="shared" si="2"/>
        <v>Option 2sens3</v>
      </c>
      <c r="E32" s="253"/>
      <c r="F32" s="31">
        <f t="shared" si="3"/>
        <v>12311892.396934725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-240388.03748188337</v>
      </c>
      <c r="K32" s="31">
        <f>IF($B32=0,0, (INDEX(Option2!K$106:K$117, MATCH($D32, Option2!$G$106:$G$117,0)))*conv_2026*K$7)</f>
        <v>799673.04518230946</v>
      </c>
      <c r="L32" s="31">
        <f>IF($B32=0,0, (INDEX(Option2!L$106:L$117, MATCH($D32, Option2!$G$106:$G$117,0)))*conv_2026*L$7)</f>
        <v>834576.25779677788</v>
      </c>
      <c r="M32" s="31">
        <f>IF($B32=0,0, (INDEX(Option2!M$106:M$117, MATCH($D32, Option2!$G$106:$G$117,0)))*conv_2026*M$7)</f>
        <v>865311.25913036591</v>
      </c>
      <c r="N32" s="31">
        <f>IF($B32=0,0, (INDEX(Option2!N$106:N$117, MATCH($D32, Option2!$G$106:$G$117,0)))*conv_2026*N$7)</f>
        <v>898312.72498441429</v>
      </c>
      <c r="O32" s="31">
        <f>IF($B32=0,0, (INDEX(Option2!O$106:O$117, MATCH($D32, Option2!$G$106:$G$117,0)))*conv_2026*O$7)</f>
        <v>939847.79566216853</v>
      </c>
      <c r="P32" s="31">
        <f>IF($B32=0,0, (INDEX(Option2!P$106:P$117, MATCH($D32, Option2!$G$106:$G$117,0)))*conv_2026*P$7)</f>
        <v>990290.46049980354</v>
      </c>
      <c r="Q32" s="31">
        <f>IF($B32=0,0, (INDEX(Option2!Q$106:Q$117, MATCH($D32, Option2!$G$106:$G$117,0)))*conv_2026*Q$7)</f>
        <v>1026406.0204055778</v>
      </c>
      <c r="R32" s="31">
        <f>IF($B32=0,0, (INDEX(Option2!R$106:R$117, MATCH($D32, Option2!$G$106:$G$117,0)))*conv_2026*R$7)</f>
        <v>1036417.0281969102</v>
      </c>
      <c r="S32" s="31">
        <f>IF($B32=0,0, (INDEX(Option2!S$106:S$117, MATCH($D32, Option2!$G$106:$G$117,0)))*conv_2026*S$7)</f>
        <v>1046683.6898904047</v>
      </c>
      <c r="T32" s="31">
        <f>IF($B32=0,0, (INDEX(Option2!T$106:T$117, MATCH($D32, Option2!$G$106:$G$117,0)))*conv_2026*T$7)</f>
        <v>1057157.8314977258</v>
      </c>
      <c r="U32" s="31">
        <f>IF($B32=0,0, (INDEX(Option2!U$106:U$117, MATCH($D32, Option2!$G$106:$G$117,0)))*conv_2026*U$7)</f>
        <v>1067802.7039378537</v>
      </c>
      <c r="V32" s="31">
        <f>IF($B32=0,0, (INDEX(Option2!V$106:V$117, MATCH($D32, Option2!$G$106:$G$117,0)))*conv_2026*V$7)</f>
        <v>1078589.5891870114</v>
      </c>
      <c r="W32" s="31">
        <f>IF($B32=0,0, (INDEX(Option2!W$106:W$117, MATCH($D32, Option2!$G$106:$G$117,0)))*conv_2026*W$7)</f>
        <v>1089495.6029109668</v>
      </c>
      <c r="X32" s="31">
        <f>IF($B32=0,0, (INDEX(Option2!X$106:X$117, MATCH($D32, Option2!$G$106:$G$117,0)))*conv_2026*X$7)</f>
        <v>1100502.2135804002</v>
      </c>
      <c r="Y32" s="31">
        <f>IF($B32=0,0, (INDEX(Option2!Y$106:Y$117, MATCH($D32, Option2!$G$106:$G$117,0)))*conv_2026*Y$7)</f>
        <v>1111594.2109524372</v>
      </c>
      <c r="Z32" s="31">
        <f>IF($B32=0,0, (INDEX(Option2!Z$106:Z$117, MATCH($D32, Option2!$G$106:$G$117,0)))*conv_2026*Z$7)</f>
        <v>1122758.967396643</v>
      </c>
      <c r="AA32" s="31">
        <f>IF($B32=0,0, (INDEX(Option2!AA$106:AA$117, MATCH($D32, Option2!$G$106:$G$117,0)))*conv_2026*AA$7)</f>
        <v>1133985.896324605</v>
      </c>
      <c r="AB32" s="31">
        <f>IF($B32=0,0, (INDEX(Option2!AB$106:AB$117, MATCH($D32, Option2!$G$106:$G$117,0)))*conv_2026*AB$7)</f>
        <v>1145266.0469942726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2" t="s">
        <v>131</v>
      </c>
      <c r="B33" s="252" t="str">
        <f>Option2!A113</f>
        <v>sens4</v>
      </c>
      <c r="C33" s="252" t="str">
        <f>Option2!C113</f>
        <v>Total benefits 10% lower</v>
      </c>
      <c r="D33" s="252" t="str">
        <f t="shared" si="2"/>
        <v>Option 2sens4</v>
      </c>
      <c r="E33" s="253"/>
      <c r="F33" s="31">
        <f t="shared" si="3"/>
        <v>9210626.9891506899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-240388.03748188337</v>
      </c>
      <c r="K33" s="31">
        <f>IF($B33=0,0, (INDEX(Option2!K$106:K$117, MATCH($D33, Option2!$G$106:$G$117,0)))*conv_2026*K$7)</f>
        <v>588717.57219955779</v>
      </c>
      <c r="L33" s="31">
        <f>IF($B33=0,0, (INDEX(Option2!L$106:L$117, MATCH($D33, Option2!$G$106:$G$117,0)))*conv_2026*L$7)</f>
        <v>617274.74615685013</v>
      </c>
      <c r="M33" s="31">
        <f>IF($B33=0,0, (INDEX(Option2!M$106:M$117, MATCH($D33, Option2!$G$106:$G$117,0)))*conv_2026*M$7)</f>
        <v>642421.56542978564</v>
      </c>
      <c r="N33" s="31">
        <f>IF($B33=0,0, (INDEX(Option2!N$106:N$117, MATCH($D33, Option2!$G$106:$G$117,0)))*conv_2026*N$7)</f>
        <v>669422.76476491615</v>
      </c>
      <c r="O33" s="31">
        <f>IF($B33=0,0, (INDEX(Option2!O$106:O$117, MATCH($D33, Option2!$G$106:$G$117,0)))*conv_2026*O$7)</f>
        <v>703406.00441035151</v>
      </c>
      <c r="P33" s="31">
        <f>IF($B33=0,0, (INDEX(Option2!P$106:P$117, MATCH($D33, Option2!$G$106:$G$117,0)))*conv_2026*P$7)</f>
        <v>744677.27564114379</v>
      </c>
      <c r="Q33" s="31">
        <f>IF($B33=0,0, (INDEX(Option2!Q$106:Q$117, MATCH($D33, Option2!$G$106:$G$117,0)))*conv_2026*Q$7)</f>
        <v>774226.37010950455</v>
      </c>
      <c r="R33" s="31">
        <f>IF($B33=0,0, (INDEX(Option2!R$106:R$117, MATCH($D33, Option2!$G$106:$G$117,0)))*conv_2026*R$7)</f>
        <v>782417.19466604921</v>
      </c>
      <c r="S33" s="31">
        <f>IF($B33=0,0, (INDEX(Option2!S$106:S$117, MATCH($D33, Option2!$G$106:$G$117,0)))*conv_2026*S$7)</f>
        <v>790817.19059709017</v>
      </c>
      <c r="T33" s="31">
        <f>IF($B33=0,0, (INDEX(Option2!T$106:T$117, MATCH($D33, Option2!$G$106:$G$117,0)))*conv_2026*T$7)</f>
        <v>799386.94282126194</v>
      </c>
      <c r="U33" s="31">
        <f>IF($B33=0,0, (INDEX(Option2!U$106:U$117, MATCH($D33, Option2!$G$106:$G$117,0)))*conv_2026*U$7)</f>
        <v>808096.38390863943</v>
      </c>
      <c r="V33" s="31">
        <f>IF($B33=0,0, (INDEX(Option2!V$106:V$117, MATCH($D33, Option2!$G$106:$G$117,0)))*conv_2026*V$7)</f>
        <v>816922.01729431388</v>
      </c>
      <c r="W33" s="31">
        <f>IF($B33=0,0, (INDEX(Option2!W$106:W$117, MATCH($D33, Option2!$G$106:$G$117,0)))*conv_2026*W$7)</f>
        <v>825845.11943209555</v>
      </c>
      <c r="X33" s="31">
        <f>IF($B33=0,0, (INDEX(Option2!X$106:X$117, MATCH($D33, Option2!$G$106:$G$117,0)))*conv_2026*X$7)</f>
        <v>834850.52816163213</v>
      </c>
      <c r="Y33" s="31">
        <f>IF($B33=0,0, (INDEX(Option2!Y$106:Y$117, MATCH($D33, Option2!$G$106:$G$117,0)))*conv_2026*Y$7)</f>
        <v>843925.79873875319</v>
      </c>
      <c r="Z33" s="31">
        <f>IF($B33=0,0, (INDEX(Option2!Z$106:Z$117, MATCH($D33, Option2!$G$106:$G$117,0)))*conv_2026*Z$7)</f>
        <v>853060.59946583072</v>
      </c>
      <c r="AA33" s="31">
        <f>IF($B33=0,0, (INDEX(Option2!AA$106:AA$117, MATCH($D33, Option2!$G$106:$G$117,0)))*conv_2026*AA$7)</f>
        <v>862246.26858870848</v>
      </c>
      <c r="AB33" s="31">
        <f>IF($B33=0,0, (INDEX(Option2!AB$106:AB$117, MATCH($D33, Option2!$G$106:$G$117,0)))*conv_2026*AB$7)</f>
        <v>871475.4827729821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2" t="s">
        <v>131</v>
      </c>
      <c r="B34" s="252" t="str">
        <f>Option2!A114</f>
        <v>sens5</v>
      </c>
      <c r="C34" s="252" t="str">
        <f>Option2!C114</f>
        <v>Capex 10% higher &amp; Total benefits 10% lower</v>
      </c>
      <c r="D34" s="252" t="str">
        <f t="shared" si="2"/>
        <v>Option 2sens5</v>
      </c>
      <c r="E34" s="253"/>
      <c r="F34" s="31">
        <f t="shared" si="3"/>
        <v>8736120.2545629442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-264426.84123007173</v>
      </c>
      <c r="K34" s="31">
        <f>IF($B34=0,0, (INDEX(Option2!K$106:K$117, MATCH($D34, Option2!$G$106:$G$117,0)))*conv_2026*K$7)</f>
        <v>552659.36657727521</v>
      </c>
      <c r="L34" s="31">
        <f>IF($B34=0,0, (INDEX(Option2!L$106:L$117, MATCH($D34, Option2!$G$106:$G$117,0)))*conv_2026*L$7)</f>
        <v>581216.54053456767</v>
      </c>
      <c r="M34" s="31">
        <f>IF($B34=0,0, (INDEX(Option2!M$106:M$117, MATCH($D34, Option2!$G$106:$G$117,0)))*conv_2026*M$7)</f>
        <v>606363.35980750329</v>
      </c>
      <c r="N34" s="31">
        <f>IF($B34=0,0, (INDEX(Option2!N$106:N$117, MATCH($D34, Option2!$G$106:$G$117,0)))*conv_2026*N$7)</f>
        <v>633364.55914263357</v>
      </c>
      <c r="O34" s="31">
        <f>IF($B34=0,0, (INDEX(Option2!O$106:O$117, MATCH($D34, Option2!$G$106:$G$117,0)))*conv_2026*O$7)</f>
        <v>667347.79878806905</v>
      </c>
      <c r="P34" s="31">
        <f>IF($B34=0,0, (INDEX(Option2!P$106:P$117, MATCH($D34, Option2!$G$106:$G$117,0)))*conv_2026*P$7)</f>
        <v>708619.07001886121</v>
      </c>
      <c r="Q34" s="31">
        <f>IF($B34=0,0, (INDEX(Option2!Q$106:Q$117, MATCH($D34, Option2!$G$106:$G$117,0)))*conv_2026*Q$7)</f>
        <v>738168.16448722209</v>
      </c>
      <c r="R34" s="31">
        <f>IF($B34=0,0, (INDEX(Option2!R$106:R$117, MATCH($D34, Option2!$G$106:$G$117,0)))*conv_2026*R$7)</f>
        <v>746358.98904376663</v>
      </c>
      <c r="S34" s="31">
        <f>IF($B34=0,0, (INDEX(Option2!S$106:S$117, MATCH($D34, Option2!$G$106:$G$117,0)))*conv_2026*S$7)</f>
        <v>754758.98497480771</v>
      </c>
      <c r="T34" s="31">
        <f>IF($B34=0,0, (INDEX(Option2!T$106:T$117, MATCH($D34, Option2!$G$106:$G$117,0)))*conv_2026*T$7)</f>
        <v>763328.73719897959</v>
      </c>
      <c r="U34" s="31">
        <f>IF($B34=0,0, (INDEX(Option2!U$106:U$117, MATCH($D34, Option2!$G$106:$G$117,0)))*conv_2026*U$7)</f>
        <v>772038.17828635685</v>
      </c>
      <c r="V34" s="31">
        <f>IF($B34=0,0, (INDEX(Option2!V$106:V$117, MATCH($D34, Option2!$G$106:$G$117,0)))*conv_2026*V$7)</f>
        <v>780863.8116720313</v>
      </c>
      <c r="W34" s="31">
        <f>IF($B34=0,0, (INDEX(Option2!W$106:W$117, MATCH($D34, Option2!$G$106:$G$117,0)))*conv_2026*W$7)</f>
        <v>789786.91380981298</v>
      </c>
      <c r="X34" s="31">
        <f>IF($B34=0,0, (INDEX(Option2!X$106:X$117, MATCH($D34, Option2!$G$106:$G$117,0)))*conv_2026*X$7)</f>
        <v>798792.32253934955</v>
      </c>
      <c r="Y34" s="31">
        <f>IF($B34=0,0, (INDEX(Option2!Y$106:Y$117, MATCH($D34, Option2!$G$106:$G$117,0)))*conv_2026*Y$7)</f>
        <v>807867.59311647073</v>
      </c>
      <c r="Z34" s="31">
        <f>IF($B34=0,0, (INDEX(Option2!Z$106:Z$117, MATCH($D34, Option2!$G$106:$G$117,0)))*conv_2026*Z$7)</f>
        <v>817002.39384354814</v>
      </c>
      <c r="AA34" s="31">
        <f>IF($B34=0,0, (INDEX(Option2!AA$106:AA$117, MATCH($D34, Option2!$G$106:$G$117,0)))*conv_2026*AA$7)</f>
        <v>826188.06296642602</v>
      </c>
      <c r="AB34" s="31">
        <f>IF($B34=0,0, (INDEX(Option2!AB$106:AB$117, MATCH($D34, Option2!$G$106:$G$117,0)))*conv_2026*AB$7)</f>
        <v>835417.27715069964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2" t="s">
        <v>131</v>
      </c>
      <c r="B35" s="252" t="str">
        <f>Option2!A115</f>
        <v>sens</v>
      </c>
      <c r="C35" s="252">
        <f>Option2!C115</f>
        <v>0</v>
      </c>
      <c r="D35" s="252" t="str">
        <f t="shared" si="2"/>
        <v>Option 2sens</v>
      </c>
      <c r="E35" s="253"/>
      <c r="F35" s="31">
        <f t="shared" si="3"/>
        <v>10761259.693042705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-240388.03748188337</v>
      </c>
      <c r="K35" s="31">
        <f>IF($B35=0,0, (INDEX(Option2!K$106:K$117, MATCH($D35, Option2!$G$106:$G$117,0)))*conv_2026*K$7)</f>
        <v>694195.30869093363</v>
      </c>
      <c r="L35" s="31">
        <f>IF($B35=0,0, (INDEX(Option2!L$106:L$117, MATCH($D35, Option2!$G$106:$G$117,0)))*conv_2026*L$7)</f>
        <v>725925.501976814</v>
      </c>
      <c r="M35" s="31">
        <f>IF($B35=0,0, (INDEX(Option2!M$106:M$117, MATCH($D35, Option2!$G$106:$G$117,0)))*conv_2026*M$7)</f>
        <v>753866.41228007583</v>
      </c>
      <c r="N35" s="31">
        <f>IF($B35=0,0, (INDEX(Option2!N$106:N$117, MATCH($D35, Option2!$G$106:$G$117,0)))*conv_2026*N$7)</f>
        <v>783867.74487466516</v>
      </c>
      <c r="O35" s="31">
        <f>IF($B35=0,0, (INDEX(Option2!O$106:O$117, MATCH($D35, Option2!$G$106:$G$117,0)))*conv_2026*O$7)</f>
        <v>821626.90003626002</v>
      </c>
      <c r="P35" s="31">
        <f>IF($B35=0,0, (INDEX(Option2!P$106:P$117, MATCH($D35, Option2!$G$106:$G$117,0)))*conv_2026*P$7)</f>
        <v>867483.86807047366</v>
      </c>
      <c r="Q35" s="31">
        <f>IF($B35=0,0, (INDEX(Option2!Q$106:Q$117, MATCH($D35, Option2!$G$106:$G$117,0)))*conv_2026*Q$7)</f>
        <v>900316.19525754114</v>
      </c>
      <c r="R35" s="31">
        <f>IF($B35=0,0, (INDEX(Option2!R$106:R$117, MATCH($D35, Option2!$G$106:$G$117,0)))*conv_2026*R$7)</f>
        <v>909417.11143147969</v>
      </c>
      <c r="S35" s="31">
        <f>IF($B35=0,0, (INDEX(Option2!S$106:S$117, MATCH($D35, Option2!$G$106:$G$117,0)))*conv_2026*S$7)</f>
        <v>918750.44024374743</v>
      </c>
      <c r="T35" s="31">
        <f>IF($B35=0,0, (INDEX(Option2!T$106:T$117, MATCH($D35, Option2!$G$106:$G$117,0)))*conv_2026*T$7)</f>
        <v>928272.38715949387</v>
      </c>
      <c r="U35" s="31">
        <f>IF($B35=0,0, (INDEX(Option2!U$106:U$117, MATCH($D35, Option2!$G$106:$G$117,0)))*conv_2026*U$7)</f>
        <v>937949.54392324656</v>
      </c>
      <c r="V35" s="31">
        <f>IF($B35=0,0, (INDEX(Option2!V$106:V$117, MATCH($D35, Option2!$G$106:$G$117,0)))*conv_2026*V$7)</f>
        <v>947755.80324066256</v>
      </c>
      <c r="W35" s="31">
        <f>IF($B35=0,0, (INDEX(Option2!W$106:W$117, MATCH($D35, Option2!$G$106:$G$117,0)))*conv_2026*W$7)</f>
        <v>957670.36117153114</v>
      </c>
      <c r="X35" s="31">
        <f>IF($B35=0,0, (INDEX(Option2!X$106:X$117, MATCH($D35, Option2!$G$106:$G$117,0)))*conv_2026*X$7)</f>
        <v>967676.37087101617</v>
      </c>
      <c r="Y35" s="31">
        <f>IF($B35=0,0, (INDEX(Option2!Y$106:Y$117, MATCH($D35, Option2!$G$106:$G$117,0)))*conv_2026*Y$7)</f>
        <v>977760.00484559522</v>
      </c>
      <c r="Z35" s="31">
        <f>IF($B35=0,0, (INDEX(Option2!Z$106:Z$117, MATCH($D35, Option2!$G$106:$G$117,0)))*conv_2026*Z$7)</f>
        <v>987909.78343123698</v>
      </c>
      <c r="AA35" s="31">
        <f>IF($B35=0,0, (INDEX(Option2!AA$106:AA$117, MATCH($D35, Option2!$G$106:$G$117,0)))*conv_2026*AA$7)</f>
        <v>998116.08245665673</v>
      </c>
      <c r="AB35" s="31">
        <f>IF($B35=0,0, (INDEX(Option2!AB$106:AB$117, MATCH($D35, Option2!$G$106:$G$117,0)))*conv_2026*AB$7)</f>
        <v>1008370.7648836273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2" t="s">
        <v>131</v>
      </c>
      <c r="B36" s="252" t="str">
        <f>Option2!A116</f>
        <v>sens</v>
      </c>
      <c r="C36" s="252">
        <f>Option2!C116</f>
        <v>0</v>
      </c>
      <c r="D36" s="252" t="str">
        <f t="shared" si="2"/>
        <v>Option 2sens</v>
      </c>
      <c r="E36" s="253"/>
      <c r="F36" s="31">
        <f t="shared" si="3"/>
        <v>10761259.693042705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-240388.03748188337</v>
      </c>
      <c r="K36" s="31">
        <f>IF($B36=0,0, (INDEX(Option2!K$106:K$117, MATCH($D36, Option2!$G$106:$G$117,0)))*conv_2026*K$7)</f>
        <v>694195.30869093363</v>
      </c>
      <c r="L36" s="31">
        <f>IF($B36=0,0, (INDEX(Option2!L$106:L$117, MATCH($D36, Option2!$G$106:$G$117,0)))*conv_2026*L$7)</f>
        <v>725925.501976814</v>
      </c>
      <c r="M36" s="31">
        <f>IF($B36=0,0, (INDEX(Option2!M$106:M$117, MATCH($D36, Option2!$G$106:$G$117,0)))*conv_2026*M$7)</f>
        <v>753866.41228007583</v>
      </c>
      <c r="N36" s="31">
        <f>IF($B36=0,0, (INDEX(Option2!N$106:N$117, MATCH($D36, Option2!$G$106:$G$117,0)))*conv_2026*N$7)</f>
        <v>783867.74487466516</v>
      </c>
      <c r="O36" s="31">
        <f>IF($B36=0,0, (INDEX(Option2!O$106:O$117, MATCH($D36, Option2!$G$106:$G$117,0)))*conv_2026*O$7)</f>
        <v>821626.90003626002</v>
      </c>
      <c r="P36" s="31">
        <f>IF($B36=0,0, (INDEX(Option2!P$106:P$117, MATCH($D36, Option2!$G$106:$G$117,0)))*conv_2026*P$7)</f>
        <v>867483.86807047366</v>
      </c>
      <c r="Q36" s="31">
        <f>IF($B36=0,0, (INDEX(Option2!Q$106:Q$117, MATCH($D36, Option2!$G$106:$G$117,0)))*conv_2026*Q$7)</f>
        <v>900316.19525754114</v>
      </c>
      <c r="R36" s="31">
        <f>IF($B36=0,0, (INDEX(Option2!R$106:R$117, MATCH($D36, Option2!$G$106:$G$117,0)))*conv_2026*R$7)</f>
        <v>909417.11143147969</v>
      </c>
      <c r="S36" s="31">
        <f>IF($B36=0,0, (INDEX(Option2!S$106:S$117, MATCH($D36, Option2!$G$106:$G$117,0)))*conv_2026*S$7)</f>
        <v>918750.44024374743</v>
      </c>
      <c r="T36" s="31">
        <f>IF($B36=0,0, (INDEX(Option2!T$106:T$117, MATCH($D36, Option2!$G$106:$G$117,0)))*conv_2026*T$7)</f>
        <v>928272.38715949387</v>
      </c>
      <c r="U36" s="31">
        <f>IF($B36=0,0, (INDEX(Option2!U$106:U$117, MATCH($D36, Option2!$G$106:$G$117,0)))*conv_2026*U$7)</f>
        <v>937949.54392324656</v>
      </c>
      <c r="V36" s="31">
        <f>IF($B36=0,0, (INDEX(Option2!V$106:V$117, MATCH($D36, Option2!$G$106:$G$117,0)))*conv_2026*V$7)</f>
        <v>947755.80324066256</v>
      </c>
      <c r="W36" s="31">
        <f>IF($B36=0,0, (INDEX(Option2!W$106:W$117, MATCH($D36, Option2!$G$106:$G$117,0)))*conv_2026*W$7)</f>
        <v>957670.36117153114</v>
      </c>
      <c r="X36" s="31">
        <f>IF($B36=0,0, (INDEX(Option2!X$106:X$117, MATCH($D36, Option2!$G$106:$G$117,0)))*conv_2026*X$7)</f>
        <v>967676.37087101617</v>
      </c>
      <c r="Y36" s="31">
        <f>IF($B36=0,0, (INDEX(Option2!Y$106:Y$117, MATCH($D36, Option2!$G$106:$G$117,0)))*conv_2026*Y$7)</f>
        <v>977760.00484559522</v>
      </c>
      <c r="Z36" s="31">
        <f>IF($B36=0,0, (INDEX(Option2!Z$106:Z$117, MATCH($D36, Option2!$G$106:$G$117,0)))*conv_2026*Z$7)</f>
        <v>987909.78343123698</v>
      </c>
      <c r="AA36" s="31">
        <f>IF($B36=0,0, (INDEX(Option2!AA$106:AA$117, MATCH($D36, Option2!$G$106:$G$117,0)))*conv_2026*AA$7)</f>
        <v>998116.08245665673</v>
      </c>
      <c r="AB36" s="31">
        <f>IF($B36=0,0, (INDEX(Option2!AB$106:AB$117, MATCH($D36, Option2!$G$106:$G$117,0)))*conv_2026*AB$7)</f>
        <v>1008370.7648836273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2" t="s">
        <v>131</v>
      </c>
      <c r="B37" s="252" t="str">
        <f>Option2!A117</f>
        <v>sens</v>
      </c>
      <c r="C37" s="252">
        <f>Option2!C117</f>
        <v>0</v>
      </c>
      <c r="D37" s="252" t="str">
        <f t="shared" si="2"/>
        <v>Option 2sens</v>
      </c>
      <c r="E37" s="253"/>
      <c r="F37" s="31">
        <f t="shared" si="3"/>
        <v>10761259.693042705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-240388.03748188337</v>
      </c>
      <c r="K37" s="31">
        <f>IF($B37=0,0, (INDEX(Option2!K$106:K$117, MATCH($D37, Option2!$G$106:$G$117,0)))*conv_2026*K$7)</f>
        <v>694195.30869093363</v>
      </c>
      <c r="L37" s="31">
        <f>IF($B37=0,0, (INDEX(Option2!L$106:L$117, MATCH($D37, Option2!$G$106:$G$117,0)))*conv_2026*L$7)</f>
        <v>725925.501976814</v>
      </c>
      <c r="M37" s="31">
        <f>IF($B37=0,0, (INDEX(Option2!M$106:M$117, MATCH($D37, Option2!$G$106:$G$117,0)))*conv_2026*M$7)</f>
        <v>753866.41228007583</v>
      </c>
      <c r="N37" s="31">
        <f>IF($B37=0,0, (INDEX(Option2!N$106:N$117, MATCH($D37, Option2!$G$106:$G$117,0)))*conv_2026*N$7)</f>
        <v>783867.74487466516</v>
      </c>
      <c r="O37" s="31">
        <f>IF($B37=0,0, (INDEX(Option2!O$106:O$117, MATCH($D37, Option2!$G$106:$G$117,0)))*conv_2026*O$7)</f>
        <v>821626.90003626002</v>
      </c>
      <c r="P37" s="31">
        <f>IF($B37=0,0, (INDEX(Option2!P$106:P$117, MATCH($D37, Option2!$G$106:$G$117,0)))*conv_2026*P$7)</f>
        <v>867483.86807047366</v>
      </c>
      <c r="Q37" s="31">
        <f>IF($B37=0,0, (INDEX(Option2!Q$106:Q$117, MATCH($D37, Option2!$G$106:$G$117,0)))*conv_2026*Q$7)</f>
        <v>900316.19525754114</v>
      </c>
      <c r="R37" s="31">
        <f>IF($B37=0,0, (INDEX(Option2!R$106:R$117, MATCH($D37, Option2!$G$106:$G$117,0)))*conv_2026*R$7)</f>
        <v>909417.11143147969</v>
      </c>
      <c r="S37" s="31">
        <f>IF($B37=0,0, (INDEX(Option2!S$106:S$117, MATCH($D37, Option2!$G$106:$G$117,0)))*conv_2026*S$7)</f>
        <v>918750.44024374743</v>
      </c>
      <c r="T37" s="31">
        <f>IF($B37=0,0, (INDEX(Option2!T$106:T$117, MATCH($D37, Option2!$G$106:$G$117,0)))*conv_2026*T$7)</f>
        <v>928272.38715949387</v>
      </c>
      <c r="U37" s="31">
        <f>IF($B37=0,0, (INDEX(Option2!U$106:U$117, MATCH($D37, Option2!$G$106:$G$117,0)))*conv_2026*U$7)</f>
        <v>937949.54392324656</v>
      </c>
      <c r="V37" s="31">
        <f>IF($B37=0,0, (INDEX(Option2!V$106:V$117, MATCH($D37, Option2!$G$106:$G$117,0)))*conv_2026*V$7)</f>
        <v>947755.80324066256</v>
      </c>
      <c r="W37" s="31">
        <f>IF($B37=0,0, (INDEX(Option2!W$106:W$117, MATCH($D37, Option2!$G$106:$G$117,0)))*conv_2026*W$7)</f>
        <v>957670.36117153114</v>
      </c>
      <c r="X37" s="31">
        <f>IF($B37=0,0, (INDEX(Option2!X$106:X$117, MATCH($D37, Option2!$G$106:$G$117,0)))*conv_2026*X$7)</f>
        <v>967676.37087101617</v>
      </c>
      <c r="Y37" s="31">
        <f>IF($B37=0,0, (INDEX(Option2!Y$106:Y$117, MATCH($D37, Option2!$G$106:$G$117,0)))*conv_2026*Y$7)</f>
        <v>977760.00484559522</v>
      </c>
      <c r="Z37" s="31">
        <f>IF($B37=0,0, (INDEX(Option2!Z$106:Z$117, MATCH($D37, Option2!$G$106:$G$117,0)))*conv_2026*Z$7)</f>
        <v>987909.78343123698</v>
      </c>
      <c r="AA37" s="31">
        <f>IF($B37=0,0, (INDEX(Option2!AA$106:AA$117, MATCH($D37, Option2!$G$106:$G$117,0)))*conv_2026*AA$7)</f>
        <v>998116.08245665673</v>
      </c>
      <c r="AB37" s="31">
        <f>IF($B37=0,0, (INDEX(Option2!AB$106:AB$117, MATCH($D37, Option2!$G$106:$G$117,0)))*conv_2026*AB$7)</f>
        <v>1008370.7648836273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2"/>
      <c r="B38" s="252"/>
      <c r="C38" s="252"/>
      <c r="D38" s="252"/>
      <c r="E38" s="252"/>
      <c r="F38" s="31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</row>
    <row r="39" spans="1:35" s="8" customFormat="1" x14ac:dyDescent="0.2">
      <c r="A39" s="252"/>
      <c r="B39" s="252"/>
      <c r="C39" s="252"/>
      <c r="D39" s="252"/>
      <c r="E39" s="252"/>
      <c r="F39" s="31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</row>
    <row r="40" spans="1:35" s="8" customFormat="1" x14ac:dyDescent="0.2">
      <c r="A40" s="252"/>
      <c r="B40" s="252"/>
      <c r="C40" s="252"/>
      <c r="D40" s="252"/>
      <c r="E40" s="252"/>
      <c r="F40" s="31"/>
      <c r="H40" s="31">
        <f>Consol!H50</f>
        <v>0</v>
      </c>
      <c r="I40" s="31">
        <f>Consol!I50</f>
        <v>0</v>
      </c>
      <c r="J40" s="31">
        <f>Consol!J50</f>
        <v>-9537.7628439267428</v>
      </c>
      <c r="K40" s="31">
        <f>Consol!K50</f>
        <v>-6467.2723505154281</v>
      </c>
      <c r="L40" s="31">
        <f>Consol!L50</f>
        <v>-3348.762382081557</v>
      </c>
      <c r="M40" s="31">
        <f>Consol!M50</f>
        <v>-443.42616154941788</v>
      </c>
      <c r="N40" s="31">
        <f>Consol!N50</f>
        <v>2598.9612697594712</v>
      </c>
      <c r="O40" s="31">
        <f>Consol!O50</f>
        <v>6129.8235258183122</v>
      </c>
      <c r="P40" s="31">
        <f>Consol!P50</f>
        <v>10202.904696769052</v>
      </c>
      <c r="Q40" s="31">
        <f>Consol!Q50</f>
        <v>13574.729034601478</v>
      </c>
      <c r="R40" s="31">
        <f>Consol!R50</f>
        <v>15545.479465126351</v>
      </c>
      <c r="S40" s="31">
        <f>Consol!S50</f>
        <v>17537.659512531347</v>
      </c>
      <c r="T40" s="31">
        <f>Consol!T50</f>
        <v>86460.281433096767</v>
      </c>
      <c r="U40" s="31">
        <f>Consol!U50</f>
        <v>88495.150904270238</v>
      </c>
      <c r="V40" s="31">
        <f>Consol!V50</f>
        <v>90551.283736282334</v>
      </c>
      <c r="W40" s="31">
        <f>Consol!W50</f>
        <v>92628.627975951109</v>
      </c>
      <c r="X40" s="31">
        <f>Consol!X50</f>
        <v>94727.133317977685</v>
      </c>
      <c r="Y40" s="31">
        <f>Consol!Y50</f>
        <v>96846.751057383604</v>
      </c>
      <c r="Z40" s="31">
        <f>Consol!Z50</f>
        <v>98987.434044044101</v>
      </c>
      <c r="AA40" s="31">
        <f>Consol!AA50</f>
        <v>101149.13663915616</v>
      </c>
      <c r="AB40" s="31">
        <f>Consol!AB50</f>
        <v>103331.81467356005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2"/>
      <c r="B41" s="252"/>
      <c r="C41" s="252"/>
      <c r="D41" s="252"/>
      <c r="E41" s="252"/>
      <c r="F41" s="31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</row>
    <row r="42" spans="1:35" s="8" customFormat="1" x14ac:dyDescent="0.2">
      <c r="A42" s="252" t="s">
        <v>132</v>
      </c>
      <c r="B42" s="252" t="s">
        <v>119</v>
      </c>
      <c r="C42" s="252" t="s">
        <v>188</v>
      </c>
      <c r="D42" s="252" t="str">
        <f>A42&amp;B42</f>
        <v>Option 3NPV</v>
      </c>
      <c r="E42" s="253"/>
      <c r="F42" s="31">
        <f t="shared" ref="F42:F51" si="4">SUMPRODUCT($H42:$AG42, $H$5:$AG$5)</f>
        <v>530146.71347472875</v>
      </c>
      <c r="G42" s="245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-9537.7628439267373</v>
      </c>
      <c r="K42" s="31">
        <f>(INDEX(Option3!K$106:K$117, MATCH($D42, Option3!$G$106:$G$117,0)))*conv_2026*K$7</f>
        <v>-6467.2723505154263</v>
      </c>
      <c r="L42" s="31">
        <f>(INDEX(Option3!L$106:L$117, MATCH($D42, Option3!$G$106:$G$117,0)))*conv_2026*L$7</f>
        <v>-3348.7623820815561</v>
      </c>
      <c r="M42" s="31">
        <f>(INDEX(Option3!M$106:M$117, MATCH($D42, Option3!$G$106:$G$117,0)))*conv_2026*M$7</f>
        <v>-443.42616154941453</v>
      </c>
      <c r="N42" s="31">
        <f>(INDEX(Option3!N$106:N$117, MATCH($D42, Option3!$G$106:$G$117,0)))*conv_2026*N$7</f>
        <v>2598.9612697594712</v>
      </c>
      <c r="O42" s="31">
        <f>(INDEX(Option3!O$106:O$117, MATCH($D42, Option3!$G$106:$G$117,0)))*conv_2026*O$7</f>
        <v>6129.823525818314</v>
      </c>
      <c r="P42" s="31">
        <f>(INDEX(Option3!P$106:P$117, MATCH($D42, Option3!$G$106:$G$117,0)))*conv_2026*P$7</f>
        <v>10202.904696769059</v>
      </c>
      <c r="Q42" s="31">
        <f>(INDEX(Option3!Q$106:Q$117, MATCH($D42, Option3!$G$106:$G$117,0)))*conv_2026*Q$7</f>
        <v>13574.729034601474</v>
      </c>
      <c r="R42" s="31">
        <f>(INDEX(Option3!R$106:R$117, MATCH($D42, Option3!$G$106:$G$117,0)))*conv_2026*R$7</f>
        <v>15545.479465126356</v>
      </c>
      <c r="S42" s="31">
        <f>(INDEX(Option3!S$106:S$117, MATCH($D42, Option3!$G$106:$G$117,0)))*conv_2026*S$7</f>
        <v>17537.659512531351</v>
      </c>
      <c r="T42" s="31">
        <f>(INDEX(Option3!T$106:T$117, MATCH($D42, Option3!$G$106:$G$117,0)))*conv_2026*T$7</f>
        <v>86460.281433096767</v>
      </c>
      <c r="U42" s="31">
        <f>(INDEX(Option3!U$106:U$117, MATCH($D42, Option3!$G$106:$G$117,0)))*conv_2026*U$7</f>
        <v>88495.150904270238</v>
      </c>
      <c r="V42" s="31">
        <f>(INDEX(Option3!V$106:V$117, MATCH($D42, Option3!$G$106:$G$117,0)))*conv_2026*V$7</f>
        <v>90551.283736282334</v>
      </c>
      <c r="W42" s="31">
        <f>(INDEX(Option3!W$106:W$117, MATCH($D42, Option3!$G$106:$G$117,0)))*conv_2026*W$7</f>
        <v>92628.627975951109</v>
      </c>
      <c r="X42" s="31">
        <f>(INDEX(Option3!X$106:X$117, MATCH($D42, Option3!$G$106:$G$117,0)))*conv_2026*X$7</f>
        <v>94727.133317977685</v>
      </c>
      <c r="Y42" s="31">
        <f>(INDEX(Option3!Y$106:Y$117, MATCH($D42, Option3!$G$106:$G$117,0)))*conv_2026*Y$7</f>
        <v>96846.751057383604</v>
      </c>
      <c r="Z42" s="31">
        <f>(INDEX(Option3!Z$106:Z$117, MATCH($D42, Option3!$G$106:$G$117,0)))*conv_2026*Z$7</f>
        <v>98987.434044044101</v>
      </c>
      <c r="AA42" s="31">
        <f>(INDEX(Option3!AA$106:AA$117, MATCH($D42, Option3!$G$106:$G$117,0)))*conv_2026*AA$7</f>
        <v>101149.13663915616</v>
      </c>
      <c r="AB42" s="31">
        <f>(INDEX(Option3!AB$106:AB$117, MATCH($D42, Option3!$G$106:$G$117,0)))*conv_2026*AB$7</f>
        <v>103331.81467356005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4"/>
      <c r="B43" s="244"/>
      <c r="C43" s="244"/>
      <c r="D43" s="244"/>
      <c r="E43" s="244"/>
      <c r="F43" s="244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7"/>
      <c r="AI43" s="7"/>
    </row>
    <row r="44" spans="1:35" s="8" customFormat="1" x14ac:dyDescent="0.2">
      <c r="A44" s="252" t="s">
        <v>132</v>
      </c>
      <c r="B44" s="252" t="str">
        <f>Option3!A110</f>
        <v>sens1</v>
      </c>
      <c r="C44" s="252" t="str">
        <f>Option3!C110</f>
        <v>Capex 10% higher</v>
      </c>
      <c r="D44" s="252" t="str">
        <f t="shared" ref="D44:D51" si="5">A44&amp;B44</f>
        <v>Option 3sens1</v>
      </c>
      <c r="E44" s="253"/>
      <c r="F44" s="31">
        <f t="shared" si="4"/>
        <v>475450.04093566653</v>
      </c>
      <c r="G44" s="245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-16228.669790029238</v>
      </c>
      <c r="K44" s="31">
        <f>(INDEX(Option3!K$106:K$117, MATCH($D44, Option3!$G$106:$G$117,0)))*conv_2026*K$7</f>
        <v>-13158.179296617927</v>
      </c>
      <c r="L44" s="31">
        <f>(INDEX(Option3!L$106:L$117, MATCH($D44, Option3!$G$106:$G$117,0)))*conv_2026*L$7</f>
        <v>-10039.669328184056</v>
      </c>
      <c r="M44" s="31">
        <f>(INDEX(Option3!M$106:M$117, MATCH($D44, Option3!$G$106:$G$117,0)))*conv_2026*M$7</f>
        <v>-7134.3331076519144</v>
      </c>
      <c r="N44" s="31">
        <f>(INDEX(Option3!N$106:N$117, MATCH($D44, Option3!$G$106:$G$117,0)))*conv_2026*N$7</f>
        <v>-4091.945676343028</v>
      </c>
      <c r="O44" s="31">
        <f>(INDEX(Option3!O$106:O$117, MATCH($D44, Option3!$G$106:$G$117,0)))*conv_2026*O$7</f>
        <v>-561.08342028418531</v>
      </c>
      <c r="P44" s="31">
        <f>(INDEX(Option3!P$106:P$117, MATCH($D44, Option3!$G$106:$G$117,0)))*conv_2026*P$7</f>
        <v>3511.99775066656</v>
      </c>
      <c r="Q44" s="31">
        <f>(INDEX(Option3!Q$106:Q$117, MATCH($D44, Option3!$G$106:$G$117,0)))*conv_2026*Q$7</f>
        <v>6883.8220884989751</v>
      </c>
      <c r="R44" s="31">
        <f>(INDEX(Option3!R$106:R$117, MATCH($D44, Option3!$G$106:$G$117,0)))*conv_2026*R$7</f>
        <v>8854.5725190238554</v>
      </c>
      <c r="S44" s="31">
        <f>(INDEX(Option3!S$106:S$117, MATCH($D44, Option3!$G$106:$G$117,0)))*conv_2026*S$7</f>
        <v>10846.752566428851</v>
      </c>
      <c r="T44" s="31">
        <f>(INDEX(Option3!T$106:T$117, MATCH($D44, Option3!$G$106:$G$117,0)))*conv_2026*T$7</f>
        <v>86460.281433096767</v>
      </c>
      <c r="U44" s="31">
        <f>(INDEX(Option3!U$106:U$117, MATCH($D44, Option3!$G$106:$G$117,0)))*conv_2026*U$7</f>
        <v>88495.150904270238</v>
      </c>
      <c r="V44" s="31">
        <f>(INDEX(Option3!V$106:V$117, MATCH($D44, Option3!$G$106:$G$117,0)))*conv_2026*V$7</f>
        <v>90551.283736282334</v>
      </c>
      <c r="W44" s="31">
        <f>(INDEX(Option3!W$106:W$117, MATCH($D44, Option3!$G$106:$G$117,0)))*conv_2026*W$7</f>
        <v>92628.627975951109</v>
      </c>
      <c r="X44" s="31">
        <f>(INDEX(Option3!X$106:X$117, MATCH($D44, Option3!$G$106:$G$117,0)))*conv_2026*X$7</f>
        <v>94727.133317977685</v>
      </c>
      <c r="Y44" s="31">
        <f>(INDEX(Option3!Y$106:Y$117, MATCH($D44, Option3!$G$106:$G$117,0)))*conv_2026*Y$7</f>
        <v>96846.751057383604</v>
      </c>
      <c r="Z44" s="31">
        <f>(INDEX(Option3!Z$106:Z$117, MATCH($D44, Option3!$G$106:$G$117,0)))*conv_2026*Z$7</f>
        <v>98987.434044044101</v>
      </c>
      <c r="AA44" s="31">
        <f>(INDEX(Option3!AA$106:AA$117, MATCH($D44, Option3!$G$106:$G$117,0)))*conv_2026*AA$7</f>
        <v>101149.13663915616</v>
      </c>
      <c r="AB44" s="31">
        <f>(INDEX(Option3!AB$106:AB$117, MATCH($D44, Option3!$G$106:$G$117,0)))*conv_2026*AB$7</f>
        <v>103331.81467356005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2" t="s">
        <v>132</v>
      </c>
      <c r="B45" s="252" t="str">
        <f>Option3!A111</f>
        <v>sens2</v>
      </c>
      <c r="C45" s="252" t="str">
        <f>Option3!C111</f>
        <v>Capex 10% lower</v>
      </c>
      <c r="D45" s="252" t="str">
        <f t="shared" si="5"/>
        <v>Option 3sens2</v>
      </c>
      <c r="E45" s="253"/>
      <c r="F45" s="31">
        <f t="shared" si="4"/>
        <v>584843.38601379097</v>
      </c>
      <c r="G45" s="252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-2846.8558978242386</v>
      </c>
      <c r="K45" s="31">
        <f>(INDEX(Option3!K$106:K$117, MATCH($D45, Option3!$G$106:$G$117,0)))*conv_2026*K$7</f>
        <v>223.63459558707339</v>
      </c>
      <c r="L45" s="31">
        <f>(INDEX(Option3!L$106:L$117, MATCH($D45, Option3!$G$106:$G$117,0)))*conv_2026*L$7</f>
        <v>3342.1445640209431</v>
      </c>
      <c r="M45" s="31">
        <f>(INDEX(Option3!M$106:M$117, MATCH($D45, Option3!$G$106:$G$117,0)))*conv_2026*M$7</f>
        <v>6247.480784553085</v>
      </c>
      <c r="N45" s="31">
        <f>(INDEX(Option3!N$106:N$117, MATCH($D45, Option3!$G$106:$G$117,0)))*conv_2026*N$7</f>
        <v>9289.8682158619722</v>
      </c>
      <c r="O45" s="31">
        <f>(INDEX(Option3!O$106:O$117, MATCH($D45, Option3!$G$106:$G$117,0)))*conv_2026*O$7</f>
        <v>12820.730471920815</v>
      </c>
      <c r="P45" s="31">
        <f>(INDEX(Option3!P$106:P$117, MATCH($D45, Option3!$G$106:$G$117,0)))*conv_2026*P$7</f>
        <v>16893.811642871558</v>
      </c>
      <c r="Q45" s="31">
        <f>(INDEX(Option3!Q$106:Q$117, MATCH($D45, Option3!$G$106:$G$117,0)))*conv_2026*Q$7</f>
        <v>20265.635980703973</v>
      </c>
      <c r="R45" s="31">
        <f>(INDEX(Option3!R$106:R$117, MATCH($D45, Option3!$G$106:$G$117,0)))*conv_2026*R$7</f>
        <v>22236.386411228857</v>
      </c>
      <c r="S45" s="31">
        <f>(INDEX(Option3!S$106:S$117, MATCH($D45, Option3!$G$106:$G$117,0)))*conv_2026*S$7</f>
        <v>24228.566458633853</v>
      </c>
      <c r="T45" s="31">
        <f>(INDEX(Option3!T$106:T$117, MATCH($D45, Option3!$G$106:$G$117,0)))*conv_2026*T$7</f>
        <v>86460.281433096767</v>
      </c>
      <c r="U45" s="31">
        <f>(INDEX(Option3!U$106:U$117, MATCH($D45, Option3!$G$106:$G$117,0)))*conv_2026*U$7</f>
        <v>88495.150904270238</v>
      </c>
      <c r="V45" s="31">
        <f>(INDEX(Option3!V$106:V$117, MATCH($D45, Option3!$G$106:$G$117,0)))*conv_2026*V$7</f>
        <v>90551.283736282334</v>
      </c>
      <c r="W45" s="31">
        <f>(INDEX(Option3!W$106:W$117, MATCH($D45, Option3!$G$106:$G$117,0)))*conv_2026*W$7</f>
        <v>92628.627975951109</v>
      </c>
      <c r="X45" s="31">
        <f>(INDEX(Option3!X$106:X$117, MATCH($D45, Option3!$G$106:$G$117,0)))*conv_2026*X$7</f>
        <v>94727.133317977685</v>
      </c>
      <c r="Y45" s="31">
        <f>(INDEX(Option3!Y$106:Y$117, MATCH($D45, Option3!$G$106:$G$117,0)))*conv_2026*Y$7</f>
        <v>96846.751057383604</v>
      </c>
      <c r="Z45" s="31">
        <f>(INDEX(Option3!Z$106:Z$117, MATCH($D45, Option3!$G$106:$G$117,0)))*conv_2026*Z$7</f>
        <v>98987.434044044101</v>
      </c>
      <c r="AA45" s="31">
        <f>(INDEX(Option3!AA$106:AA$117, MATCH($D45, Option3!$G$106:$G$117,0)))*conv_2026*AA$7</f>
        <v>101149.13663915616</v>
      </c>
      <c r="AB45" s="31">
        <f>(INDEX(Option3!AB$106:AB$117, MATCH($D45, Option3!$G$106:$G$117,0)))*conv_2026*AB$7</f>
        <v>103331.81467356005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2" t="s">
        <v>132</v>
      </c>
      <c r="B46" s="252" t="str">
        <f>Option3!A112</f>
        <v>sens3</v>
      </c>
      <c r="C46" s="252" t="str">
        <f>Option3!C112</f>
        <v>Total benefits 10% higher</v>
      </c>
      <c r="D46" s="252" t="str">
        <f t="shared" si="5"/>
        <v>Option 3sens3</v>
      </c>
      <c r="E46" s="253"/>
      <c r="F46" s="31">
        <f t="shared" si="4"/>
        <v>637858.05736126378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-3800.632182216912</v>
      </c>
      <c r="K46" s="31">
        <f>(INDEX(Option3!K$106:K$117, MATCH($D46, Option3!$G$106:$G$117,0)))*conv_2026*K$7</f>
        <v>-423.09263946446941</v>
      </c>
      <c r="L46" s="31">
        <f>(INDEX(Option3!L$106:L$117, MATCH($D46, Option3!$G$106:$G$117,0)))*conv_2026*L$7</f>
        <v>3007.2683258127872</v>
      </c>
      <c r="M46" s="31">
        <f>(INDEX(Option3!M$106:M$117, MATCH($D46, Option3!$G$106:$G$117,0)))*conv_2026*M$7</f>
        <v>6203.1381683981435</v>
      </c>
      <c r="N46" s="31">
        <f>(INDEX(Option3!N$106:N$117, MATCH($D46, Option3!$G$106:$G$117,0)))*conv_2026*N$7</f>
        <v>9549.7643428379179</v>
      </c>
      <c r="O46" s="31">
        <f>(INDEX(Option3!O$106:O$117, MATCH($D46, Option3!$G$106:$G$117,0)))*conv_2026*O$7</f>
        <v>13433.712824502647</v>
      </c>
      <c r="P46" s="31">
        <f>(INDEX(Option3!P$106:P$117, MATCH($D46, Option3!$G$106:$G$117,0)))*conv_2026*P$7</f>
        <v>17914.102112548466</v>
      </c>
      <c r="Q46" s="31">
        <f>(INDEX(Option3!Q$106:Q$117, MATCH($D46, Option3!$G$106:$G$117,0)))*conv_2026*Q$7</f>
        <v>21623.108884164121</v>
      </c>
      <c r="R46" s="31">
        <f>(INDEX(Option3!R$106:R$117, MATCH($D46, Option3!$G$106:$G$117,0)))*conv_2026*R$7</f>
        <v>23790.934357741491</v>
      </c>
      <c r="S46" s="31">
        <f>(INDEX(Option3!S$106:S$117, MATCH($D46, Option3!$G$106:$G$117,0)))*conv_2026*S$7</f>
        <v>25982.332409886985</v>
      </c>
      <c r="T46" s="31">
        <f>(INDEX(Option3!T$106:T$117, MATCH($D46, Option3!$G$106:$G$117,0)))*conv_2026*T$7</f>
        <v>95106.309576406435</v>
      </c>
      <c r="U46" s="31">
        <f>(INDEX(Option3!U$106:U$117, MATCH($D46, Option3!$G$106:$G$117,0)))*conv_2026*U$7</f>
        <v>97344.665994697265</v>
      </c>
      <c r="V46" s="31">
        <f>(INDEX(Option3!V$106:V$117, MATCH($D46, Option3!$G$106:$G$117,0)))*conv_2026*V$7</f>
        <v>99606.412109910554</v>
      </c>
      <c r="W46" s="31">
        <f>(INDEX(Option3!W$106:W$117, MATCH($D46, Option3!$G$106:$G$117,0)))*conv_2026*W$7</f>
        <v>101891.49077354622</v>
      </c>
      <c r="X46" s="31">
        <f>(INDEX(Option3!X$106:X$117, MATCH($D46, Option3!$G$106:$G$117,0)))*conv_2026*X$7</f>
        <v>104199.84664977544</v>
      </c>
      <c r="Y46" s="31">
        <f>(INDEX(Option3!Y$106:Y$117, MATCH($D46, Option3!$G$106:$G$117,0)))*conv_2026*Y$7</f>
        <v>106531.42616312197</v>
      </c>
      <c r="Z46" s="31">
        <f>(INDEX(Option3!Z$106:Z$117, MATCH($D46, Option3!$G$106:$G$117,0)))*conv_2026*Z$7</f>
        <v>108886.17744844851</v>
      </c>
      <c r="AA46" s="31">
        <f>(INDEX(Option3!AA$106:AA$117, MATCH($D46, Option3!$G$106:$G$117,0)))*conv_2026*AA$7</f>
        <v>111264.05030307178</v>
      </c>
      <c r="AB46" s="31">
        <f>(INDEX(Option3!AB$106:AB$117, MATCH($D46, Option3!$G$106:$G$117,0)))*conv_2026*AB$7</f>
        <v>113664.99614091606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2" t="s">
        <v>132</v>
      </c>
      <c r="B47" s="252" t="str">
        <f>Option3!A113</f>
        <v>sens4</v>
      </c>
      <c r="C47" s="252" t="str">
        <f>Option3!C113</f>
        <v>Total benefits 10% lower</v>
      </c>
      <c r="D47" s="252" t="str">
        <f t="shared" si="5"/>
        <v>Option 3sens4</v>
      </c>
      <c r="E47" s="253"/>
      <c r="F47" s="31">
        <f t="shared" si="4"/>
        <v>422435.36958819366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-15274.893505636564</v>
      </c>
      <c r="K47" s="31">
        <f>(INDEX(Option3!K$106:K$117, MATCH($D47, Option3!$G$106:$G$117,0)))*conv_2026*K$7</f>
        <v>-12511.452061566382</v>
      </c>
      <c r="L47" s="31">
        <f>(INDEX(Option3!L$106:L$117, MATCH($D47, Option3!$G$106:$G$117,0)))*conv_2026*L$7</f>
        <v>-9704.7930899758994</v>
      </c>
      <c r="M47" s="31">
        <f>(INDEX(Option3!M$106:M$117, MATCH($D47, Option3!$G$106:$G$117,0)))*conv_2026*M$7</f>
        <v>-7089.990491496972</v>
      </c>
      <c r="N47" s="31">
        <f>(INDEX(Option3!N$106:N$117, MATCH($D47, Option3!$G$106:$G$117,0)))*conv_2026*N$7</f>
        <v>-4351.8418033189755</v>
      </c>
      <c r="O47" s="31">
        <f>(INDEX(Option3!O$106:O$117, MATCH($D47, Option3!$G$106:$G$117,0)))*conv_2026*O$7</f>
        <v>-1174.0657728660167</v>
      </c>
      <c r="P47" s="31">
        <f>(INDEX(Option3!P$106:P$117, MATCH($D47, Option3!$G$106:$G$117,0)))*conv_2026*P$7</f>
        <v>2491.707280989654</v>
      </c>
      <c r="Q47" s="31">
        <f>(INDEX(Option3!Q$106:Q$117, MATCH($D47, Option3!$G$106:$G$117,0)))*conv_2026*Q$7</f>
        <v>5526.3491850388282</v>
      </c>
      <c r="R47" s="31">
        <f>(INDEX(Option3!R$106:R$117, MATCH($D47, Option3!$G$106:$G$117,0)))*conv_2026*R$7</f>
        <v>7300.0245725112209</v>
      </c>
      <c r="S47" s="31">
        <f>(INDEX(Option3!S$106:S$117, MATCH($D47, Option3!$G$106:$G$117,0)))*conv_2026*S$7</f>
        <v>9092.986615175716</v>
      </c>
      <c r="T47" s="31">
        <f>(INDEX(Option3!T$106:T$117, MATCH($D47, Option3!$G$106:$G$117,0)))*conv_2026*T$7</f>
        <v>77814.253289787084</v>
      </c>
      <c r="U47" s="31">
        <f>(INDEX(Option3!U$106:U$117, MATCH($D47, Option3!$G$106:$G$117,0)))*conv_2026*U$7</f>
        <v>79645.635813843226</v>
      </c>
      <c r="V47" s="31">
        <f>(INDEX(Option3!V$106:V$117, MATCH($D47, Option3!$G$106:$G$117,0)))*conv_2026*V$7</f>
        <v>81496.155362654099</v>
      </c>
      <c r="W47" s="31">
        <f>(INDEX(Option3!W$106:W$117, MATCH($D47, Option3!$G$106:$G$117,0)))*conv_2026*W$7</f>
        <v>83365.765178355985</v>
      </c>
      <c r="X47" s="31">
        <f>(INDEX(Option3!X$106:X$117, MATCH($D47, Option3!$G$106:$G$117,0)))*conv_2026*X$7</f>
        <v>85254.419986179913</v>
      </c>
      <c r="Y47" s="31">
        <f>(INDEX(Option3!Y$106:Y$117, MATCH($D47, Option3!$G$106:$G$117,0)))*conv_2026*Y$7</f>
        <v>87162.075951645238</v>
      </c>
      <c r="Z47" s="31">
        <f>(INDEX(Option3!Z$106:Z$117, MATCH($D47, Option3!$G$106:$G$117,0)))*conv_2026*Z$7</f>
        <v>89088.690639639695</v>
      </c>
      <c r="AA47" s="31">
        <f>(INDEX(Option3!AA$106:AA$117, MATCH($D47, Option3!$G$106:$G$117,0)))*conv_2026*AA$7</f>
        <v>91034.22297524054</v>
      </c>
      <c r="AB47" s="31">
        <f>(INDEX(Option3!AB$106:AB$117, MATCH($D47, Option3!$G$106:$G$117,0)))*conv_2026*AB$7</f>
        <v>92998.633206204046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2" t="s">
        <v>132</v>
      </c>
      <c r="B48" s="252" t="str">
        <f>Option3!A114</f>
        <v>sens5</v>
      </c>
      <c r="C48" s="252" t="str">
        <f>Option3!C114</f>
        <v>Capex 10% higher &amp; Total benefits 10% lower</v>
      </c>
      <c r="D48" s="252" t="str">
        <f t="shared" si="5"/>
        <v>Option 3sens5</v>
      </c>
      <c r="E48" s="253"/>
      <c r="F48" s="31">
        <f t="shared" si="4"/>
        <v>367738.6970491315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-21965.800451739065</v>
      </c>
      <c r="K48" s="31">
        <f>(INDEX(Option3!K$106:K$117, MATCH($D48, Option3!$G$106:$G$117,0)))*conv_2026*K$7</f>
        <v>-19202.359007668882</v>
      </c>
      <c r="L48" s="31">
        <f>(INDEX(Option3!L$106:L$117, MATCH($D48, Option3!$G$106:$G$117,0)))*conv_2026*L$7</f>
        <v>-16395.700036078397</v>
      </c>
      <c r="M48" s="31">
        <f>(INDEX(Option3!M$106:M$117, MATCH($D48, Option3!$G$106:$G$117,0)))*conv_2026*M$7</f>
        <v>-13780.897437599471</v>
      </c>
      <c r="N48" s="31">
        <f>(INDEX(Option3!N$106:N$117, MATCH($D48, Option3!$G$106:$G$117,0)))*conv_2026*N$7</f>
        <v>-11042.748749421473</v>
      </c>
      <c r="O48" s="31">
        <f>(INDEX(Option3!O$106:O$117, MATCH($D48, Option3!$G$106:$G$117,0)))*conv_2026*O$7</f>
        <v>-7864.9727189685163</v>
      </c>
      <c r="P48" s="31">
        <f>(INDEX(Option3!P$106:P$117, MATCH($D48, Option3!$G$106:$G$117,0)))*conv_2026*P$7</f>
        <v>-4199.1996651128466</v>
      </c>
      <c r="Q48" s="31">
        <f>(INDEX(Option3!Q$106:Q$117, MATCH($D48, Option3!$G$106:$G$117,0)))*conv_2026*Q$7</f>
        <v>-1164.5577610636724</v>
      </c>
      <c r="R48" s="31">
        <f>(INDEX(Option3!R$106:R$117, MATCH($D48, Option3!$G$106:$G$117,0)))*conv_2026*R$7</f>
        <v>609.11762640872166</v>
      </c>
      <c r="S48" s="31">
        <f>(INDEX(Option3!S$106:S$117, MATCH($D48, Option3!$G$106:$G$117,0)))*conv_2026*S$7</f>
        <v>2402.0796690732182</v>
      </c>
      <c r="T48" s="31">
        <f>(INDEX(Option3!T$106:T$117, MATCH($D48, Option3!$G$106:$G$117,0)))*conv_2026*T$7</f>
        <v>77814.253289787084</v>
      </c>
      <c r="U48" s="31">
        <f>(INDEX(Option3!U$106:U$117, MATCH($D48, Option3!$G$106:$G$117,0)))*conv_2026*U$7</f>
        <v>79645.635813843226</v>
      </c>
      <c r="V48" s="31">
        <f>(INDEX(Option3!V$106:V$117, MATCH($D48, Option3!$G$106:$G$117,0)))*conv_2026*V$7</f>
        <v>81496.155362654099</v>
      </c>
      <c r="W48" s="31">
        <f>(INDEX(Option3!W$106:W$117, MATCH($D48, Option3!$G$106:$G$117,0)))*conv_2026*W$7</f>
        <v>83365.765178355985</v>
      </c>
      <c r="X48" s="31">
        <f>(INDEX(Option3!X$106:X$117, MATCH($D48, Option3!$G$106:$G$117,0)))*conv_2026*X$7</f>
        <v>85254.419986179913</v>
      </c>
      <c r="Y48" s="31">
        <f>(INDEX(Option3!Y$106:Y$117, MATCH($D48, Option3!$G$106:$G$117,0)))*conv_2026*Y$7</f>
        <v>87162.075951645238</v>
      </c>
      <c r="Z48" s="31">
        <f>(INDEX(Option3!Z$106:Z$117, MATCH($D48, Option3!$G$106:$G$117,0)))*conv_2026*Z$7</f>
        <v>89088.690639639695</v>
      </c>
      <c r="AA48" s="31">
        <f>(INDEX(Option3!AA$106:AA$117, MATCH($D48, Option3!$G$106:$G$117,0)))*conv_2026*AA$7</f>
        <v>91034.22297524054</v>
      </c>
      <c r="AB48" s="31">
        <f>(INDEX(Option3!AB$106:AB$117, MATCH($D48, Option3!$G$106:$G$117,0)))*conv_2026*AB$7</f>
        <v>92998.633206204046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2" t="s">
        <v>132</v>
      </c>
      <c r="B49" s="252" t="str">
        <f>Option3!A115</f>
        <v>sens</v>
      </c>
      <c r="C49" s="252">
        <f>Option3!C115</f>
        <v>0</v>
      </c>
      <c r="D49" s="252" t="str">
        <f t="shared" si="5"/>
        <v>Option 3sens</v>
      </c>
      <c r="E49" s="253"/>
      <c r="F49" s="31">
        <f t="shared" si="4"/>
        <v>530146.71347472875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-9537.7628439267373</v>
      </c>
      <c r="K49" s="31">
        <f>(INDEX(Option3!K$106:K$117, MATCH($D49, Option3!$G$106:$G$117,0)))*conv_2026*K$7</f>
        <v>-6467.2723505154263</v>
      </c>
      <c r="L49" s="31">
        <f>(INDEX(Option3!L$106:L$117, MATCH($D49, Option3!$G$106:$G$117,0)))*conv_2026*L$7</f>
        <v>-3348.7623820815561</v>
      </c>
      <c r="M49" s="31">
        <f>(INDEX(Option3!M$106:M$117, MATCH($D49, Option3!$G$106:$G$117,0)))*conv_2026*M$7</f>
        <v>-443.42616154941453</v>
      </c>
      <c r="N49" s="31">
        <f>(INDEX(Option3!N$106:N$117, MATCH($D49, Option3!$G$106:$G$117,0)))*conv_2026*N$7</f>
        <v>2598.9612697594712</v>
      </c>
      <c r="O49" s="31">
        <f>(INDEX(Option3!O$106:O$117, MATCH($D49, Option3!$G$106:$G$117,0)))*conv_2026*O$7</f>
        <v>6129.823525818314</v>
      </c>
      <c r="P49" s="31">
        <f>(INDEX(Option3!P$106:P$117, MATCH($D49, Option3!$G$106:$G$117,0)))*conv_2026*P$7</f>
        <v>10202.904696769059</v>
      </c>
      <c r="Q49" s="31">
        <f>(INDEX(Option3!Q$106:Q$117, MATCH($D49, Option3!$G$106:$G$117,0)))*conv_2026*Q$7</f>
        <v>13574.729034601474</v>
      </c>
      <c r="R49" s="31">
        <f>(INDEX(Option3!R$106:R$117, MATCH($D49, Option3!$G$106:$G$117,0)))*conv_2026*R$7</f>
        <v>15545.479465126356</v>
      </c>
      <c r="S49" s="31">
        <f>(INDEX(Option3!S$106:S$117, MATCH($D49, Option3!$G$106:$G$117,0)))*conv_2026*S$7</f>
        <v>17537.659512531351</v>
      </c>
      <c r="T49" s="31">
        <f>(INDEX(Option3!T$106:T$117, MATCH($D49, Option3!$G$106:$G$117,0)))*conv_2026*T$7</f>
        <v>86460.281433096767</v>
      </c>
      <c r="U49" s="31">
        <f>(INDEX(Option3!U$106:U$117, MATCH($D49, Option3!$G$106:$G$117,0)))*conv_2026*U$7</f>
        <v>88495.150904270238</v>
      </c>
      <c r="V49" s="31">
        <f>(INDEX(Option3!V$106:V$117, MATCH($D49, Option3!$G$106:$G$117,0)))*conv_2026*V$7</f>
        <v>90551.283736282334</v>
      </c>
      <c r="W49" s="31">
        <f>(INDEX(Option3!W$106:W$117, MATCH($D49, Option3!$G$106:$G$117,0)))*conv_2026*W$7</f>
        <v>92628.627975951109</v>
      </c>
      <c r="X49" s="31">
        <f>(INDEX(Option3!X$106:X$117, MATCH($D49, Option3!$G$106:$G$117,0)))*conv_2026*X$7</f>
        <v>94727.133317977685</v>
      </c>
      <c r="Y49" s="31">
        <f>(INDEX(Option3!Y$106:Y$117, MATCH($D49, Option3!$G$106:$G$117,0)))*conv_2026*Y$7</f>
        <v>96846.751057383604</v>
      </c>
      <c r="Z49" s="31">
        <f>(INDEX(Option3!Z$106:Z$117, MATCH($D49, Option3!$G$106:$G$117,0)))*conv_2026*Z$7</f>
        <v>98987.434044044101</v>
      </c>
      <c r="AA49" s="31">
        <f>(INDEX(Option3!AA$106:AA$117, MATCH($D49, Option3!$G$106:$G$117,0)))*conv_2026*AA$7</f>
        <v>101149.13663915616</v>
      </c>
      <c r="AB49" s="31">
        <f>(INDEX(Option3!AB$106:AB$117, MATCH($D49, Option3!$G$106:$G$117,0)))*conv_2026*AB$7</f>
        <v>103331.81467356005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2" t="s">
        <v>132</v>
      </c>
      <c r="B50" s="252" t="str">
        <f>Option3!A116</f>
        <v>sens</v>
      </c>
      <c r="C50" s="252">
        <f>Option3!C116</f>
        <v>0</v>
      </c>
      <c r="D50" s="252" t="str">
        <f t="shared" si="5"/>
        <v>Option 3sens</v>
      </c>
      <c r="E50" s="253"/>
      <c r="F50" s="31">
        <f t="shared" si="4"/>
        <v>530146.71347472875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-9537.7628439267373</v>
      </c>
      <c r="K50" s="31">
        <f>(INDEX(Option3!K$106:K$117, MATCH($D50, Option3!$G$106:$G$117,0)))*conv_2026*K$7</f>
        <v>-6467.2723505154263</v>
      </c>
      <c r="L50" s="31">
        <f>(INDEX(Option3!L$106:L$117, MATCH($D50, Option3!$G$106:$G$117,0)))*conv_2026*L$7</f>
        <v>-3348.7623820815561</v>
      </c>
      <c r="M50" s="31">
        <f>(INDEX(Option3!M$106:M$117, MATCH($D50, Option3!$G$106:$G$117,0)))*conv_2026*M$7</f>
        <v>-443.42616154941453</v>
      </c>
      <c r="N50" s="31">
        <f>(INDEX(Option3!N$106:N$117, MATCH($D50, Option3!$G$106:$G$117,0)))*conv_2026*N$7</f>
        <v>2598.9612697594712</v>
      </c>
      <c r="O50" s="31">
        <f>(INDEX(Option3!O$106:O$117, MATCH($D50, Option3!$G$106:$G$117,0)))*conv_2026*O$7</f>
        <v>6129.823525818314</v>
      </c>
      <c r="P50" s="31">
        <f>(INDEX(Option3!P$106:P$117, MATCH($D50, Option3!$G$106:$G$117,0)))*conv_2026*P$7</f>
        <v>10202.904696769059</v>
      </c>
      <c r="Q50" s="31">
        <f>(INDEX(Option3!Q$106:Q$117, MATCH($D50, Option3!$G$106:$G$117,0)))*conv_2026*Q$7</f>
        <v>13574.729034601474</v>
      </c>
      <c r="R50" s="31">
        <f>(INDEX(Option3!R$106:R$117, MATCH($D50, Option3!$G$106:$G$117,0)))*conv_2026*R$7</f>
        <v>15545.479465126356</v>
      </c>
      <c r="S50" s="31">
        <f>(INDEX(Option3!S$106:S$117, MATCH($D50, Option3!$G$106:$G$117,0)))*conv_2026*S$7</f>
        <v>17537.659512531351</v>
      </c>
      <c r="T50" s="31">
        <f>(INDEX(Option3!T$106:T$117, MATCH($D50, Option3!$G$106:$G$117,0)))*conv_2026*T$7</f>
        <v>86460.281433096767</v>
      </c>
      <c r="U50" s="31">
        <f>(INDEX(Option3!U$106:U$117, MATCH($D50, Option3!$G$106:$G$117,0)))*conv_2026*U$7</f>
        <v>88495.150904270238</v>
      </c>
      <c r="V50" s="31">
        <f>(INDEX(Option3!V$106:V$117, MATCH($D50, Option3!$G$106:$G$117,0)))*conv_2026*V$7</f>
        <v>90551.283736282334</v>
      </c>
      <c r="W50" s="31">
        <f>(INDEX(Option3!W$106:W$117, MATCH($D50, Option3!$G$106:$G$117,0)))*conv_2026*W$7</f>
        <v>92628.627975951109</v>
      </c>
      <c r="X50" s="31">
        <f>(INDEX(Option3!X$106:X$117, MATCH($D50, Option3!$G$106:$G$117,0)))*conv_2026*X$7</f>
        <v>94727.133317977685</v>
      </c>
      <c r="Y50" s="31">
        <f>(INDEX(Option3!Y$106:Y$117, MATCH($D50, Option3!$G$106:$G$117,0)))*conv_2026*Y$7</f>
        <v>96846.751057383604</v>
      </c>
      <c r="Z50" s="31">
        <f>(INDEX(Option3!Z$106:Z$117, MATCH($D50, Option3!$G$106:$G$117,0)))*conv_2026*Z$7</f>
        <v>98987.434044044101</v>
      </c>
      <c r="AA50" s="31">
        <f>(INDEX(Option3!AA$106:AA$117, MATCH($D50, Option3!$G$106:$G$117,0)))*conv_2026*AA$7</f>
        <v>101149.13663915616</v>
      </c>
      <c r="AB50" s="31">
        <f>(INDEX(Option3!AB$106:AB$117, MATCH($D50, Option3!$G$106:$G$117,0)))*conv_2026*AB$7</f>
        <v>103331.81467356005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2" t="s">
        <v>132</v>
      </c>
      <c r="B51" s="252" t="str">
        <f>Option3!A117</f>
        <v>sens</v>
      </c>
      <c r="C51" s="252">
        <f>Option3!C117</f>
        <v>0</v>
      </c>
      <c r="D51" s="252" t="str">
        <f t="shared" si="5"/>
        <v>Option 3sens</v>
      </c>
      <c r="E51" s="253"/>
      <c r="F51" s="31">
        <f t="shared" si="4"/>
        <v>530146.71347472875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-9537.7628439267373</v>
      </c>
      <c r="K51" s="31">
        <f>(INDEX(Option3!K$106:K$117, MATCH($D51, Option3!$G$106:$G$117,0)))*conv_2026*K$7</f>
        <v>-6467.2723505154263</v>
      </c>
      <c r="L51" s="31">
        <f>(INDEX(Option3!L$106:L$117, MATCH($D51, Option3!$G$106:$G$117,0)))*conv_2026*L$7</f>
        <v>-3348.7623820815561</v>
      </c>
      <c r="M51" s="31">
        <f>(INDEX(Option3!M$106:M$117, MATCH($D51, Option3!$G$106:$G$117,0)))*conv_2026*M$7</f>
        <v>-443.42616154941453</v>
      </c>
      <c r="N51" s="31">
        <f>(INDEX(Option3!N$106:N$117, MATCH($D51, Option3!$G$106:$G$117,0)))*conv_2026*N$7</f>
        <v>2598.9612697594712</v>
      </c>
      <c r="O51" s="31">
        <f>(INDEX(Option3!O$106:O$117, MATCH($D51, Option3!$G$106:$G$117,0)))*conv_2026*O$7</f>
        <v>6129.823525818314</v>
      </c>
      <c r="P51" s="31">
        <f>(INDEX(Option3!P$106:P$117, MATCH($D51, Option3!$G$106:$G$117,0)))*conv_2026*P$7</f>
        <v>10202.904696769059</v>
      </c>
      <c r="Q51" s="31">
        <f>(INDEX(Option3!Q$106:Q$117, MATCH($D51, Option3!$G$106:$G$117,0)))*conv_2026*Q$7</f>
        <v>13574.729034601474</v>
      </c>
      <c r="R51" s="31">
        <f>(INDEX(Option3!R$106:R$117, MATCH($D51, Option3!$G$106:$G$117,0)))*conv_2026*R$7</f>
        <v>15545.479465126356</v>
      </c>
      <c r="S51" s="31">
        <f>(INDEX(Option3!S$106:S$117, MATCH($D51, Option3!$G$106:$G$117,0)))*conv_2026*S$7</f>
        <v>17537.659512531351</v>
      </c>
      <c r="T51" s="31">
        <f>(INDEX(Option3!T$106:T$117, MATCH($D51, Option3!$G$106:$G$117,0)))*conv_2026*T$7</f>
        <v>86460.281433096767</v>
      </c>
      <c r="U51" s="31">
        <f>(INDEX(Option3!U$106:U$117, MATCH($D51, Option3!$G$106:$G$117,0)))*conv_2026*U$7</f>
        <v>88495.150904270238</v>
      </c>
      <c r="V51" s="31">
        <f>(INDEX(Option3!V$106:V$117, MATCH($D51, Option3!$G$106:$G$117,0)))*conv_2026*V$7</f>
        <v>90551.283736282334</v>
      </c>
      <c r="W51" s="31">
        <f>(INDEX(Option3!W$106:W$117, MATCH($D51, Option3!$G$106:$G$117,0)))*conv_2026*W$7</f>
        <v>92628.627975951109</v>
      </c>
      <c r="X51" s="31">
        <f>(INDEX(Option3!X$106:X$117, MATCH($D51, Option3!$G$106:$G$117,0)))*conv_2026*X$7</f>
        <v>94727.133317977685</v>
      </c>
      <c r="Y51" s="31">
        <f>(INDEX(Option3!Y$106:Y$117, MATCH($D51, Option3!$G$106:$G$117,0)))*conv_2026*Y$7</f>
        <v>96846.751057383604</v>
      </c>
      <c r="Z51" s="31">
        <f>(INDEX(Option3!Z$106:Z$117, MATCH($D51, Option3!$G$106:$G$117,0)))*conv_2026*Z$7</f>
        <v>98987.434044044101</v>
      </c>
      <c r="AA51" s="31">
        <f>(INDEX(Option3!AA$106:AA$117, MATCH($D51, Option3!$G$106:$G$117,0)))*conv_2026*AA$7</f>
        <v>101149.13663915616</v>
      </c>
      <c r="AB51" s="31">
        <f>(INDEX(Option3!AB$106:AB$117, MATCH($D51, Option3!$G$106:$G$117,0)))*conv_2026*AB$7</f>
        <v>103331.81467356005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2"/>
      <c r="B52" s="252"/>
      <c r="C52" s="252"/>
      <c r="D52" s="252"/>
      <c r="E52" s="252"/>
      <c r="F52" s="3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5" s="8" customFormat="1" x14ac:dyDescent="0.2">
      <c r="A53" s="252"/>
      <c r="B53" s="252"/>
      <c r="C53" s="252"/>
      <c r="D53" s="252"/>
      <c r="E53" s="252"/>
      <c r="F53" s="31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</row>
    <row r="54" spans="1:35" s="8" customFormat="1" x14ac:dyDescent="0.2">
      <c r="A54" s="252"/>
      <c r="B54" s="252"/>
      <c r="C54" s="252"/>
      <c r="D54" s="252"/>
      <c r="E54" s="252"/>
      <c r="F54" s="31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</row>
    <row r="55" spans="1:35" s="8" customFormat="1" x14ac:dyDescent="0.2">
      <c r="A55" s="252"/>
      <c r="B55" s="252"/>
      <c r="C55" s="252"/>
      <c r="D55" s="252"/>
      <c r="E55" s="252"/>
      <c r="F55" s="31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</row>
    <row r="56" spans="1:35" s="8" customFormat="1" x14ac:dyDescent="0.2">
      <c r="A56" s="252" t="s">
        <v>133</v>
      </c>
      <c r="B56" s="252" t="s">
        <v>119</v>
      </c>
      <c r="C56" s="252" t="s">
        <v>188</v>
      </c>
      <c r="D56" s="252" t="str">
        <f>A56&amp;B56</f>
        <v>Option 4NPV</v>
      </c>
      <c r="E56" s="253"/>
      <c r="F56" s="31">
        <f t="shared" ref="F56:F65" si="6">SUMPRODUCT($H56:$AG56, $H$5:$AG$5)</f>
        <v>0</v>
      </c>
      <c r="G56" s="245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4"/>
      <c r="B57" s="244"/>
      <c r="C57" s="244"/>
      <c r="D57" s="244"/>
      <c r="E57" s="244"/>
      <c r="F57" s="244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7"/>
      <c r="AI57" s="7"/>
    </row>
    <row r="58" spans="1:35" s="8" customFormat="1" x14ac:dyDescent="0.2">
      <c r="A58" s="252" t="s">
        <v>133</v>
      </c>
      <c r="B58" s="252" t="str">
        <f>Option4!A110</f>
        <v>sens1</v>
      </c>
      <c r="C58" s="252" t="str">
        <f>Option4!C110</f>
        <v>Capex 10% higher</v>
      </c>
      <c r="D58" s="252" t="str">
        <f t="shared" ref="D58:D65" si="7">A58&amp;B58</f>
        <v>Option 4sens1</v>
      </c>
      <c r="E58" s="253"/>
      <c r="F58" s="31">
        <f t="shared" si="6"/>
        <v>0</v>
      </c>
      <c r="G58" s="245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2" t="s">
        <v>133</v>
      </c>
      <c r="B59" s="252" t="str">
        <f>Option4!A111</f>
        <v>sens2</v>
      </c>
      <c r="C59" s="252" t="str">
        <f>Option4!C111</f>
        <v>Capex 10% lower</v>
      </c>
      <c r="D59" s="252" t="str">
        <f t="shared" si="7"/>
        <v>Option 4sens2</v>
      </c>
      <c r="E59" s="253"/>
      <c r="F59" s="31">
        <f t="shared" si="6"/>
        <v>0</v>
      </c>
      <c r="G59" s="252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2" t="s">
        <v>133</v>
      </c>
      <c r="B60" s="252" t="str">
        <f>Option4!A112</f>
        <v>sens3</v>
      </c>
      <c r="C60" s="252" t="str">
        <f>Option4!C112</f>
        <v>Total benefits 10% higher</v>
      </c>
      <c r="D60" s="252" t="str">
        <f t="shared" si="7"/>
        <v>Option 4sens3</v>
      </c>
      <c r="E60" s="253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2" t="s">
        <v>133</v>
      </c>
      <c r="B61" s="252" t="str">
        <f>Option4!A113</f>
        <v>sens4</v>
      </c>
      <c r="C61" s="252" t="str">
        <f>Option4!C113</f>
        <v>Total benefits 10% lower</v>
      </c>
      <c r="D61" s="252" t="str">
        <f t="shared" si="7"/>
        <v>Option 4sens4</v>
      </c>
      <c r="E61" s="253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2" t="s">
        <v>133</v>
      </c>
      <c r="B62" s="252" t="str">
        <f>Option4!A114</f>
        <v>sens5</v>
      </c>
      <c r="C62" s="252" t="str">
        <f>Option4!C114</f>
        <v>Capex 10% higher &amp; Total benefits 10% lower</v>
      </c>
      <c r="D62" s="252" t="str">
        <f t="shared" si="7"/>
        <v>Option 4sens5</v>
      </c>
      <c r="E62" s="253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2" t="s">
        <v>133</v>
      </c>
      <c r="B63" s="252" t="str">
        <f>Option4!A115</f>
        <v>sens</v>
      </c>
      <c r="C63" s="252">
        <f>Option4!C115</f>
        <v>0</v>
      </c>
      <c r="D63" s="252" t="str">
        <f t="shared" si="7"/>
        <v>Option 4sens</v>
      </c>
      <c r="E63" s="253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2" t="s">
        <v>133</v>
      </c>
      <c r="B64" s="252" t="str">
        <f>Option4!A116</f>
        <v>sens</v>
      </c>
      <c r="C64" s="252">
        <f>Option4!C116</f>
        <v>0</v>
      </c>
      <c r="D64" s="252" t="str">
        <f t="shared" si="7"/>
        <v>Option 4sens</v>
      </c>
      <c r="E64" s="253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2" t="s">
        <v>133</v>
      </c>
      <c r="B65" s="252" t="str">
        <f>Option4!A117</f>
        <v>sens</v>
      </c>
      <c r="C65" s="252">
        <f>Option4!C117</f>
        <v>0</v>
      </c>
      <c r="D65" s="252" t="str">
        <f t="shared" si="7"/>
        <v>Option 4sens</v>
      </c>
      <c r="E65" s="253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2"/>
      <c r="B66" s="252"/>
      <c r="C66" s="252"/>
      <c r="D66" s="252"/>
      <c r="E66" s="252"/>
      <c r="F66" s="3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</row>
    <row r="67" spans="1:35" s="8" customFormat="1" x14ac:dyDescent="0.2">
      <c r="A67" s="252"/>
      <c r="B67" s="252"/>
      <c r="C67" s="252"/>
      <c r="D67" s="252"/>
      <c r="E67" s="252"/>
      <c r="F67" s="31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</row>
    <row r="68" spans="1:35" s="8" customFormat="1" x14ac:dyDescent="0.2">
      <c r="A68" s="252"/>
      <c r="B68" s="252"/>
      <c r="C68" s="252"/>
      <c r="D68" s="252"/>
      <c r="E68" s="252"/>
      <c r="F68" s="31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</row>
    <row r="69" spans="1:35" s="8" customFormat="1" x14ac:dyDescent="0.2">
      <c r="A69" s="252"/>
      <c r="B69" s="252"/>
      <c r="C69" s="252"/>
      <c r="D69" s="252"/>
      <c r="E69" s="252"/>
      <c r="F69" s="31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</row>
    <row r="70" spans="1:35" s="8" customFormat="1" x14ac:dyDescent="0.2">
      <c r="A70" s="252" t="s">
        <v>154</v>
      </c>
      <c r="B70" s="252" t="s">
        <v>119</v>
      </c>
      <c r="C70" s="252" t="s">
        <v>188</v>
      </c>
      <c r="D70" s="252" t="str">
        <f>A70&amp;B70</f>
        <v>Option 5NPV</v>
      </c>
      <c r="E70" s="253"/>
      <c r="F70" s="31">
        <f t="shared" ref="F70:F79" si="8">SUMPRODUCT($H70:$AG70, $H$5:$AG$5)</f>
        <v>0</v>
      </c>
      <c r="G70" s="245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4"/>
      <c r="B71" s="244"/>
      <c r="C71" s="244"/>
      <c r="D71" s="244"/>
      <c r="E71" s="244"/>
      <c r="F71" s="244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7"/>
      <c r="AI71" s="7"/>
    </row>
    <row r="72" spans="1:35" s="8" customFormat="1" x14ac:dyDescent="0.2">
      <c r="A72" s="252" t="s">
        <v>154</v>
      </c>
      <c r="B72" s="252" t="str">
        <f>Option5!A110</f>
        <v>sens1</v>
      </c>
      <c r="C72" s="252" t="str">
        <f>Option5!C110</f>
        <v>Capex 10% higher</v>
      </c>
      <c r="D72" s="252" t="str">
        <f t="shared" ref="D72:D79" si="9">A72&amp;B72</f>
        <v>Option 5sens1</v>
      </c>
      <c r="E72" s="253"/>
      <c r="F72" s="31">
        <f t="shared" si="8"/>
        <v>0</v>
      </c>
      <c r="G72" s="245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2" t="s">
        <v>154</v>
      </c>
      <c r="B73" s="252" t="str">
        <f>Option5!A111</f>
        <v>sens2</v>
      </c>
      <c r="C73" s="252" t="str">
        <f>Option5!C111</f>
        <v>Capex 10% lower</v>
      </c>
      <c r="D73" s="252" t="str">
        <f t="shared" si="9"/>
        <v>Option 5sens2</v>
      </c>
      <c r="E73" s="253"/>
      <c r="F73" s="31">
        <f t="shared" si="8"/>
        <v>0</v>
      </c>
      <c r="G73" s="252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2" t="s">
        <v>154</v>
      </c>
      <c r="B74" s="252" t="str">
        <f>Option5!A112</f>
        <v>sens3</v>
      </c>
      <c r="C74" s="252" t="str">
        <f>Option5!C112</f>
        <v>Total benefits 10% higher</v>
      </c>
      <c r="D74" s="252" t="str">
        <f t="shared" si="9"/>
        <v>Option 5sens3</v>
      </c>
      <c r="E74" s="253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2" t="s">
        <v>154</v>
      </c>
      <c r="B75" s="252" t="str">
        <f>Option5!A113</f>
        <v>sens4</v>
      </c>
      <c r="C75" s="252" t="str">
        <f>Option5!C113</f>
        <v>Total benefits 10% lower</v>
      </c>
      <c r="D75" s="252" t="str">
        <f t="shared" si="9"/>
        <v>Option 5sens4</v>
      </c>
      <c r="E75" s="253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2" t="s">
        <v>154</v>
      </c>
      <c r="B76" s="252" t="str">
        <f>Option5!A114</f>
        <v>sens5</v>
      </c>
      <c r="C76" s="252" t="str">
        <f>Option5!C114</f>
        <v>Capex 10% higher &amp; Total benefits 10% lower</v>
      </c>
      <c r="D76" s="252" t="str">
        <f t="shared" si="9"/>
        <v>Option 5sens5</v>
      </c>
      <c r="E76" s="253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2" t="s">
        <v>154</v>
      </c>
      <c r="B77" s="252" t="str">
        <f>Option5!A115</f>
        <v>sens</v>
      </c>
      <c r="C77" s="252">
        <f>Option5!C115</f>
        <v>0</v>
      </c>
      <c r="D77" s="252" t="str">
        <f t="shared" si="9"/>
        <v>Option 5sens</v>
      </c>
      <c r="E77" s="253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2" t="s">
        <v>154</v>
      </c>
      <c r="B78" s="252" t="str">
        <f>Option5!A116</f>
        <v>sens</v>
      </c>
      <c r="C78" s="252">
        <f>Option5!C116</f>
        <v>0</v>
      </c>
      <c r="D78" s="252" t="str">
        <f t="shared" si="9"/>
        <v>Option 5sens</v>
      </c>
      <c r="E78" s="253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2" t="s">
        <v>154</v>
      </c>
      <c r="B79" s="252" t="str">
        <f>Option5!A117</f>
        <v>sens</v>
      </c>
      <c r="C79" s="252">
        <f>Option5!C117</f>
        <v>0</v>
      </c>
      <c r="D79" s="252" t="str">
        <f t="shared" si="9"/>
        <v>Option 5sens</v>
      </c>
      <c r="E79" s="253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8"/>
    </row>
    <row r="81" spans="1:34" s="8" customFormat="1" x14ac:dyDescent="0.2">
      <c r="F81" s="248"/>
    </row>
    <row r="82" spans="1:34" s="8" customFormat="1" x14ac:dyDescent="0.2">
      <c r="F82" s="248"/>
    </row>
    <row r="83" spans="1:34" s="8" customFormat="1" x14ac:dyDescent="0.2">
      <c r="F83" s="248"/>
    </row>
    <row r="84" spans="1:34" s="8" customFormat="1" ht="15" x14ac:dyDescent="0.25">
      <c r="A84" s="201" t="s">
        <v>159</v>
      </c>
      <c r="B84" s="54"/>
      <c r="C84" s="19"/>
      <c r="D84" s="19"/>
      <c r="E84" s="83"/>
      <c r="F84" s="19"/>
      <c r="G84" s="222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0"/>
      <c r="AH84" s="10"/>
    </row>
    <row r="85" spans="1:34" s="8" customFormat="1" x14ac:dyDescent="0.2">
      <c r="F85" s="248"/>
    </row>
    <row r="86" spans="1:34" s="8" customFormat="1" x14ac:dyDescent="0.2">
      <c r="F86" s="248"/>
    </row>
    <row r="87" spans="1:34" s="8" customFormat="1" x14ac:dyDescent="0.2">
      <c r="E87" s="248"/>
    </row>
    <row r="88" spans="1:34" s="8" customFormat="1" x14ac:dyDescent="0.2">
      <c r="C88" s="274" t="b" cm="1">
        <f t="array" ref="C88:G88">TRANSPOSE(Data!F9:F13)</f>
        <v>0</v>
      </c>
      <c r="D88" s="274" t="b">
        <v>0</v>
      </c>
      <c r="E88" s="275" t="b">
        <v>0</v>
      </c>
      <c r="F88" s="274" t="b">
        <v>1</v>
      </c>
      <c r="G88" s="274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6" t="str" cm="1">
        <f t="array" ref="C89:G89">TRANSPOSE(options)</f>
        <v>Option 1 (base case)</v>
      </c>
      <c r="D89" s="276" t="str">
        <v>Option 2</v>
      </c>
      <c r="E89" s="276" t="str">
        <v>Option 3</v>
      </c>
      <c r="F89" s="276" t="str">
        <v>Option 4</v>
      </c>
      <c r="G89" s="276" t="str">
        <v>Option 5</v>
      </c>
      <c r="I89" s="276" t="s">
        <v>228</v>
      </c>
      <c r="K89" s="282" t="s">
        <v>229</v>
      </c>
    </row>
    <row r="90" spans="1:34" s="8" customFormat="1" x14ac:dyDescent="0.2">
      <c r="A90" s="260" t="s">
        <v>119</v>
      </c>
      <c r="B90" s="260" t="s">
        <v>219</v>
      </c>
      <c r="C90" s="104">
        <f t="shared" ref="C90:G98" si="10">IF(OR($B90=0,C$88),"", INDEX($F$14:$F$81, MATCH(C$89&amp;$A90,$D$14:$D$81,0))/10^6)</f>
        <v>0</v>
      </c>
      <c r="D90" s="104">
        <f t="shared" si="10"/>
        <v>10.761259693042705</v>
      </c>
      <c r="E90" s="104">
        <f t="shared" si="10"/>
        <v>0.53014671347472875</v>
      </c>
      <c r="F90" s="104" t="str">
        <f t="shared" si="10"/>
        <v/>
      </c>
      <c r="G90" s="104" t="str">
        <f t="shared" si="10"/>
        <v/>
      </c>
      <c r="H90" s="185"/>
      <c r="I90" s="104">
        <f t="shared" ref="I90:I98" si="11">_xlfn.MAXIFS(C90:G90,_xlfn.ANCHORARRAY( C$88),FALSE)</f>
        <v>10.761259693042705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0" t="str">
        <f>"sens"&amp;Assumptions!B111</f>
        <v>sens1</v>
      </c>
      <c r="B91" s="260" t="str">
        <f>Assumptions!C111</f>
        <v>Capex 10% higher</v>
      </c>
      <c r="C91" s="104">
        <f t="shared" si="10"/>
        <v>0</v>
      </c>
      <c r="D91" s="104">
        <f t="shared" si="10"/>
        <v>10.286752958454962</v>
      </c>
      <c r="E91" s="104">
        <f t="shared" si="10"/>
        <v>0.47545004093566651</v>
      </c>
      <c r="F91" s="104" t="str">
        <f t="shared" si="10"/>
        <v/>
      </c>
      <c r="G91" s="104" t="str">
        <f t="shared" si="10"/>
        <v/>
      </c>
      <c r="H91" s="185"/>
      <c r="I91" s="104">
        <f t="shared" si="11"/>
        <v>10.286752958454962</v>
      </c>
      <c r="K91" s="8" t="str">
        <f t="shared" si="12"/>
        <v>Option 2</v>
      </c>
    </row>
    <row r="92" spans="1:34" s="8" customFormat="1" x14ac:dyDescent="0.2">
      <c r="A92" s="260" t="str">
        <f>"sens"&amp;Assumptions!B112</f>
        <v>sens2</v>
      </c>
      <c r="B92" s="260" t="str">
        <f>Assumptions!C112</f>
        <v>Capex 10% lower</v>
      </c>
      <c r="C92" s="104">
        <f t="shared" si="10"/>
        <v>0</v>
      </c>
      <c r="D92" s="104">
        <f t="shared" si="10"/>
        <v>11.235766427630448</v>
      </c>
      <c r="E92" s="104">
        <f t="shared" si="10"/>
        <v>0.58484338601379093</v>
      </c>
      <c r="F92" s="104" t="str">
        <f t="shared" si="10"/>
        <v/>
      </c>
      <c r="G92" s="104" t="str">
        <f t="shared" si="10"/>
        <v/>
      </c>
      <c r="H92" s="185"/>
      <c r="I92" s="104">
        <f t="shared" si="11"/>
        <v>11.235766427630448</v>
      </c>
      <c r="K92" s="8" t="str">
        <f t="shared" si="12"/>
        <v>Option 2</v>
      </c>
    </row>
    <row r="93" spans="1:34" s="8" customFormat="1" x14ac:dyDescent="0.2">
      <c r="A93" s="260" t="str">
        <f>"sens"&amp;Assumptions!B113</f>
        <v>sens3</v>
      </c>
      <c r="B93" s="260" t="str">
        <f>Assumptions!C113</f>
        <v>Total benefits 10% higher</v>
      </c>
      <c r="C93" s="104">
        <f t="shared" si="10"/>
        <v>0</v>
      </c>
      <c r="D93" s="104">
        <f t="shared" si="10"/>
        <v>12.311892396934725</v>
      </c>
      <c r="E93" s="104">
        <f t="shared" si="10"/>
        <v>0.63785805736126377</v>
      </c>
      <c r="F93" s="104" t="str">
        <f t="shared" si="10"/>
        <v/>
      </c>
      <c r="G93" s="104" t="str">
        <f t="shared" si="10"/>
        <v/>
      </c>
      <c r="H93" s="185"/>
      <c r="I93" s="104">
        <f t="shared" si="11"/>
        <v>12.311892396934725</v>
      </c>
      <c r="K93" s="8" t="str">
        <f t="shared" si="12"/>
        <v>Option 2</v>
      </c>
    </row>
    <row r="94" spans="1:34" s="8" customFormat="1" x14ac:dyDescent="0.2">
      <c r="A94" s="260" t="str">
        <f>"sens"&amp;Assumptions!B114</f>
        <v>sens4</v>
      </c>
      <c r="B94" s="260" t="str">
        <f>Assumptions!C114</f>
        <v>Total benefits 10% lower</v>
      </c>
      <c r="C94" s="104">
        <f t="shared" si="10"/>
        <v>0</v>
      </c>
      <c r="D94" s="104">
        <f t="shared" si="10"/>
        <v>9.2106269891506898</v>
      </c>
      <c r="E94" s="104">
        <f t="shared" si="10"/>
        <v>0.42243536958819367</v>
      </c>
      <c r="F94" s="104" t="str">
        <f t="shared" si="10"/>
        <v/>
      </c>
      <c r="G94" s="104" t="str">
        <f t="shared" si="10"/>
        <v/>
      </c>
      <c r="H94" s="185"/>
      <c r="I94" s="104">
        <f t="shared" si="11"/>
        <v>9.2106269891506898</v>
      </c>
      <c r="K94" s="8" t="str">
        <f t="shared" si="12"/>
        <v>Option 2</v>
      </c>
    </row>
    <row r="95" spans="1:34" s="8" customFormat="1" x14ac:dyDescent="0.2">
      <c r="A95" s="260" t="str">
        <f>"sens"&amp;Assumptions!B115</f>
        <v>sens5</v>
      </c>
      <c r="B95" s="260" t="str">
        <f>Assumptions!C115</f>
        <v>Capex 10% higher &amp; Total benefits 10% lower</v>
      </c>
      <c r="C95" s="104">
        <f t="shared" si="10"/>
        <v>0</v>
      </c>
      <c r="D95" s="104">
        <f t="shared" si="10"/>
        <v>8.7361202545629446</v>
      </c>
      <c r="E95" s="104">
        <f t="shared" si="10"/>
        <v>0.36773869704913148</v>
      </c>
      <c r="F95" s="104" t="str">
        <f t="shared" si="10"/>
        <v/>
      </c>
      <c r="G95" s="104" t="str">
        <f t="shared" si="10"/>
        <v/>
      </c>
      <c r="H95" s="185"/>
      <c r="I95" s="104">
        <f t="shared" si="11"/>
        <v>8.7361202545629446</v>
      </c>
      <c r="K95" s="8" t="str">
        <f t="shared" si="12"/>
        <v>Option 2</v>
      </c>
    </row>
    <row r="96" spans="1:34" s="8" customFormat="1" x14ac:dyDescent="0.2">
      <c r="A96" s="260" t="str">
        <f>"sens"&amp;Assumptions!B116</f>
        <v>sens</v>
      </c>
      <c r="B96" s="260">
        <f>Assumptions!C116</f>
        <v>0</v>
      </c>
      <c r="C96" s="104" t="str">
        <f t="shared" si="10"/>
        <v/>
      </c>
      <c r="D96" s="104" t="str">
        <f t="shared" si="10"/>
        <v/>
      </c>
      <c r="E96" s="104" t="str">
        <f t="shared" si="10"/>
        <v/>
      </c>
      <c r="F96" s="104" t="str">
        <f t="shared" si="10"/>
        <v/>
      </c>
      <c r="G96" s="104" t="str">
        <f t="shared" si="10"/>
        <v/>
      </c>
      <c r="H96" s="185"/>
      <c r="I96" s="104">
        <f t="shared" si="11"/>
        <v>0</v>
      </c>
      <c r="K96" s="8" t="str">
        <f t="shared" si="12"/>
        <v/>
      </c>
    </row>
    <row r="97" spans="1:11" x14ac:dyDescent="0.2">
      <c r="A97" s="260" t="str">
        <f>"sens"&amp;Assumptions!B117</f>
        <v>sens</v>
      </c>
      <c r="B97" s="260">
        <f>Assumptions!C117</f>
        <v>0</v>
      </c>
      <c r="C97" s="104" t="str">
        <f t="shared" si="10"/>
        <v/>
      </c>
      <c r="D97" s="104" t="str">
        <f t="shared" si="10"/>
        <v/>
      </c>
      <c r="E97" s="104" t="str">
        <f t="shared" si="10"/>
        <v/>
      </c>
      <c r="F97" s="104" t="str">
        <f t="shared" si="10"/>
        <v/>
      </c>
      <c r="G97" s="104" t="str">
        <f t="shared" si="10"/>
        <v/>
      </c>
      <c r="H97" s="281"/>
      <c r="I97" s="104">
        <f t="shared" si="11"/>
        <v>0</v>
      </c>
      <c r="K97" s="8" t="str">
        <f t="shared" si="12"/>
        <v/>
      </c>
    </row>
    <row r="98" spans="1:11" x14ac:dyDescent="0.2">
      <c r="A98" s="260" t="str">
        <f>"sens"&amp;Assumptions!B118</f>
        <v>sens</v>
      </c>
      <c r="B98" s="260">
        <f>Assumptions!C118</f>
        <v>0</v>
      </c>
      <c r="C98" s="104" t="str">
        <f t="shared" si="10"/>
        <v/>
      </c>
      <c r="D98" s="104" t="str">
        <f t="shared" si="10"/>
        <v/>
      </c>
      <c r="E98" s="104" t="str">
        <f t="shared" si="10"/>
        <v/>
      </c>
      <c r="F98" s="104" t="str">
        <f t="shared" si="10"/>
        <v/>
      </c>
      <c r="G98" s="104" t="str">
        <f t="shared" si="10"/>
        <v/>
      </c>
      <c r="H98" s="281"/>
      <c r="I98" s="104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5163-69F2-4B23-A1D3-4374371C1F1C}">
  <sheetPr codeName="Sheet4">
    <tabColor rgb="FFFFFF00"/>
  </sheetPr>
  <dimension ref="A1:AR47"/>
  <sheetViews>
    <sheetView showGridLines="0" zoomScale="90" zoomScaleNormal="90" workbookViewId="0">
      <pane xSplit="4" ySplit="5" topLeftCell="E6" activePane="bottomRight" state="frozen"/>
      <selection activeCell="F23" sqref="F23:G23"/>
      <selection pane="topRight" activeCell="F23" sqref="F23:G23"/>
      <selection pane="bottomLeft" activeCell="F23" sqref="F23:G23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31.75" style="1" bestFit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44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4" ht="18.75" x14ac:dyDescent="0.3">
      <c r="A2" s="56" t="str">
        <f>proj</f>
        <v>NC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4" ht="18.75" x14ac:dyDescent="0.3">
      <c r="A3" s="5" t="s">
        <v>247</v>
      </c>
      <c r="B3" s="329"/>
      <c r="C3" s="5"/>
      <c r="D3" s="5"/>
    </row>
    <row r="5" spans="1:44" ht="15" x14ac:dyDescent="0.2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</row>
    <row r="6" spans="1:44" x14ac:dyDescent="0.2">
      <c r="C6" s="3"/>
      <c r="D6" s="3"/>
    </row>
    <row r="7" spans="1:44" x14ac:dyDescent="0.2">
      <c r="A7" s="331"/>
      <c r="B7" s="332" t="s">
        <v>248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1"/>
    </row>
    <row r="8" spans="1:44" x14ac:dyDescent="0.2">
      <c r="A8" s="334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</row>
    <row r="9" spans="1:44" x14ac:dyDescent="0.2">
      <c r="A9" s="334"/>
      <c r="B9" s="334"/>
      <c r="C9" s="334"/>
      <c r="D9" s="335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</row>
    <row r="10" spans="1:44" x14ac:dyDescent="0.2">
      <c r="A10" s="334"/>
      <c r="B10" s="334"/>
      <c r="C10" s="334"/>
      <c r="D10" s="334"/>
      <c r="E10" s="336" t="s">
        <v>19</v>
      </c>
      <c r="F10" s="336" t="s">
        <v>21</v>
      </c>
      <c r="G10" s="336" t="s">
        <v>20</v>
      </c>
      <c r="H10" s="336" t="s">
        <v>22</v>
      </c>
      <c r="I10" s="336" t="s">
        <v>93</v>
      </c>
      <c r="J10" s="336" t="s">
        <v>94</v>
      </c>
      <c r="K10" s="336" t="s">
        <v>249</v>
      </c>
      <c r="L10" s="336" t="s">
        <v>250</v>
      </c>
      <c r="M10" s="336" t="s">
        <v>251</v>
      </c>
      <c r="N10" s="336" t="s">
        <v>252</v>
      </c>
      <c r="O10" s="336" t="s">
        <v>253</v>
      </c>
      <c r="P10" s="336" t="s">
        <v>254</v>
      </c>
      <c r="Q10" s="336" t="s">
        <v>255</v>
      </c>
      <c r="R10" s="336" t="s">
        <v>256</v>
      </c>
      <c r="S10" s="336" t="s">
        <v>257</v>
      </c>
      <c r="T10" s="336" t="s">
        <v>258</v>
      </c>
      <c r="U10" s="336" t="s">
        <v>259</v>
      </c>
      <c r="V10" s="336" t="s">
        <v>260</v>
      </c>
      <c r="W10" s="336" t="s">
        <v>261</v>
      </c>
      <c r="X10" s="336" t="s">
        <v>262</v>
      </c>
      <c r="Y10" s="336" t="s">
        <v>263</v>
      </c>
      <c r="Z10" s="336" t="s">
        <v>264</v>
      </c>
      <c r="AA10" s="336" t="s">
        <v>265</v>
      </c>
      <c r="AB10" s="336" t="s">
        <v>266</v>
      </c>
      <c r="AC10" s="336" t="s">
        <v>267</v>
      </c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</row>
    <row r="11" spans="1:44" x14ac:dyDescent="0.2">
      <c r="A11" s="334"/>
      <c r="B11" s="334"/>
      <c r="C11" s="334"/>
      <c r="D11" s="337" t="s">
        <v>2</v>
      </c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</row>
    <row r="12" spans="1:44" x14ac:dyDescent="0.2">
      <c r="A12" s="334"/>
      <c r="B12" s="334"/>
      <c r="C12" s="334"/>
      <c r="D12" s="338" t="s">
        <v>268</v>
      </c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</row>
    <row r="13" spans="1:44" x14ac:dyDescent="0.2">
      <c r="A13" s="334"/>
      <c r="B13" s="334"/>
      <c r="C13" s="334"/>
      <c r="D13" s="340" t="s">
        <v>269</v>
      </c>
      <c r="E13" s="341">
        <f>E12</f>
        <v>0</v>
      </c>
      <c r="F13" s="341">
        <f t="shared" ref="F13:AC13" si="0">F12</f>
        <v>0</v>
      </c>
      <c r="G13" s="341">
        <f t="shared" si="0"/>
        <v>0</v>
      </c>
      <c r="H13" s="341">
        <f t="shared" si="0"/>
        <v>0</v>
      </c>
      <c r="I13" s="341">
        <f t="shared" si="0"/>
        <v>0</v>
      </c>
      <c r="J13" s="341">
        <f t="shared" si="0"/>
        <v>0</v>
      </c>
      <c r="K13" s="341">
        <f t="shared" si="0"/>
        <v>0</v>
      </c>
      <c r="L13" s="341">
        <f t="shared" si="0"/>
        <v>0</v>
      </c>
      <c r="M13" s="341">
        <f t="shared" si="0"/>
        <v>0</v>
      </c>
      <c r="N13" s="341">
        <f t="shared" si="0"/>
        <v>0</v>
      </c>
      <c r="O13" s="341">
        <f t="shared" si="0"/>
        <v>0</v>
      </c>
      <c r="P13" s="341">
        <f t="shared" si="0"/>
        <v>0</v>
      </c>
      <c r="Q13" s="341">
        <f t="shared" si="0"/>
        <v>0</v>
      </c>
      <c r="R13" s="341">
        <f t="shared" si="0"/>
        <v>0</v>
      </c>
      <c r="S13" s="341">
        <f t="shared" si="0"/>
        <v>0</v>
      </c>
      <c r="T13" s="341">
        <f t="shared" si="0"/>
        <v>0</v>
      </c>
      <c r="U13" s="341">
        <f t="shared" si="0"/>
        <v>0</v>
      </c>
      <c r="V13" s="341">
        <f t="shared" si="0"/>
        <v>0</v>
      </c>
      <c r="W13" s="341">
        <f t="shared" si="0"/>
        <v>0</v>
      </c>
      <c r="X13" s="341">
        <f t="shared" si="0"/>
        <v>0</v>
      </c>
      <c r="Y13" s="341">
        <f t="shared" si="0"/>
        <v>0</v>
      </c>
      <c r="Z13" s="341">
        <f t="shared" si="0"/>
        <v>0</v>
      </c>
      <c r="AA13" s="341">
        <f t="shared" si="0"/>
        <v>0</v>
      </c>
      <c r="AB13" s="341">
        <f t="shared" si="0"/>
        <v>0</v>
      </c>
      <c r="AC13" s="341">
        <f t="shared" si="0"/>
        <v>0</v>
      </c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</row>
    <row r="14" spans="1:44" x14ac:dyDescent="0.2">
      <c r="A14" s="334"/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</row>
    <row r="15" spans="1:44" x14ac:dyDescent="0.2">
      <c r="A15" s="334"/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</row>
    <row r="16" spans="1:44" x14ac:dyDescent="0.2">
      <c r="A16" s="342"/>
      <c r="B16" s="332" t="str">
        <f>Assumptions!C15&amp;" - "&amp;Assumptions!E15</f>
        <v>Option 2 - Replace #1 transformer completed in 2027-2028</v>
      </c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</row>
    <row r="17" spans="1:44" x14ac:dyDescent="0.2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</row>
    <row r="18" spans="1:44" x14ac:dyDescent="0.2">
      <c r="A18" s="334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</row>
    <row r="19" spans="1:44" x14ac:dyDescent="0.2">
      <c r="A19" s="334"/>
      <c r="B19" s="334"/>
      <c r="C19" s="334"/>
      <c r="D19" s="334"/>
      <c r="E19" s="336" t="s">
        <v>19</v>
      </c>
      <c r="F19" s="336" t="s">
        <v>21</v>
      </c>
      <c r="G19" s="336" t="s">
        <v>20</v>
      </c>
      <c r="H19" s="336" t="s">
        <v>22</v>
      </c>
      <c r="I19" s="336" t="s">
        <v>93</v>
      </c>
      <c r="J19" s="336" t="s">
        <v>94</v>
      </c>
      <c r="K19" s="336" t="s">
        <v>249</v>
      </c>
      <c r="L19" s="336" t="s">
        <v>250</v>
      </c>
      <c r="M19" s="336" t="s">
        <v>251</v>
      </c>
      <c r="N19" s="336" t="s">
        <v>252</v>
      </c>
      <c r="O19" s="336" t="s">
        <v>253</v>
      </c>
      <c r="P19" s="336" t="s">
        <v>254</v>
      </c>
      <c r="Q19" s="336" t="s">
        <v>255</v>
      </c>
      <c r="R19" s="336" t="s">
        <v>256</v>
      </c>
      <c r="S19" s="336" t="s">
        <v>257</v>
      </c>
      <c r="T19" s="336" t="s">
        <v>258</v>
      </c>
      <c r="U19" s="336" t="s">
        <v>259</v>
      </c>
      <c r="V19" s="336" t="s">
        <v>260</v>
      </c>
      <c r="W19" s="336" t="s">
        <v>261</v>
      </c>
      <c r="X19" s="336" t="s">
        <v>262</v>
      </c>
      <c r="Y19" s="336" t="s">
        <v>263</v>
      </c>
      <c r="Z19" s="336" t="s">
        <v>264</v>
      </c>
      <c r="AA19" s="336" t="s">
        <v>265</v>
      </c>
      <c r="AB19" s="336" t="s">
        <v>266</v>
      </c>
      <c r="AC19" s="336" t="s">
        <v>267</v>
      </c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</row>
    <row r="20" spans="1:44" x14ac:dyDescent="0.2">
      <c r="A20" s="334"/>
      <c r="B20" s="334"/>
      <c r="C20" s="334"/>
      <c r="D20" s="337" t="s">
        <v>270</v>
      </c>
      <c r="E20" s="339">
        <v>5066390.3999999994</v>
      </c>
      <c r="F20" s="339">
        <v>2533195.1999999997</v>
      </c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</row>
    <row r="21" spans="1:44" x14ac:dyDescent="0.2">
      <c r="A21" s="334"/>
      <c r="B21" s="334"/>
      <c r="C21" s="334"/>
      <c r="D21" s="343" t="s">
        <v>271</v>
      </c>
      <c r="E21" s="344">
        <f>E20</f>
        <v>5066390.3999999994</v>
      </c>
      <c r="F21" s="344">
        <f t="shared" ref="F21:AC21" si="1">F20</f>
        <v>2533195.1999999997</v>
      </c>
      <c r="G21" s="344">
        <f t="shared" si="1"/>
        <v>0</v>
      </c>
      <c r="H21" s="344">
        <f t="shared" si="1"/>
        <v>0</v>
      </c>
      <c r="I21" s="344">
        <f t="shared" si="1"/>
        <v>0</v>
      </c>
      <c r="J21" s="344">
        <f t="shared" si="1"/>
        <v>0</v>
      </c>
      <c r="K21" s="344">
        <f t="shared" si="1"/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4">
        <f t="shared" si="1"/>
        <v>0</v>
      </c>
      <c r="P21" s="344">
        <f t="shared" si="1"/>
        <v>0</v>
      </c>
      <c r="Q21" s="344">
        <f t="shared" si="1"/>
        <v>0</v>
      </c>
      <c r="R21" s="344">
        <f t="shared" si="1"/>
        <v>0</v>
      </c>
      <c r="S21" s="344">
        <f t="shared" si="1"/>
        <v>0</v>
      </c>
      <c r="T21" s="344">
        <f t="shared" si="1"/>
        <v>0</v>
      </c>
      <c r="U21" s="344">
        <f t="shared" si="1"/>
        <v>0</v>
      </c>
      <c r="V21" s="344">
        <f t="shared" si="1"/>
        <v>0</v>
      </c>
      <c r="W21" s="344">
        <f t="shared" si="1"/>
        <v>0</v>
      </c>
      <c r="X21" s="344">
        <f t="shared" si="1"/>
        <v>0</v>
      </c>
      <c r="Y21" s="344">
        <f t="shared" si="1"/>
        <v>0</v>
      </c>
      <c r="Z21" s="344">
        <f t="shared" si="1"/>
        <v>0</v>
      </c>
      <c r="AA21" s="344">
        <f t="shared" si="1"/>
        <v>0</v>
      </c>
      <c r="AB21" s="344">
        <f t="shared" si="1"/>
        <v>0</v>
      </c>
      <c r="AC21" s="344">
        <f t="shared" si="1"/>
        <v>0</v>
      </c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</row>
    <row r="22" spans="1:44" x14ac:dyDescent="0.2">
      <c r="A22" s="334"/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</row>
    <row r="23" spans="1:44" x14ac:dyDescent="0.2">
      <c r="A23" s="334"/>
      <c r="B23" s="334"/>
      <c r="C23" s="334"/>
      <c r="D23" s="334"/>
      <c r="E23" s="336" t="s">
        <v>19</v>
      </c>
      <c r="F23" s="336" t="s">
        <v>21</v>
      </c>
      <c r="G23" s="336" t="s">
        <v>20</v>
      </c>
      <c r="H23" s="336" t="s">
        <v>22</v>
      </c>
      <c r="I23" s="336" t="s">
        <v>93</v>
      </c>
      <c r="J23" s="336" t="s">
        <v>94</v>
      </c>
      <c r="K23" s="336" t="s">
        <v>249</v>
      </c>
      <c r="L23" s="336" t="s">
        <v>250</v>
      </c>
      <c r="M23" s="336" t="s">
        <v>251</v>
      </c>
      <c r="N23" s="336" t="s">
        <v>252</v>
      </c>
      <c r="O23" s="336" t="s">
        <v>253</v>
      </c>
      <c r="P23" s="336" t="s">
        <v>254</v>
      </c>
      <c r="Q23" s="336" t="s">
        <v>255</v>
      </c>
      <c r="R23" s="336" t="s">
        <v>256</v>
      </c>
      <c r="S23" s="336" t="s">
        <v>257</v>
      </c>
      <c r="T23" s="336" t="s">
        <v>258</v>
      </c>
      <c r="U23" s="336" t="s">
        <v>259</v>
      </c>
      <c r="V23" s="336" t="s">
        <v>260</v>
      </c>
      <c r="W23" s="336" t="s">
        <v>261</v>
      </c>
      <c r="X23" s="336" t="s">
        <v>262</v>
      </c>
      <c r="Y23" s="336" t="s">
        <v>263</v>
      </c>
      <c r="Z23" s="336" t="s">
        <v>264</v>
      </c>
      <c r="AA23" s="336" t="s">
        <v>265</v>
      </c>
      <c r="AB23" s="336" t="s">
        <v>266</v>
      </c>
      <c r="AC23" s="336" t="s">
        <v>267</v>
      </c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</row>
    <row r="24" spans="1:44" x14ac:dyDescent="0.2">
      <c r="A24" s="334"/>
      <c r="B24" s="334"/>
      <c r="C24" s="334"/>
      <c r="D24" s="337" t="s">
        <v>2</v>
      </c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</row>
    <row r="25" spans="1:44" x14ac:dyDescent="0.2">
      <c r="A25" s="334"/>
      <c r="B25" s="334"/>
      <c r="C25" s="334"/>
      <c r="D25" s="338" t="s">
        <v>272</v>
      </c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</row>
    <row r="26" spans="1:44" x14ac:dyDescent="0.2">
      <c r="A26" s="334"/>
      <c r="B26" s="334"/>
      <c r="C26" s="334"/>
      <c r="D26" s="340" t="s">
        <v>269</v>
      </c>
      <c r="E26" s="341">
        <f>E25</f>
        <v>0</v>
      </c>
      <c r="F26" s="341">
        <f t="shared" ref="F26:AC26" si="2">F25</f>
        <v>0</v>
      </c>
      <c r="G26" s="341">
        <f t="shared" si="2"/>
        <v>0</v>
      </c>
      <c r="H26" s="341">
        <f t="shared" si="2"/>
        <v>0</v>
      </c>
      <c r="I26" s="341">
        <f t="shared" si="2"/>
        <v>0</v>
      </c>
      <c r="J26" s="341">
        <f t="shared" si="2"/>
        <v>0</v>
      </c>
      <c r="K26" s="341">
        <f t="shared" si="2"/>
        <v>0</v>
      </c>
      <c r="L26" s="341">
        <f t="shared" si="2"/>
        <v>0</v>
      </c>
      <c r="M26" s="341">
        <f t="shared" si="2"/>
        <v>0</v>
      </c>
      <c r="N26" s="341">
        <f t="shared" si="2"/>
        <v>0</v>
      </c>
      <c r="O26" s="341">
        <f t="shared" si="2"/>
        <v>0</v>
      </c>
      <c r="P26" s="341">
        <f t="shared" si="2"/>
        <v>0</v>
      </c>
      <c r="Q26" s="341">
        <f t="shared" si="2"/>
        <v>0</v>
      </c>
      <c r="R26" s="341">
        <f t="shared" si="2"/>
        <v>0</v>
      </c>
      <c r="S26" s="341">
        <f t="shared" si="2"/>
        <v>0</v>
      </c>
      <c r="T26" s="341">
        <f t="shared" si="2"/>
        <v>0</v>
      </c>
      <c r="U26" s="341">
        <f t="shared" si="2"/>
        <v>0</v>
      </c>
      <c r="V26" s="341">
        <f t="shared" si="2"/>
        <v>0</v>
      </c>
      <c r="W26" s="341">
        <f t="shared" si="2"/>
        <v>0</v>
      </c>
      <c r="X26" s="341">
        <f t="shared" si="2"/>
        <v>0</v>
      </c>
      <c r="Y26" s="341">
        <f t="shared" si="2"/>
        <v>0</v>
      </c>
      <c r="Z26" s="341">
        <f t="shared" si="2"/>
        <v>0</v>
      </c>
      <c r="AA26" s="341">
        <f t="shared" si="2"/>
        <v>0</v>
      </c>
      <c r="AB26" s="341">
        <f t="shared" si="2"/>
        <v>0</v>
      </c>
      <c r="AC26" s="341">
        <f t="shared" si="2"/>
        <v>0</v>
      </c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</row>
    <row r="27" spans="1:44" x14ac:dyDescent="0.2">
      <c r="A27" s="334"/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</row>
    <row r="28" spans="1:44" x14ac:dyDescent="0.2">
      <c r="A28" s="334"/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</row>
    <row r="29" spans="1:44" x14ac:dyDescent="0.2">
      <c r="A29" s="334"/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</row>
    <row r="30" spans="1:44" x14ac:dyDescent="0.2">
      <c r="A30" s="342"/>
      <c r="B30" s="332" t="str">
        <f>Assumptions!C16&amp;" - "&amp;Assumptions!E16</f>
        <v>Option 3 - Refurbish #1 transformer completed in 2026-2027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</row>
    <row r="31" spans="1:44" x14ac:dyDescent="0.2">
      <c r="A31" s="334"/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</row>
    <row r="32" spans="1:44" x14ac:dyDescent="0.2">
      <c r="A32" s="334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</row>
    <row r="33" spans="1:44" x14ac:dyDescent="0.2">
      <c r="A33" s="334"/>
      <c r="B33" s="334"/>
      <c r="C33" s="334"/>
      <c r="D33" s="334"/>
      <c r="E33" s="336" t="s">
        <v>19</v>
      </c>
      <c r="F33" s="336" t="s">
        <v>21</v>
      </c>
      <c r="G33" s="336" t="s">
        <v>20</v>
      </c>
      <c r="H33" s="336" t="s">
        <v>22</v>
      </c>
      <c r="I33" s="336" t="s">
        <v>93</v>
      </c>
      <c r="J33" s="336" t="s">
        <v>94</v>
      </c>
      <c r="K33" s="336" t="s">
        <v>249</v>
      </c>
      <c r="L33" s="336" t="s">
        <v>250</v>
      </c>
      <c r="M33" s="336" t="s">
        <v>251</v>
      </c>
      <c r="N33" s="336" t="s">
        <v>252</v>
      </c>
      <c r="O33" s="336" t="s">
        <v>253</v>
      </c>
      <c r="P33" s="336" t="s">
        <v>254</v>
      </c>
      <c r="Q33" s="336" t="s">
        <v>255</v>
      </c>
      <c r="R33" s="336" t="s">
        <v>256</v>
      </c>
      <c r="S33" s="336" t="s">
        <v>257</v>
      </c>
      <c r="T33" s="336" t="s">
        <v>258</v>
      </c>
      <c r="U33" s="336" t="s">
        <v>259</v>
      </c>
      <c r="V33" s="336" t="s">
        <v>260</v>
      </c>
      <c r="W33" s="336" t="s">
        <v>261</v>
      </c>
      <c r="X33" s="336" t="s">
        <v>262</v>
      </c>
      <c r="Y33" s="336" t="s">
        <v>263</v>
      </c>
      <c r="Z33" s="336" t="s">
        <v>264</v>
      </c>
      <c r="AA33" s="336" t="s">
        <v>265</v>
      </c>
      <c r="AB33" s="336" t="s">
        <v>266</v>
      </c>
      <c r="AC33" s="336" t="s">
        <v>267</v>
      </c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</row>
    <row r="34" spans="1:44" x14ac:dyDescent="0.2">
      <c r="A34" s="334"/>
      <c r="B34" s="334"/>
      <c r="C34" s="334"/>
      <c r="D34" s="337" t="s">
        <v>270</v>
      </c>
      <c r="E34" s="339">
        <v>500000</v>
      </c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</row>
    <row r="35" spans="1:44" x14ac:dyDescent="0.2">
      <c r="A35" s="334"/>
      <c r="B35" s="334"/>
      <c r="C35" s="334"/>
      <c r="D35" s="343" t="s">
        <v>271</v>
      </c>
      <c r="E35" s="344">
        <f>E34</f>
        <v>500000</v>
      </c>
      <c r="F35" s="344">
        <f t="shared" ref="F35:AC35" si="3">F34</f>
        <v>0</v>
      </c>
      <c r="G35" s="344">
        <f t="shared" si="3"/>
        <v>0</v>
      </c>
      <c r="H35" s="344">
        <f t="shared" si="3"/>
        <v>0</v>
      </c>
      <c r="I35" s="344">
        <f t="shared" si="3"/>
        <v>0</v>
      </c>
      <c r="J35" s="344">
        <f t="shared" si="3"/>
        <v>0</v>
      </c>
      <c r="K35" s="344">
        <f t="shared" si="3"/>
        <v>0</v>
      </c>
      <c r="L35" s="344">
        <f t="shared" si="3"/>
        <v>0</v>
      </c>
      <c r="M35" s="344">
        <f t="shared" si="3"/>
        <v>0</v>
      </c>
      <c r="N35" s="344">
        <f t="shared" si="3"/>
        <v>0</v>
      </c>
      <c r="O35" s="344">
        <f t="shared" si="3"/>
        <v>0</v>
      </c>
      <c r="P35" s="344">
        <f t="shared" si="3"/>
        <v>0</v>
      </c>
      <c r="Q35" s="344">
        <f t="shared" si="3"/>
        <v>0</v>
      </c>
      <c r="R35" s="344">
        <f t="shared" si="3"/>
        <v>0</v>
      </c>
      <c r="S35" s="344">
        <f t="shared" si="3"/>
        <v>0</v>
      </c>
      <c r="T35" s="344">
        <f t="shared" si="3"/>
        <v>0</v>
      </c>
      <c r="U35" s="344">
        <f t="shared" si="3"/>
        <v>0</v>
      </c>
      <c r="V35" s="344">
        <f t="shared" si="3"/>
        <v>0</v>
      </c>
      <c r="W35" s="344">
        <f t="shared" si="3"/>
        <v>0</v>
      </c>
      <c r="X35" s="344">
        <f t="shared" si="3"/>
        <v>0</v>
      </c>
      <c r="Y35" s="344">
        <f t="shared" si="3"/>
        <v>0</v>
      </c>
      <c r="Z35" s="344">
        <f t="shared" si="3"/>
        <v>0</v>
      </c>
      <c r="AA35" s="344">
        <f t="shared" si="3"/>
        <v>0</v>
      </c>
      <c r="AB35" s="344">
        <f t="shared" si="3"/>
        <v>0</v>
      </c>
      <c r="AC35" s="344">
        <f t="shared" si="3"/>
        <v>0</v>
      </c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</row>
    <row r="36" spans="1:44" x14ac:dyDescent="0.2">
      <c r="A36" s="334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</row>
    <row r="37" spans="1:44" x14ac:dyDescent="0.2">
      <c r="A37" s="334"/>
      <c r="B37" s="334"/>
      <c r="C37" s="334"/>
      <c r="D37" s="334"/>
      <c r="E37" s="336" t="s">
        <v>19</v>
      </c>
      <c r="F37" s="336" t="s">
        <v>21</v>
      </c>
      <c r="G37" s="336" t="s">
        <v>20</v>
      </c>
      <c r="H37" s="336" t="s">
        <v>22</v>
      </c>
      <c r="I37" s="336" t="s">
        <v>93</v>
      </c>
      <c r="J37" s="336" t="s">
        <v>94</v>
      </c>
      <c r="K37" s="336" t="s">
        <v>249</v>
      </c>
      <c r="L37" s="336" t="s">
        <v>250</v>
      </c>
      <c r="M37" s="336" t="s">
        <v>251</v>
      </c>
      <c r="N37" s="336" t="s">
        <v>252</v>
      </c>
      <c r="O37" s="336" t="s">
        <v>253</v>
      </c>
      <c r="P37" s="336" t="s">
        <v>254</v>
      </c>
      <c r="Q37" s="336" t="s">
        <v>255</v>
      </c>
      <c r="R37" s="336" t="s">
        <v>256</v>
      </c>
      <c r="S37" s="336" t="s">
        <v>257</v>
      </c>
      <c r="T37" s="336" t="s">
        <v>258</v>
      </c>
      <c r="U37" s="336" t="s">
        <v>259</v>
      </c>
      <c r="V37" s="336" t="s">
        <v>260</v>
      </c>
      <c r="W37" s="336" t="s">
        <v>261</v>
      </c>
      <c r="X37" s="336" t="s">
        <v>262</v>
      </c>
      <c r="Y37" s="336" t="s">
        <v>263</v>
      </c>
      <c r="Z37" s="336" t="s">
        <v>264</v>
      </c>
      <c r="AA37" s="336" t="s">
        <v>265</v>
      </c>
      <c r="AB37" s="336" t="s">
        <v>266</v>
      </c>
      <c r="AC37" s="336" t="s">
        <v>267</v>
      </c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</row>
    <row r="38" spans="1:44" x14ac:dyDescent="0.2">
      <c r="A38" s="334"/>
      <c r="B38" s="334"/>
      <c r="C38" s="334"/>
      <c r="D38" s="337" t="s">
        <v>2</v>
      </c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</row>
    <row r="39" spans="1:44" x14ac:dyDescent="0.2">
      <c r="A39" s="334"/>
      <c r="B39" s="334"/>
      <c r="C39" s="334"/>
      <c r="D39" s="338" t="s">
        <v>272</v>
      </c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</row>
    <row r="40" spans="1:44" x14ac:dyDescent="0.2">
      <c r="A40" s="334"/>
      <c r="B40" s="334"/>
      <c r="C40" s="334"/>
      <c r="D40" s="340" t="s">
        <v>269</v>
      </c>
      <c r="E40" s="341">
        <v>0</v>
      </c>
      <c r="F40" s="341">
        <v>0</v>
      </c>
      <c r="G40" s="341">
        <v>0</v>
      </c>
      <c r="H40" s="341">
        <v>0</v>
      </c>
      <c r="I40" s="341">
        <v>0</v>
      </c>
      <c r="J40" s="341">
        <v>0</v>
      </c>
      <c r="K40" s="341">
        <v>0</v>
      </c>
      <c r="L40" s="341">
        <v>0</v>
      </c>
      <c r="M40" s="341">
        <v>0</v>
      </c>
      <c r="N40" s="341">
        <v>0</v>
      </c>
      <c r="O40" s="341">
        <v>0</v>
      </c>
      <c r="P40" s="341">
        <v>0</v>
      </c>
      <c r="Q40" s="341">
        <v>0</v>
      </c>
      <c r="R40" s="341">
        <v>0</v>
      </c>
      <c r="S40" s="341">
        <v>0</v>
      </c>
      <c r="T40" s="341">
        <v>0</v>
      </c>
      <c r="U40" s="341">
        <v>0</v>
      </c>
      <c r="V40" s="341">
        <v>0</v>
      </c>
      <c r="W40" s="341">
        <v>0</v>
      </c>
      <c r="X40" s="341">
        <v>0</v>
      </c>
      <c r="Y40" s="341">
        <v>0</v>
      </c>
      <c r="Z40" s="341">
        <v>0</v>
      </c>
      <c r="AA40" s="341">
        <v>0</v>
      </c>
      <c r="AB40" s="341">
        <v>0</v>
      </c>
      <c r="AC40" s="341">
        <v>0</v>
      </c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</row>
    <row r="41" spans="1:44" x14ac:dyDescent="0.2">
      <c r="A41" s="334"/>
      <c r="B41" s="334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</row>
    <row r="42" spans="1:44" x14ac:dyDescent="0.2">
      <c r="A42" s="334"/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34"/>
    </row>
    <row r="43" spans="1:44" x14ac:dyDescent="0.2">
      <c r="A43" s="334"/>
      <c r="B43" s="334"/>
      <c r="C43" s="334"/>
      <c r="D43" s="334"/>
      <c r="E43" s="334"/>
      <c r="F43" s="346"/>
      <c r="G43" s="334"/>
      <c r="H43" s="334"/>
      <c r="I43" s="334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</row>
    <row r="44" spans="1:44" x14ac:dyDescent="0.2">
      <c r="A44" s="334"/>
      <c r="B44" s="334"/>
      <c r="C44" s="334"/>
      <c r="D44" s="334"/>
      <c r="E44" s="334"/>
      <c r="F44" s="346"/>
      <c r="G44" s="334"/>
      <c r="H44" s="334"/>
      <c r="I44" s="334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34"/>
      <c r="AE44" s="334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</row>
    <row r="45" spans="1:44" x14ac:dyDescent="0.2">
      <c r="A45" s="334"/>
      <c r="B45" s="334"/>
      <c r="C45" s="334"/>
      <c r="D45" s="334"/>
      <c r="E45" s="334"/>
      <c r="F45" s="346"/>
      <c r="G45" s="334"/>
      <c r="H45" s="334"/>
      <c r="I45" s="334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</row>
    <row r="46" spans="1:44" x14ac:dyDescent="0.2">
      <c r="A46" s="334"/>
      <c r="B46" s="334"/>
      <c r="C46" s="334"/>
      <c r="D46" s="334"/>
      <c r="E46" s="334"/>
      <c r="F46" s="346"/>
      <c r="G46" s="334"/>
      <c r="H46" s="334"/>
      <c r="I46" s="334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34"/>
      <c r="AE46" s="334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</row>
    <row r="47" spans="1:44" x14ac:dyDescent="0.2">
      <c r="A47" s="334"/>
      <c r="B47" s="334"/>
      <c r="C47" s="334"/>
      <c r="D47" s="334"/>
      <c r="E47" s="334"/>
      <c r="F47" s="346"/>
      <c r="G47" s="334"/>
      <c r="H47" s="334"/>
      <c r="I47" s="334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5710-E35D-4694-9BC6-D8FD8F8BE172}">
  <sheetPr codeName="Sheet10">
    <tabColor rgb="FFFFFF00"/>
  </sheetPr>
  <dimension ref="A1:AR40"/>
  <sheetViews>
    <sheetView showGridLines="0" zoomScale="90" zoomScaleNormal="90" workbookViewId="0">
      <pane xSplit="4" ySplit="5" topLeftCell="E6" activePane="bottomRight" state="frozen"/>
      <selection activeCell="F23" sqref="F23:G23"/>
      <selection pane="topRight" activeCell="F23" sqref="F23:G23"/>
      <selection pane="bottomLeft" activeCell="F23" sqref="F23:G23"/>
      <selection pane="bottomRight" activeCell="B31" sqref="B31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23.875" style="1" bestFit="1" customWidth="1"/>
    <col min="5" max="5" width="12.1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44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4" ht="18.75" x14ac:dyDescent="0.3">
      <c r="A2" s="56" t="str">
        <f>proj</f>
        <v>NC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4" ht="18.75" x14ac:dyDescent="0.3">
      <c r="A3" s="5" t="s">
        <v>273</v>
      </c>
      <c r="B3" s="329"/>
      <c r="C3" s="5"/>
      <c r="D3" s="5"/>
    </row>
    <row r="5" spans="1:44" ht="15" x14ac:dyDescent="0.2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</row>
    <row r="6" spans="1:44" x14ac:dyDescent="0.2">
      <c r="C6" s="3"/>
      <c r="D6" s="3"/>
    </row>
    <row r="7" spans="1:44" x14ac:dyDescent="0.2">
      <c r="A7" s="331"/>
      <c r="B7" s="332" t="s">
        <v>248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1"/>
    </row>
    <row r="8" spans="1:44" x14ac:dyDescent="0.2">
      <c r="A8" s="334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</row>
    <row r="9" spans="1:44" x14ac:dyDescent="0.2">
      <c r="A9" s="334"/>
      <c r="B9" s="334"/>
      <c r="C9" s="334"/>
      <c r="D9" s="334"/>
      <c r="E9" s="336" t="s">
        <v>19</v>
      </c>
      <c r="F9" s="336" t="s">
        <v>21</v>
      </c>
      <c r="G9" s="336" t="s">
        <v>20</v>
      </c>
      <c r="H9" s="336" t="s">
        <v>22</v>
      </c>
      <c r="I9" s="336" t="s">
        <v>93</v>
      </c>
      <c r="J9" s="336" t="s">
        <v>94</v>
      </c>
      <c r="K9" s="336" t="s">
        <v>249</v>
      </c>
      <c r="L9" s="336" t="s">
        <v>250</v>
      </c>
      <c r="M9" s="336" t="s">
        <v>251</v>
      </c>
      <c r="N9" s="336" t="s">
        <v>252</v>
      </c>
      <c r="O9" s="336" t="s">
        <v>253</v>
      </c>
      <c r="P9" s="336" t="s">
        <v>254</v>
      </c>
      <c r="Q9" s="336" t="s">
        <v>255</v>
      </c>
      <c r="R9" s="336" t="s">
        <v>256</v>
      </c>
      <c r="S9" s="336" t="s">
        <v>257</v>
      </c>
      <c r="T9" s="336" t="s">
        <v>258</v>
      </c>
      <c r="U9" s="336" t="s">
        <v>259</v>
      </c>
      <c r="V9" s="336" t="s">
        <v>260</v>
      </c>
      <c r="W9" s="336" t="s">
        <v>261</v>
      </c>
      <c r="X9" s="336" t="s">
        <v>262</v>
      </c>
      <c r="Y9" s="336" t="s">
        <v>263</v>
      </c>
      <c r="Z9" s="336" t="s">
        <v>264</v>
      </c>
      <c r="AA9" s="336" t="s">
        <v>265</v>
      </c>
      <c r="AB9" s="336" t="s">
        <v>266</v>
      </c>
      <c r="AC9" s="336" t="s">
        <v>267</v>
      </c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</row>
    <row r="10" spans="1:44" x14ac:dyDescent="0.2">
      <c r="A10" s="334"/>
      <c r="B10" s="334"/>
      <c r="C10" s="334"/>
      <c r="D10" s="348" t="s">
        <v>274</v>
      </c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</row>
    <row r="11" spans="1:44" x14ac:dyDescent="0.2">
      <c r="A11" s="334"/>
      <c r="B11" s="334"/>
      <c r="C11" s="334"/>
      <c r="D11" s="334" t="s">
        <v>275</v>
      </c>
      <c r="E11" s="349">
        <v>859354.77503484616</v>
      </c>
      <c r="F11" s="349">
        <v>904351.73152310133</v>
      </c>
      <c r="G11" s="349">
        <v>957039.73253107024</v>
      </c>
      <c r="H11" s="349">
        <v>1010544.4225448999</v>
      </c>
      <c r="I11" s="349">
        <v>1060311.0715302068</v>
      </c>
      <c r="J11" s="349">
        <v>1112448.3669099128</v>
      </c>
      <c r="K11" s="349">
        <v>1173081.2690906434</v>
      </c>
      <c r="L11" s="349">
        <v>1243145.8494889606</v>
      </c>
      <c r="M11" s="349">
        <v>1300960.4193666072</v>
      </c>
      <c r="N11" s="349">
        <v>1334326.5341563418</v>
      </c>
      <c r="O11" s="349">
        <v>1368047.2256372187</v>
      </c>
      <c r="P11" s="349">
        <v>1402121.2717193926</v>
      </c>
      <c r="Q11" s="349">
        <v>1436547.4797425719</v>
      </c>
      <c r="R11" s="349">
        <v>1471324.6855554748</v>
      </c>
      <c r="S11" s="349">
        <v>1506451.7526373356</v>
      </c>
      <c r="T11" s="349">
        <v>1541927.571259059</v>
      </c>
      <c r="U11" s="349">
        <v>1577751.0576816348</v>
      </c>
      <c r="V11" s="349">
        <v>1613921.1533897456</v>
      </c>
      <c r="W11" s="349">
        <v>1650436.8243585015</v>
      </c>
      <c r="X11" s="349">
        <v>1687297.0603515038</v>
      </c>
      <c r="Y11" s="349">
        <v>1724500.8742484988</v>
      </c>
      <c r="Z11" s="349">
        <v>1762047.3014009651</v>
      </c>
      <c r="AA11" s="349">
        <v>1799935.3990142036</v>
      </c>
      <c r="AB11" s="349">
        <v>1838164.2455544423</v>
      </c>
      <c r="AC11" s="349">
        <v>1876732.9401797226</v>
      </c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</row>
    <row r="12" spans="1:44" x14ac:dyDescent="0.2">
      <c r="A12" s="334"/>
      <c r="B12" s="334"/>
      <c r="C12" s="334"/>
      <c r="D12" s="334" t="s">
        <v>320</v>
      </c>
      <c r="E12" s="349">
        <v>499.9606476632685</v>
      </c>
      <c r="F12" s="349">
        <v>514.45160661307796</v>
      </c>
      <c r="G12" s="349">
        <v>529.11262193484367</v>
      </c>
      <c r="H12" s="349">
        <v>543.94285239230419</v>
      </c>
      <c r="I12" s="349">
        <v>558.94147449060438</v>
      </c>
      <c r="J12" s="349">
        <v>574.10768182484969</v>
      </c>
      <c r="K12" s="349">
        <v>589.44068446244296</v>
      </c>
      <c r="L12" s="349">
        <v>604.93970835695484</v>
      </c>
      <c r="M12" s="349">
        <v>620.60399479146929</v>
      </c>
      <c r="N12" s="349">
        <v>636.43279984949004</v>
      </c>
      <c r="O12" s="349">
        <v>652.42539391166656</v>
      </c>
      <c r="P12" s="349">
        <v>668.58106117671628</v>
      </c>
      <c r="Q12" s="349">
        <v>684.8990992050484</v>
      </c>
      <c r="R12" s="349">
        <v>701.37881848371387</v>
      </c>
      <c r="S12" s="349">
        <v>718.01954201138676</v>
      </c>
      <c r="T12" s="349">
        <v>734.82060490221204</v>
      </c>
      <c r="U12" s="349">
        <v>751.78135400739791</v>
      </c>
      <c r="V12" s="349">
        <v>768.90114755354796</v>
      </c>
      <c r="W12" s="349">
        <v>786.17935479675998</v>
      </c>
      <c r="X12" s="349">
        <v>803.61535569163129</v>
      </c>
      <c r="Y12" s="349">
        <v>821.20854057432996</v>
      </c>
      <c r="Z12" s="349">
        <v>838.95830985895975</v>
      </c>
      <c r="AA12" s="349">
        <v>838.95830985895975</v>
      </c>
      <c r="AB12" s="349">
        <v>838.95830985895975</v>
      </c>
      <c r="AC12" s="349">
        <v>838.95830985895975</v>
      </c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</row>
    <row r="13" spans="1:44" x14ac:dyDescent="0.2">
      <c r="A13" s="334"/>
      <c r="B13" s="334"/>
      <c r="C13" s="334"/>
      <c r="D13" s="334" t="s">
        <v>321</v>
      </c>
      <c r="E13" s="349">
        <v>25689.870365060837</v>
      </c>
      <c r="F13" s="349">
        <v>26434.470682357714</v>
      </c>
      <c r="G13" s="349">
        <v>27187.809139687673</v>
      </c>
      <c r="H13" s="349">
        <v>27949.842511147614</v>
      </c>
      <c r="I13" s="349">
        <v>28720.528482455069</v>
      </c>
      <c r="J13" s="349">
        <v>29499.825617474406</v>
      </c>
      <c r="K13" s="349">
        <v>30287.693326478988</v>
      </c>
      <c r="L13" s="349">
        <v>31084.091836033611</v>
      </c>
      <c r="M13" s="349">
        <v>31888.982160391472</v>
      </c>
      <c r="N13" s="349">
        <v>32702.326074307377</v>
      </c>
      <c r="O13" s="349">
        <v>33524.086087177573</v>
      </c>
      <c r="P13" s="349">
        <v>34354.225418422924</v>
      </c>
      <c r="Q13" s="349">
        <v>35192.707974038647</v>
      </c>
      <c r="R13" s="349">
        <v>36039.498324239663</v>
      </c>
      <c r="S13" s="349">
        <v>36894.561682135507</v>
      </c>
      <c r="T13" s="349">
        <v>37757.863883374433</v>
      </c>
      <c r="U13" s="349">
        <v>38629.371366699415</v>
      </c>
      <c r="V13" s="349">
        <v>39509.051155364337</v>
      </c>
      <c r="W13" s="349">
        <v>40396.870839360199</v>
      </c>
      <c r="X13" s="349">
        <v>41292.798558407441</v>
      </c>
      <c r="Y13" s="349">
        <v>42196.802985670845</v>
      </c>
      <c r="Z13" s="349">
        <v>43108.853312157727</v>
      </c>
      <c r="AA13" s="349">
        <v>43108.853312157727</v>
      </c>
      <c r="AB13" s="349">
        <v>43108.853312157727</v>
      </c>
      <c r="AC13" s="349">
        <v>43108.853312157727</v>
      </c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</row>
    <row r="14" spans="1:44" x14ac:dyDescent="0.2">
      <c r="A14" s="334"/>
      <c r="B14" s="334"/>
      <c r="C14" s="334"/>
      <c r="D14" s="334" t="s">
        <v>322</v>
      </c>
      <c r="E14" s="349">
        <v>1880.6461253749828</v>
      </c>
      <c r="F14" s="349">
        <v>1935.1551470935922</v>
      </c>
      <c r="G14" s="349">
        <v>1990.3038508721988</v>
      </c>
      <c r="H14" s="349">
        <v>2046.0890723263199</v>
      </c>
      <c r="I14" s="349">
        <v>2102.5077138073384</v>
      </c>
      <c r="J14" s="349">
        <v>2159.5567419520344</v>
      </c>
      <c r="K14" s="349">
        <v>2217.2331853591872</v>
      </c>
      <c r="L14" s="349">
        <v>2275.534132384802</v>
      </c>
      <c r="M14" s="349">
        <v>2334.4567290481982</v>
      </c>
      <c r="N14" s="349">
        <v>2393.9981770417858</v>
      </c>
      <c r="O14" s="349">
        <v>2454.1557318379469</v>
      </c>
      <c r="P14" s="349">
        <v>2514.9267008869483</v>
      </c>
      <c r="Q14" s="349">
        <v>2576.3084419002403</v>
      </c>
      <c r="R14" s="349">
        <v>2638.2983612139769</v>
      </c>
      <c r="S14" s="349">
        <v>2700.8939122278884</v>
      </c>
      <c r="T14" s="349">
        <v>2764.092593915118</v>
      </c>
      <c r="U14" s="349">
        <v>2827.8919493988083</v>
      </c>
      <c r="V14" s="349">
        <v>2892.2895645916574</v>
      </c>
      <c r="W14" s="349">
        <v>2957.2830668947786</v>
      </c>
      <c r="X14" s="349">
        <v>3022.8701239526367</v>
      </c>
      <c r="Y14" s="349">
        <v>3089.0484424608912</v>
      </c>
      <c r="Z14" s="349">
        <v>3155.8157670242467</v>
      </c>
      <c r="AA14" s="349">
        <v>3155.8157670242467</v>
      </c>
      <c r="AB14" s="349">
        <v>3155.8157670242467</v>
      </c>
      <c r="AC14" s="349">
        <v>3155.8157670242467</v>
      </c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</row>
    <row r="15" spans="1:44" x14ac:dyDescent="0.2">
      <c r="A15" s="334"/>
      <c r="B15" s="334"/>
      <c r="C15" s="334"/>
      <c r="D15" s="334" t="s">
        <v>323</v>
      </c>
      <c r="E15" s="349">
        <v>5992.5</v>
      </c>
      <c r="F15" s="349">
        <v>5992.5</v>
      </c>
      <c r="G15" s="349">
        <v>5992.5</v>
      </c>
      <c r="H15" s="349">
        <v>5992.5</v>
      </c>
      <c r="I15" s="349">
        <v>5992.5</v>
      </c>
      <c r="J15" s="349">
        <v>5992.5</v>
      </c>
      <c r="K15" s="349">
        <v>5992.5</v>
      </c>
      <c r="L15" s="349">
        <v>5992.5</v>
      </c>
      <c r="M15" s="349">
        <v>5992.5</v>
      </c>
      <c r="N15" s="349">
        <v>5992.5</v>
      </c>
      <c r="O15" s="349">
        <v>5992.5</v>
      </c>
      <c r="P15" s="349">
        <v>5992.5</v>
      </c>
      <c r="Q15" s="349">
        <v>5992.5</v>
      </c>
      <c r="R15" s="349">
        <v>5992.5</v>
      </c>
      <c r="S15" s="349">
        <v>5992.5</v>
      </c>
      <c r="T15" s="349">
        <v>5992.5</v>
      </c>
      <c r="U15" s="349">
        <v>5992.5</v>
      </c>
      <c r="V15" s="349">
        <v>5992.5</v>
      </c>
      <c r="W15" s="349">
        <v>5992.5</v>
      </c>
      <c r="X15" s="349">
        <v>5992.5</v>
      </c>
      <c r="Y15" s="349">
        <v>5992.5</v>
      </c>
      <c r="Z15" s="349">
        <v>5992.5</v>
      </c>
      <c r="AA15" s="349">
        <v>5992.5</v>
      </c>
      <c r="AB15" s="349">
        <v>5992.5</v>
      </c>
      <c r="AC15" s="349">
        <v>5992.5</v>
      </c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</row>
    <row r="16" spans="1:44" x14ac:dyDescent="0.2">
      <c r="A16" s="334"/>
      <c r="B16" s="334"/>
      <c r="C16" s="334"/>
      <c r="D16" s="350" t="s">
        <v>280</v>
      </c>
      <c r="E16" s="344">
        <f>SUM(E11:E15)</f>
        <v>893417.75217294518</v>
      </c>
      <c r="F16" s="344">
        <f t="shared" ref="F16:AC16" si="0">SUM(F11:F15)</f>
        <v>939228.3089591657</v>
      </c>
      <c r="G16" s="344">
        <f t="shared" si="0"/>
        <v>992739.45814356499</v>
      </c>
      <c r="H16" s="344">
        <f t="shared" si="0"/>
        <v>1047076.7969807661</v>
      </c>
      <c r="I16" s="344">
        <f t="shared" si="0"/>
        <v>1097685.5492009597</v>
      </c>
      <c r="J16" s="344">
        <f t="shared" si="0"/>
        <v>1150674.3569511641</v>
      </c>
      <c r="K16" s="344">
        <f t="shared" si="0"/>
        <v>1212168.1362869442</v>
      </c>
      <c r="L16" s="344">
        <f t="shared" si="0"/>
        <v>1283102.9151657359</v>
      </c>
      <c r="M16" s="344">
        <f t="shared" si="0"/>
        <v>1341796.9622508383</v>
      </c>
      <c r="N16" s="344">
        <f t="shared" si="0"/>
        <v>1376051.7912075403</v>
      </c>
      <c r="O16" s="344">
        <f t="shared" si="0"/>
        <v>1410670.3928501459</v>
      </c>
      <c r="P16" s="344">
        <f t="shared" si="0"/>
        <v>1445651.5048998792</v>
      </c>
      <c r="Q16" s="344">
        <f t="shared" si="0"/>
        <v>1480993.8952577158</v>
      </c>
      <c r="R16" s="344">
        <f t="shared" si="0"/>
        <v>1516696.3610594121</v>
      </c>
      <c r="S16" s="344">
        <f t="shared" si="0"/>
        <v>1552757.7277737104</v>
      </c>
      <c r="T16" s="344">
        <f t="shared" si="0"/>
        <v>1589176.8483412508</v>
      </c>
      <c r="U16" s="344">
        <f t="shared" si="0"/>
        <v>1625952.6023517405</v>
      </c>
      <c r="V16" s="344">
        <f t="shared" si="0"/>
        <v>1663083.8952572551</v>
      </c>
      <c r="W16" s="344">
        <f t="shared" si="0"/>
        <v>1700569.6576195532</v>
      </c>
      <c r="X16" s="344">
        <f t="shared" si="0"/>
        <v>1738408.8443895555</v>
      </c>
      <c r="Y16" s="344">
        <f t="shared" si="0"/>
        <v>1776600.4342172048</v>
      </c>
      <c r="Z16" s="344">
        <f t="shared" si="0"/>
        <v>1815143.4287900061</v>
      </c>
      <c r="AA16" s="344">
        <f t="shared" si="0"/>
        <v>1853031.5264032446</v>
      </c>
      <c r="AB16" s="344">
        <f t="shared" si="0"/>
        <v>1891260.3729434833</v>
      </c>
      <c r="AC16" s="344">
        <f t="shared" si="0"/>
        <v>1929829.0675687636</v>
      </c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</row>
    <row r="17" spans="1:44" x14ac:dyDescent="0.2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</row>
    <row r="18" spans="1:44" x14ac:dyDescent="0.2">
      <c r="A18" s="334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</row>
    <row r="19" spans="1:44" x14ac:dyDescent="0.2">
      <c r="A19" s="331"/>
      <c r="B19" s="332" t="str">
        <f>"Option 2 - "&amp;Assumptions!E15</f>
        <v>Option 2 - Replace #1 transformer completed in 2027-2028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1"/>
    </row>
    <row r="20" spans="1:44" x14ac:dyDescent="0.2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</row>
    <row r="21" spans="1:44" x14ac:dyDescent="0.2">
      <c r="A21" s="334"/>
      <c r="B21" s="334"/>
      <c r="C21" s="334"/>
      <c r="D21" s="334"/>
      <c r="E21" s="336" t="s">
        <v>19</v>
      </c>
      <c r="F21" s="336" t="s">
        <v>21</v>
      </c>
      <c r="G21" s="336" t="s">
        <v>20</v>
      </c>
      <c r="H21" s="336" t="s">
        <v>22</v>
      </c>
      <c r="I21" s="336" t="s">
        <v>93</v>
      </c>
      <c r="J21" s="336" t="s">
        <v>94</v>
      </c>
      <c r="K21" s="336" t="s">
        <v>249</v>
      </c>
      <c r="L21" s="336" t="s">
        <v>250</v>
      </c>
      <c r="M21" s="336" t="s">
        <v>251</v>
      </c>
      <c r="N21" s="336" t="s">
        <v>252</v>
      </c>
      <c r="O21" s="336" t="s">
        <v>253</v>
      </c>
      <c r="P21" s="336" t="s">
        <v>254</v>
      </c>
      <c r="Q21" s="336" t="s">
        <v>255</v>
      </c>
      <c r="R21" s="336" t="s">
        <v>256</v>
      </c>
      <c r="S21" s="336" t="s">
        <v>257</v>
      </c>
      <c r="T21" s="336" t="s">
        <v>258</v>
      </c>
      <c r="U21" s="336" t="s">
        <v>259</v>
      </c>
      <c r="V21" s="336" t="s">
        <v>260</v>
      </c>
      <c r="W21" s="336" t="s">
        <v>261</v>
      </c>
      <c r="X21" s="336" t="s">
        <v>262</v>
      </c>
      <c r="Y21" s="336" t="s">
        <v>263</v>
      </c>
      <c r="Z21" s="336" t="s">
        <v>264</v>
      </c>
      <c r="AA21" s="336" t="s">
        <v>265</v>
      </c>
      <c r="AB21" s="336" t="s">
        <v>266</v>
      </c>
      <c r="AC21" s="336" t="s">
        <v>267</v>
      </c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</row>
    <row r="22" spans="1:44" x14ac:dyDescent="0.2">
      <c r="A22" s="334"/>
      <c r="B22" s="334"/>
      <c r="C22" s="334"/>
      <c r="D22" s="348" t="s">
        <v>274</v>
      </c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</row>
    <row r="23" spans="1:44" x14ac:dyDescent="0.2">
      <c r="A23" s="334"/>
      <c r="B23" s="334"/>
      <c r="C23" s="334"/>
      <c r="D23" s="334" t="s">
        <v>275</v>
      </c>
      <c r="E23" s="349">
        <v>859354.77503484616</v>
      </c>
      <c r="F23" s="349">
        <v>904351.73152310133</v>
      </c>
      <c r="G23" s="349">
        <v>28934.20078007162</v>
      </c>
      <c r="H23" s="349">
        <v>54313.453435811738</v>
      </c>
      <c r="I23" s="349">
        <v>79350.867415058252</v>
      </c>
      <c r="J23" s="349">
        <v>104900.48362471958</v>
      </c>
      <c r="K23" s="349">
        <v>131968.87151260156</v>
      </c>
      <c r="L23" s="349">
        <v>161187.29035514549</v>
      </c>
      <c r="M23" s="349">
        <v>189854.00561018521</v>
      </c>
      <c r="N23" s="349">
        <v>215391.4795415707</v>
      </c>
      <c r="O23" s="349">
        <v>241070.55334632285</v>
      </c>
      <c r="P23" s="349">
        <v>266929.64052876848</v>
      </c>
      <c r="Q23" s="349">
        <v>292997.81062081322</v>
      </c>
      <c r="R23" s="349">
        <v>319297.5695176181</v>
      </c>
      <c r="S23" s="349">
        <v>345846.65993583755</v>
      </c>
      <c r="T23" s="349">
        <v>372659.27496284118</v>
      </c>
      <c r="U23" s="349">
        <v>399746.9034257849</v>
      </c>
      <c r="V23" s="349">
        <v>427118.93527409539</v>
      </c>
      <c r="W23" s="349">
        <v>454783.10540377867</v>
      </c>
      <c r="X23" s="349">
        <v>482745.82568068302</v>
      </c>
      <c r="Y23" s="349">
        <v>511012.43772892148</v>
      </c>
      <c r="Z23" s="349">
        <v>539587.4083831053</v>
      </c>
      <c r="AA23" s="349">
        <v>568474.48288270447</v>
      </c>
      <c r="AB23" s="349">
        <v>597676.80641024804</v>
      </c>
      <c r="AC23" s="349">
        <v>627197.02156770776</v>
      </c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</row>
    <row r="24" spans="1:44" x14ac:dyDescent="0.2">
      <c r="A24" s="334"/>
      <c r="B24" s="334"/>
      <c r="C24" s="334"/>
      <c r="D24" s="334" t="s">
        <v>320</v>
      </c>
      <c r="E24" s="349">
        <v>499.9606476632685</v>
      </c>
      <c r="F24" s="349">
        <v>514.45160661307796</v>
      </c>
      <c r="G24" s="349">
        <v>264.80035062021943</v>
      </c>
      <c r="H24" s="349">
        <v>272.76430790503815</v>
      </c>
      <c r="I24" s="349">
        <v>281.05039694860835</v>
      </c>
      <c r="J24" s="349">
        <v>289.62992118470362</v>
      </c>
      <c r="K24" s="349">
        <v>298.48483453765152</v>
      </c>
      <c r="L24" s="349">
        <v>307.60218369622879</v>
      </c>
      <c r="M24" s="349">
        <v>316.97197037507362</v>
      </c>
      <c r="N24" s="349">
        <v>326.58610942220281</v>
      </c>
      <c r="O24" s="349">
        <v>336.43784659974597</v>
      </c>
      <c r="P24" s="349">
        <v>346.52140217620763</v>
      </c>
      <c r="Q24" s="349">
        <v>356.83173792926772</v>
      </c>
      <c r="R24" s="349">
        <v>367.3643970405904</v>
      </c>
      <c r="S24" s="349">
        <v>378.11538967835645</v>
      </c>
      <c r="T24" s="349">
        <v>389.08110859550379</v>
      </c>
      <c r="U24" s="349">
        <v>400.25826521655307</v>
      </c>
      <c r="V24" s="349">
        <v>411.64384016123665</v>
      </c>
      <c r="W24" s="349">
        <v>423.23504421720713</v>
      </c>
      <c r="X24" s="349">
        <v>435.02928705129239</v>
      </c>
      <c r="Y24" s="349">
        <v>447.02415176703272</v>
      </c>
      <c r="Z24" s="349">
        <v>459.2173739565045</v>
      </c>
      <c r="AA24" s="349">
        <v>459.2173739565045</v>
      </c>
      <c r="AB24" s="349">
        <v>459.2173739565045</v>
      </c>
      <c r="AC24" s="349">
        <v>459.2173739565045</v>
      </c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</row>
    <row r="25" spans="1:44" x14ac:dyDescent="0.2">
      <c r="A25" s="334"/>
      <c r="B25" s="334"/>
      <c r="C25" s="334"/>
      <c r="D25" s="334" t="s">
        <v>321</v>
      </c>
      <c r="E25" s="349">
        <v>25689.870365060837</v>
      </c>
      <c r="F25" s="349">
        <v>26434.470682357714</v>
      </c>
      <c r="G25" s="349">
        <v>13606.444250863944</v>
      </c>
      <c r="H25" s="349">
        <v>14015.662518733841</v>
      </c>
      <c r="I25" s="349">
        <v>14441.433135596553</v>
      </c>
      <c r="J25" s="349">
        <v>14882.28156326647</v>
      </c>
      <c r="K25" s="349">
        <v>15337.280526073415</v>
      </c>
      <c r="L25" s="349">
        <v>15805.764433860095</v>
      </c>
      <c r="M25" s="349">
        <v>16287.219536882361</v>
      </c>
      <c r="N25" s="349">
        <v>16781.230389430038</v>
      </c>
      <c r="O25" s="349">
        <v>17287.449933197397</v>
      </c>
      <c r="P25" s="349">
        <v>17805.581183704649</v>
      </c>
      <c r="Q25" s="349">
        <v>18335.365258019956</v>
      </c>
      <c r="R25" s="349">
        <v>18876.573147948726</v>
      </c>
      <c r="S25" s="349">
        <v>19428.999840831068</v>
      </c>
      <c r="T25" s="349">
        <v>19992.459982659959</v>
      </c>
      <c r="U25" s="349">
        <v>20566.784593980425</v>
      </c>
      <c r="V25" s="349">
        <v>21151.818527606349</v>
      </c>
      <c r="W25" s="349">
        <v>21747.418463250495</v>
      </c>
      <c r="X25" s="349">
        <v>22353.451299790402</v>
      </c>
      <c r="Y25" s="349">
        <v>22969.792847938312</v>
      </c>
      <c r="Z25" s="349">
        <v>23596.326753844616</v>
      </c>
      <c r="AA25" s="349">
        <v>23596.326753844616</v>
      </c>
      <c r="AB25" s="349">
        <v>23596.326753844616</v>
      </c>
      <c r="AC25" s="349">
        <v>23596.326753844616</v>
      </c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</row>
    <row r="26" spans="1:44" x14ac:dyDescent="0.2">
      <c r="A26" s="334"/>
      <c r="B26" s="334"/>
      <c r="C26" s="334"/>
      <c r="D26" s="334" t="s">
        <v>322</v>
      </c>
      <c r="E26" s="349">
        <v>1880.6461253749828</v>
      </c>
      <c r="F26" s="349">
        <v>1935.1551470935922</v>
      </c>
      <c r="G26" s="349">
        <v>996.06990214009943</v>
      </c>
      <c r="H26" s="349">
        <v>1026.0270307268152</v>
      </c>
      <c r="I26" s="349">
        <v>1057.1958863700256</v>
      </c>
      <c r="J26" s="349">
        <v>1089.4685244018106</v>
      </c>
      <c r="K26" s="349">
        <v>1122.7770629149627</v>
      </c>
      <c r="L26" s="349">
        <v>1157.0727768854704</v>
      </c>
      <c r="M26" s="349">
        <v>1192.3180568800428</v>
      </c>
      <c r="N26" s="349">
        <v>1228.4824898855334</v>
      </c>
      <c r="O26" s="349">
        <v>1265.5406692397569</v>
      </c>
      <c r="P26" s="349">
        <v>1303.4708539723124</v>
      </c>
      <c r="Q26" s="349">
        <v>1342.2540923650413</v>
      </c>
      <c r="R26" s="349">
        <v>1381.8736197022122</v>
      </c>
      <c r="S26" s="349">
        <v>1422.3144278791137</v>
      </c>
      <c r="T26" s="349">
        <v>1463.5629479173829</v>
      </c>
      <c r="U26" s="349">
        <v>1505.6068095499547</v>
      </c>
      <c r="V26" s="349">
        <v>1548.4346551113263</v>
      </c>
      <c r="W26" s="349">
        <v>1592.0359927329494</v>
      </c>
      <c r="X26" s="349">
        <v>1636.4010786478577</v>
      </c>
      <c r="Y26" s="349">
        <v>1681.5208214865929</v>
      </c>
      <c r="Z26" s="349">
        <v>1727.3867034787911</v>
      </c>
      <c r="AA26" s="349">
        <v>1727.3867034787911</v>
      </c>
      <c r="AB26" s="349">
        <v>1727.3867034787911</v>
      </c>
      <c r="AC26" s="349">
        <v>1727.3867034787911</v>
      </c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</row>
    <row r="27" spans="1:44" x14ac:dyDescent="0.2">
      <c r="A27" s="334"/>
      <c r="B27" s="334"/>
      <c r="C27" s="334"/>
      <c r="D27" s="334" t="s">
        <v>323</v>
      </c>
      <c r="E27" s="349">
        <v>5992.5</v>
      </c>
      <c r="F27" s="349">
        <v>5992.5</v>
      </c>
      <c r="G27" s="349">
        <v>1175</v>
      </c>
      <c r="H27" s="349">
        <v>1175</v>
      </c>
      <c r="I27" s="349">
        <v>1175</v>
      </c>
      <c r="J27" s="349">
        <v>1175</v>
      </c>
      <c r="K27" s="349">
        <v>1175</v>
      </c>
      <c r="L27" s="349">
        <v>1175</v>
      </c>
      <c r="M27" s="349">
        <v>1175</v>
      </c>
      <c r="N27" s="349">
        <v>1175</v>
      </c>
      <c r="O27" s="349">
        <v>1175</v>
      </c>
      <c r="P27" s="349">
        <v>1175</v>
      </c>
      <c r="Q27" s="349">
        <v>1175</v>
      </c>
      <c r="R27" s="349">
        <v>1175</v>
      </c>
      <c r="S27" s="349">
        <v>1175</v>
      </c>
      <c r="T27" s="349">
        <v>1175</v>
      </c>
      <c r="U27" s="349">
        <v>1175</v>
      </c>
      <c r="V27" s="349">
        <v>1175</v>
      </c>
      <c r="W27" s="349">
        <v>1175</v>
      </c>
      <c r="X27" s="349">
        <v>1175</v>
      </c>
      <c r="Y27" s="349">
        <v>1175</v>
      </c>
      <c r="Z27" s="349">
        <v>1175</v>
      </c>
      <c r="AA27" s="349">
        <v>1175</v>
      </c>
      <c r="AB27" s="349">
        <v>1175</v>
      </c>
      <c r="AC27" s="349">
        <v>1175</v>
      </c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</row>
    <row r="28" spans="1:44" x14ac:dyDescent="0.2">
      <c r="A28" s="334"/>
      <c r="B28" s="334"/>
      <c r="C28" s="334"/>
      <c r="D28" s="350" t="s">
        <v>280</v>
      </c>
      <c r="E28" s="344">
        <f>SUM(E23:E27)</f>
        <v>893417.75217294518</v>
      </c>
      <c r="F28" s="344">
        <f t="shared" ref="F28:AC28" si="1">SUM(F23:F27)</f>
        <v>939228.3089591657</v>
      </c>
      <c r="G28" s="344">
        <f t="shared" si="1"/>
        <v>44976.51528369588</v>
      </c>
      <c r="H28" s="344">
        <f t="shared" si="1"/>
        <v>70802.907293177443</v>
      </c>
      <c r="I28" s="344">
        <f t="shared" si="1"/>
        <v>96305.546833973436</v>
      </c>
      <c r="J28" s="344">
        <f t="shared" si="1"/>
        <v>122336.86363357256</v>
      </c>
      <c r="K28" s="344">
        <f t="shared" si="1"/>
        <v>149902.41393612759</v>
      </c>
      <c r="L28" s="344">
        <f t="shared" si="1"/>
        <v>179632.72974958731</v>
      </c>
      <c r="M28" s="344">
        <f t="shared" si="1"/>
        <v>208825.51517432267</v>
      </c>
      <c r="N28" s="344">
        <f t="shared" si="1"/>
        <v>234902.77853030848</v>
      </c>
      <c r="O28" s="344">
        <f t="shared" si="1"/>
        <v>261134.98179535978</v>
      </c>
      <c r="P28" s="344">
        <f t="shared" si="1"/>
        <v>287560.21396862163</v>
      </c>
      <c r="Q28" s="344">
        <f t="shared" si="1"/>
        <v>314207.26170912746</v>
      </c>
      <c r="R28" s="344">
        <f t="shared" si="1"/>
        <v>341098.38068230962</v>
      </c>
      <c r="S28" s="344">
        <f t="shared" si="1"/>
        <v>368251.0895942261</v>
      </c>
      <c r="T28" s="344">
        <f t="shared" si="1"/>
        <v>395679.379002014</v>
      </c>
      <c r="U28" s="344">
        <f t="shared" si="1"/>
        <v>423394.55309453182</v>
      </c>
      <c r="V28" s="344">
        <f t="shared" si="1"/>
        <v>451405.83229697432</v>
      </c>
      <c r="W28" s="344">
        <f t="shared" si="1"/>
        <v>479720.79490397935</v>
      </c>
      <c r="X28" s="344">
        <f t="shared" si="1"/>
        <v>508345.7073461726</v>
      </c>
      <c r="Y28" s="344">
        <f t="shared" si="1"/>
        <v>537285.77555011341</v>
      </c>
      <c r="Z28" s="344">
        <f t="shared" si="1"/>
        <v>566545.33921438514</v>
      </c>
      <c r="AA28" s="344">
        <f t="shared" si="1"/>
        <v>595432.41371398431</v>
      </c>
      <c r="AB28" s="344">
        <f t="shared" si="1"/>
        <v>624634.73724152788</v>
      </c>
      <c r="AC28" s="344">
        <f t="shared" si="1"/>
        <v>654154.9523989876</v>
      </c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</row>
    <row r="31" spans="1:44" x14ac:dyDescent="0.2">
      <c r="A31" s="331"/>
      <c r="B31" s="332" t="str">
        <f>"Option 3 - "&amp;Assumptions!E16</f>
        <v>Option 3 - Refurbish #1 transformer completed in 2026-2027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1"/>
    </row>
    <row r="32" spans="1:44" x14ac:dyDescent="0.2">
      <c r="A32" s="334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</row>
    <row r="33" spans="1:44" x14ac:dyDescent="0.2">
      <c r="A33" s="334"/>
      <c r="B33" s="334"/>
      <c r="C33" s="334"/>
      <c r="D33" s="334"/>
      <c r="E33" s="336" t="s">
        <v>19</v>
      </c>
      <c r="F33" s="336" t="s">
        <v>21</v>
      </c>
      <c r="G33" s="336" t="s">
        <v>20</v>
      </c>
      <c r="H33" s="336" t="s">
        <v>22</v>
      </c>
      <c r="I33" s="336" t="s">
        <v>93</v>
      </c>
      <c r="J33" s="336" t="s">
        <v>94</v>
      </c>
      <c r="K33" s="336" t="s">
        <v>249</v>
      </c>
      <c r="L33" s="336" t="s">
        <v>250</v>
      </c>
      <c r="M33" s="336" t="s">
        <v>251</v>
      </c>
      <c r="N33" s="336" t="s">
        <v>252</v>
      </c>
      <c r="O33" s="336" t="s">
        <v>253</v>
      </c>
      <c r="P33" s="336" t="s">
        <v>254</v>
      </c>
      <c r="Q33" s="336" t="s">
        <v>255</v>
      </c>
      <c r="R33" s="336" t="s">
        <v>256</v>
      </c>
      <c r="S33" s="336" t="s">
        <v>257</v>
      </c>
      <c r="T33" s="336" t="s">
        <v>258</v>
      </c>
      <c r="U33" s="336" t="s">
        <v>259</v>
      </c>
      <c r="V33" s="336" t="s">
        <v>260</v>
      </c>
      <c r="W33" s="336" t="s">
        <v>261</v>
      </c>
      <c r="X33" s="336" t="s">
        <v>262</v>
      </c>
      <c r="Y33" s="336" t="s">
        <v>263</v>
      </c>
      <c r="Z33" s="336" t="s">
        <v>264</v>
      </c>
      <c r="AA33" s="336" t="s">
        <v>265</v>
      </c>
      <c r="AB33" s="336" t="s">
        <v>266</v>
      </c>
      <c r="AC33" s="336" t="s">
        <v>267</v>
      </c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</row>
    <row r="34" spans="1:44" x14ac:dyDescent="0.2">
      <c r="A34" s="334"/>
      <c r="B34" s="334"/>
      <c r="C34" s="334"/>
      <c r="D34" s="348" t="s">
        <v>274</v>
      </c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</row>
    <row r="35" spans="1:44" x14ac:dyDescent="0.2">
      <c r="A35" s="334"/>
      <c r="B35" s="334"/>
      <c r="C35" s="334"/>
      <c r="D35" s="334" t="s">
        <v>275</v>
      </c>
      <c r="E35" s="349">
        <v>859354.77503484616</v>
      </c>
      <c r="F35" s="349">
        <v>857741.13180949131</v>
      </c>
      <c r="G35" s="349">
        <v>907707.97824701038</v>
      </c>
      <c r="H35" s="349">
        <v>958448.80255940952</v>
      </c>
      <c r="I35" s="349">
        <v>1005643.5659614301</v>
      </c>
      <c r="J35" s="349">
        <v>1055086.2615695535</v>
      </c>
      <c r="K35" s="349">
        <v>1112586.0784829834</v>
      </c>
      <c r="L35" s="349">
        <v>1179030.7947395085</v>
      </c>
      <c r="M35" s="349">
        <v>1233856.036220473</v>
      </c>
      <c r="N35" s="349">
        <v>1265492.1722561994</v>
      </c>
      <c r="O35" s="349">
        <v>1297464.0519911253</v>
      </c>
      <c r="P35" s="349">
        <v>1329770.5028901473</v>
      </c>
      <c r="Q35" s="349">
        <v>1362410.3802609895</v>
      </c>
      <c r="R35" s="349">
        <v>1395382.5663815383</v>
      </c>
      <c r="S35" s="349">
        <v>1428685.9696670871</v>
      </c>
      <c r="T35" s="349">
        <v>1462319.5238751546</v>
      </c>
      <c r="U35" s="349">
        <v>1496282.1873456591</v>
      </c>
      <c r="V35" s="349">
        <v>1530572.9422744487</v>
      </c>
      <c r="W35" s="349">
        <v>1565190.7940182576</v>
      </c>
      <c r="X35" s="349">
        <v>1600134.7704293681</v>
      </c>
      <c r="Y35" s="349">
        <v>1635403.9212183219</v>
      </c>
      <c r="Z35" s="349">
        <v>1670997.3173431423</v>
      </c>
      <c r="AA35" s="349">
        <v>1706914.050423665</v>
      </c>
      <c r="AB35" s="349">
        <v>1743153.2321796026</v>
      </c>
      <c r="AC35" s="349">
        <v>1779713.993891154</v>
      </c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</row>
    <row r="36" spans="1:44" x14ac:dyDescent="0.2">
      <c r="A36" s="334"/>
      <c r="B36" s="334"/>
      <c r="C36" s="334"/>
      <c r="D36" s="334" t="s">
        <v>320</v>
      </c>
      <c r="E36" s="349">
        <v>499.9606476632685</v>
      </c>
      <c r="F36" s="349">
        <v>509.30709054694717</v>
      </c>
      <c r="G36" s="349">
        <v>523.82149571549519</v>
      </c>
      <c r="H36" s="349">
        <v>538.50342386838122</v>
      </c>
      <c r="I36" s="349">
        <v>553.3520597456984</v>
      </c>
      <c r="J36" s="349">
        <v>568.36660500660128</v>
      </c>
      <c r="K36" s="349">
        <v>583.54627761781865</v>
      </c>
      <c r="L36" s="349">
        <v>598.89031127338535</v>
      </c>
      <c r="M36" s="349">
        <v>614.39795484355443</v>
      </c>
      <c r="N36" s="349">
        <v>630.06847185099514</v>
      </c>
      <c r="O36" s="349">
        <v>645.90113997254991</v>
      </c>
      <c r="P36" s="349">
        <v>661.89525056494904</v>
      </c>
      <c r="Q36" s="349">
        <v>678.050108212998</v>
      </c>
      <c r="R36" s="349">
        <v>694.3650302988766</v>
      </c>
      <c r="S36" s="349">
        <v>710.83934659127283</v>
      </c>
      <c r="T36" s="349">
        <v>727.47239885318993</v>
      </c>
      <c r="U36" s="349">
        <v>744.26354046732388</v>
      </c>
      <c r="V36" s="349">
        <v>761.21213607801246</v>
      </c>
      <c r="W36" s="349">
        <v>778.31756124879234</v>
      </c>
      <c r="X36" s="349">
        <v>795.57920213471505</v>
      </c>
      <c r="Y36" s="349">
        <v>812.99645516858664</v>
      </c>
      <c r="Z36" s="349">
        <v>830.56872676037017</v>
      </c>
      <c r="AA36" s="349">
        <v>830.56872676037017</v>
      </c>
      <c r="AB36" s="349">
        <v>830.56872676037017</v>
      </c>
      <c r="AC36" s="349">
        <v>830.56872676037017</v>
      </c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</row>
    <row r="37" spans="1:44" x14ac:dyDescent="0.2">
      <c r="A37" s="334"/>
      <c r="B37" s="334"/>
      <c r="C37" s="334"/>
      <c r="D37" s="334" t="s">
        <v>321</v>
      </c>
      <c r="E37" s="349">
        <v>25689.870365060837</v>
      </c>
      <c r="F37" s="349">
        <v>25112.747148239832</v>
      </c>
      <c r="G37" s="349">
        <v>25828.418682703286</v>
      </c>
      <c r="H37" s="349">
        <v>26552.350385590235</v>
      </c>
      <c r="I37" s="349">
        <v>27284.502058332317</v>
      </c>
      <c r="J37" s="349">
        <v>28024.834336600688</v>
      </c>
      <c r="K37" s="349">
        <v>28773.308660155035</v>
      </c>
      <c r="L37" s="349">
        <v>29529.88724423193</v>
      </c>
      <c r="M37" s="349">
        <v>30294.533052371895</v>
      </c>
      <c r="N37" s="349">
        <v>31067.209770592006</v>
      </c>
      <c r="O37" s="349">
        <v>31847.881782818691</v>
      </c>
      <c r="P37" s="349">
        <v>32636.514147501781</v>
      </c>
      <c r="Q37" s="349">
        <v>33433.072575336715</v>
      </c>
      <c r="R37" s="349">
        <v>34237.523408027686</v>
      </c>
      <c r="S37" s="349">
        <v>35049.83359802873</v>
      </c>
      <c r="T37" s="349">
        <v>35869.970689205707</v>
      </c>
      <c r="U37" s="349">
        <v>36697.902798364441</v>
      </c>
      <c r="V37" s="349">
        <v>37533.598597596123</v>
      </c>
      <c r="W37" s="349">
        <v>38377.027297392189</v>
      </c>
      <c r="X37" s="349">
        <v>39228.158630487065</v>
      </c>
      <c r="Y37" s="349">
        <v>40086.962836387298</v>
      </c>
      <c r="Z37" s="349">
        <v>40953.410646549848</v>
      </c>
      <c r="AA37" s="349">
        <v>40953.410646549848</v>
      </c>
      <c r="AB37" s="349">
        <v>40953.410646549848</v>
      </c>
      <c r="AC37" s="349">
        <v>40953.410646549848</v>
      </c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</row>
    <row r="38" spans="1:44" x14ac:dyDescent="0.2">
      <c r="A38" s="334"/>
      <c r="B38" s="334"/>
      <c r="C38" s="334"/>
      <c r="D38" s="334" t="s">
        <v>322</v>
      </c>
      <c r="E38" s="349">
        <v>1880.6461253749828</v>
      </c>
      <c r="F38" s="349">
        <v>1935.1551470935922</v>
      </c>
      <c r="G38" s="349">
        <v>1990.3038508721988</v>
      </c>
      <c r="H38" s="349">
        <v>2046.0890723263199</v>
      </c>
      <c r="I38" s="349">
        <v>2102.5077138073384</v>
      </c>
      <c r="J38" s="349">
        <v>2159.5567419520344</v>
      </c>
      <c r="K38" s="349">
        <v>2217.2331853591872</v>
      </c>
      <c r="L38" s="349">
        <v>2275.534132384802</v>
      </c>
      <c r="M38" s="349">
        <v>2334.4567290481982</v>
      </c>
      <c r="N38" s="349">
        <v>2393.9981770417858</v>
      </c>
      <c r="O38" s="349">
        <v>2454.1557318379469</v>
      </c>
      <c r="P38" s="349">
        <v>2514.9267008869483</v>
      </c>
      <c r="Q38" s="349">
        <v>2576.3084419002403</v>
      </c>
      <c r="R38" s="349">
        <v>2638.2983612139769</v>
      </c>
      <c r="S38" s="349">
        <v>2700.8939122278884</v>
      </c>
      <c r="T38" s="349">
        <v>2764.092593915118</v>
      </c>
      <c r="U38" s="349">
        <v>2827.8919493988083</v>
      </c>
      <c r="V38" s="349">
        <v>2892.2895645916574</v>
      </c>
      <c r="W38" s="349">
        <v>2957.2830668947786</v>
      </c>
      <c r="X38" s="349">
        <v>3022.8701239526367</v>
      </c>
      <c r="Y38" s="349">
        <v>3089.0484424608912</v>
      </c>
      <c r="Z38" s="349">
        <v>3155.8157670242467</v>
      </c>
      <c r="AA38" s="349">
        <v>3155.8157670242467</v>
      </c>
      <c r="AB38" s="349">
        <v>3155.8157670242467</v>
      </c>
      <c r="AC38" s="349">
        <v>3155.8157670242467</v>
      </c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</row>
    <row r="39" spans="1:44" x14ac:dyDescent="0.2">
      <c r="A39" s="334"/>
      <c r="B39" s="334"/>
      <c r="C39" s="334"/>
      <c r="D39" s="334" t="s">
        <v>323</v>
      </c>
      <c r="E39" s="349">
        <v>5992.5</v>
      </c>
      <c r="F39" s="349">
        <v>2379.375</v>
      </c>
      <c r="G39" s="349">
        <v>2379.375</v>
      </c>
      <c r="H39" s="349">
        <v>2379.375</v>
      </c>
      <c r="I39" s="349">
        <v>2379.375</v>
      </c>
      <c r="J39" s="349">
        <v>2379.375</v>
      </c>
      <c r="K39" s="349">
        <v>2379.375</v>
      </c>
      <c r="L39" s="349">
        <v>2379.375</v>
      </c>
      <c r="M39" s="349">
        <v>2379.375</v>
      </c>
      <c r="N39" s="349">
        <v>2379.375</v>
      </c>
      <c r="O39" s="349">
        <v>2379.375</v>
      </c>
      <c r="P39" s="349">
        <v>2379.375</v>
      </c>
      <c r="Q39" s="349">
        <v>2379.375</v>
      </c>
      <c r="R39" s="349">
        <v>2379.375</v>
      </c>
      <c r="S39" s="349">
        <v>2379.375</v>
      </c>
      <c r="T39" s="349">
        <v>2379.375</v>
      </c>
      <c r="U39" s="349">
        <v>2379.375</v>
      </c>
      <c r="V39" s="349">
        <v>2379.375</v>
      </c>
      <c r="W39" s="349">
        <v>2379.375</v>
      </c>
      <c r="X39" s="349">
        <v>2379.375</v>
      </c>
      <c r="Y39" s="349">
        <v>2379.375</v>
      </c>
      <c r="Z39" s="349">
        <v>2379.375</v>
      </c>
      <c r="AA39" s="349">
        <v>2379.375</v>
      </c>
      <c r="AB39" s="349">
        <v>2379.375</v>
      </c>
      <c r="AC39" s="349">
        <v>2379.375</v>
      </c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</row>
    <row r="40" spans="1:44" x14ac:dyDescent="0.2">
      <c r="A40" s="334"/>
      <c r="B40" s="334"/>
      <c r="C40" s="334"/>
      <c r="D40" s="350" t="s">
        <v>280</v>
      </c>
      <c r="E40" s="344">
        <f t="shared" ref="E40:F40" si="2">SUM(E35:E39)</f>
        <v>893417.75217294518</v>
      </c>
      <c r="F40" s="344">
        <f t="shared" si="2"/>
        <v>887677.7161953717</v>
      </c>
      <c r="G40" s="344">
        <f>SUM(G35:G39)</f>
        <v>938429.8972763014</v>
      </c>
      <c r="H40" s="344">
        <f t="shared" ref="H40:AC40" si="3">SUM(H35:H39)</f>
        <v>989965.12044119439</v>
      </c>
      <c r="I40" s="344">
        <f t="shared" si="3"/>
        <v>1037963.3027933154</v>
      </c>
      <c r="J40" s="344">
        <f t="shared" si="3"/>
        <v>1088218.3942531128</v>
      </c>
      <c r="K40" s="344">
        <f t="shared" si="3"/>
        <v>1146539.5416061154</v>
      </c>
      <c r="L40" s="344">
        <f t="shared" si="3"/>
        <v>1213814.4814273985</v>
      </c>
      <c r="M40" s="344">
        <f t="shared" si="3"/>
        <v>1269478.7989567365</v>
      </c>
      <c r="N40" s="344">
        <f t="shared" si="3"/>
        <v>1301962.8236756842</v>
      </c>
      <c r="O40" s="344">
        <f t="shared" si="3"/>
        <v>1334791.3656457544</v>
      </c>
      <c r="P40" s="344">
        <f t="shared" si="3"/>
        <v>1367963.2139891009</v>
      </c>
      <c r="Q40" s="344">
        <f t="shared" si="3"/>
        <v>1401477.1863864395</v>
      </c>
      <c r="R40" s="344">
        <f t="shared" si="3"/>
        <v>1435332.1281810787</v>
      </c>
      <c r="S40" s="344">
        <f t="shared" si="3"/>
        <v>1469526.9115239349</v>
      </c>
      <c r="T40" s="344">
        <f t="shared" si="3"/>
        <v>1504060.4345571285</v>
      </c>
      <c r="U40" s="344">
        <f t="shared" si="3"/>
        <v>1538931.6206338897</v>
      </c>
      <c r="V40" s="344">
        <f t="shared" si="3"/>
        <v>1574139.4175727144</v>
      </c>
      <c r="W40" s="344">
        <f t="shared" si="3"/>
        <v>1609682.7969437935</v>
      </c>
      <c r="X40" s="344">
        <f t="shared" si="3"/>
        <v>1645560.7533859424</v>
      </c>
      <c r="Y40" s="344">
        <f t="shared" si="3"/>
        <v>1681772.3039523386</v>
      </c>
      <c r="Z40" s="344">
        <f t="shared" si="3"/>
        <v>1718316.4874834768</v>
      </c>
      <c r="AA40" s="344">
        <f t="shared" si="3"/>
        <v>1754233.2205639994</v>
      </c>
      <c r="AB40" s="344">
        <f t="shared" si="3"/>
        <v>1790472.402319937</v>
      </c>
      <c r="AC40" s="344">
        <f t="shared" si="3"/>
        <v>1827033.1640314884</v>
      </c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5D41-0DA1-4029-A2C0-179BECD38DA6}">
  <sheetPr codeName="Sheet12"/>
  <dimension ref="A1:AJ69"/>
  <sheetViews>
    <sheetView showGridLines="0" zoomScale="85" zoomScaleNormal="85" workbookViewId="0"/>
  </sheetViews>
  <sheetFormatPr defaultRowHeight="12.75" x14ac:dyDescent="0.2"/>
  <cols>
    <col min="1" max="1" width="27.875" bestFit="1" customWidth="1"/>
    <col min="3" max="3" width="19.125" bestFit="1" customWidth="1"/>
    <col min="4" max="4" width="9.875" bestFit="1" customWidth="1"/>
    <col min="5" max="5" width="10.125" bestFit="1" customWidth="1"/>
    <col min="6" max="6" width="12.125" bestFit="1" customWidth="1"/>
    <col min="7" max="7" width="9.875" bestFit="1" customWidth="1"/>
  </cols>
  <sheetData>
    <row r="1" spans="1:36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36" ht="18.75" x14ac:dyDescent="0.3">
      <c r="A2" s="56" t="str">
        <f>proj</f>
        <v>NC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5" spans="1:36" x14ac:dyDescent="0.2">
      <c r="A5" s="351" t="s">
        <v>281</v>
      </c>
      <c r="B5" s="351"/>
      <c r="C5" s="352" t="s">
        <v>282</v>
      </c>
      <c r="D5" s="352"/>
      <c r="E5" s="205"/>
      <c r="F5" s="353" t="s">
        <v>283</v>
      </c>
      <c r="G5" s="354" t="s">
        <v>284</v>
      </c>
      <c r="H5" s="352" t="s">
        <v>285</v>
      </c>
      <c r="I5" s="352" t="s">
        <v>286</v>
      </c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</row>
    <row r="6" spans="1:36" x14ac:dyDescent="0.2">
      <c r="A6" s="355" t="s">
        <v>287</v>
      </c>
      <c r="B6" s="356" t="s">
        <v>330</v>
      </c>
      <c r="C6" s="357" t="s">
        <v>288</v>
      </c>
      <c r="D6" s="358"/>
      <c r="E6" s="205"/>
      <c r="F6" s="357" t="s">
        <v>289</v>
      </c>
      <c r="G6" s="359">
        <v>1.3681695771595804E-3</v>
      </c>
      <c r="H6" s="354">
        <v>1</v>
      </c>
      <c r="I6" s="360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</row>
    <row r="7" spans="1:36" x14ac:dyDescent="0.2">
      <c r="A7" s="355" t="s">
        <v>290</v>
      </c>
      <c r="B7" s="356" t="s">
        <v>291</v>
      </c>
      <c r="C7" s="357" t="s">
        <v>292</v>
      </c>
      <c r="D7" s="358"/>
      <c r="E7" s="205"/>
      <c r="F7" s="357" t="s">
        <v>293</v>
      </c>
      <c r="G7" s="359">
        <v>1.3681695771595804E-3</v>
      </c>
      <c r="H7" s="354">
        <v>1</v>
      </c>
      <c r="I7" s="360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</row>
    <row r="8" spans="1:36" x14ac:dyDescent="0.2">
      <c r="A8" s="361" t="s">
        <v>8</v>
      </c>
      <c r="B8" s="362">
        <v>35.890999999999998</v>
      </c>
      <c r="C8" s="361" t="s">
        <v>294</v>
      </c>
      <c r="D8" s="363">
        <v>9119502.7199999988</v>
      </c>
      <c r="E8" s="205"/>
      <c r="F8" s="357" t="s">
        <v>295</v>
      </c>
      <c r="G8" s="359" t="b">
        <v>1</v>
      </c>
      <c r="H8" s="354">
        <v>1</v>
      </c>
      <c r="I8" s="360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</row>
    <row r="9" spans="1:36" x14ac:dyDescent="0.2">
      <c r="A9" s="361" t="s">
        <v>296</v>
      </c>
      <c r="B9" s="364">
        <v>0.5</v>
      </c>
      <c r="C9" s="361" t="s">
        <v>297</v>
      </c>
      <c r="D9" s="363">
        <v>166900</v>
      </c>
      <c r="E9" s="205"/>
      <c r="F9" s="357" t="s">
        <v>298</v>
      </c>
      <c r="G9" s="365">
        <v>0</v>
      </c>
      <c r="H9" s="354">
        <v>1</v>
      </c>
      <c r="I9" s="360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</row>
    <row r="10" spans="1:36" ht="19.5" customHeight="1" x14ac:dyDescent="0.2">
      <c r="A10" s="366" t="s">
        <v>332</v>
      </c>
      <c r="B10" s="367" t="s">
        <v>299</v>
      </c>
      <c r="C10" s="352" t="s">
        <v>300</v>
      </c>
      <c r="D10" s="351" t="s">
        <v>301</v>
      </c>
      <c r="E10" s="352">
        <v>2025</v>
      </c>
      <c r="F10" s="352">
        <v>2026</v>
      </c>
      <c r="G10" s="352">
        <v>2027</v>
      </c>
      <c r="H10" s="352">
        <v>2028</v>
      </c>
      <c r="I10" s="352">
        <v>2029</v>
      </c>
      <c r="J10" s="352">
        <v>2030</v>
      </c>
      <c r="K10" s="352">
        <v>2031</v>
      </c>
      <c r="L10" s="352">
        <v>2032</v>
      </c>
      <c r="M10" s="352">
        <v>2033</v>
      </c>
      <c r="N10" s="352">
        <v>2034</v>
      </c>
      <c r="O10" s="352">
        <v>2035</v>
      </c>
      <c r="P10" s="352">
        <v>2036</v>
      </c>
      <c r="Q10" s="352">
        <v>2037</v>
      </c>
      <c r="R10" s="352">
        <v>2038</v>
      </c>
      <c r="S10" s="352">
        <v>2039</v>
      </c>
      <c r="T10" s="352">
        <v>2040</v>
      </c>
      <c r="U10" s="352">
        <v>2041</v>
      </c>
      <c r="V10" s="352">
        <v>2042</v>
      </c>
      <c r="W10" s="352">
        <v>2043</v>
      </c>
      <c r="X10" s="352">
        <v>2044</v>
      </c>
      <c r="Y10" s="352">
        <v>2045</v>
      </c>
      <c r="Z10" s="352">
        <v>2046</v>
      </c>
      <c r="AA10" s="352">
        <v>2047</v>
      </c>
      <c r="AB10" s="368">
        <v>2048</v>
      </c>
      <c r="AC10" s="368">
        <v>2049</v>
      </c>
      <c r="AD10" s="368">
        <v>2050</v>
      </c>
      <c r="AE10" s="368">
        <v>2051</v>
      </c>
      <c r="AF10" s="368">
        <v>2052</v>
      </c>
      <c r="AG10" s="368">
        <v>2053</v>
      </c>
      <c r="AH10" s="368">
        <v>2054</v>
      </c>
      <c r="AI10" s="368">
        <v>2055</v>
      </c>
      <c r="AJ10" s="368">
        <v>2056</v>
      </c>
    </row>
    <row r="11" spans="1:36" x14ac:dyDescent="0.2">
      <c r="A11" s="355" t="s">
        <v>302</v>
      </c>
      <c r="B11" s="369" t="b">
        <v>0</v>
      </c>
      <c r="C11" s="370">
        <v>0</v>
      </c>
      <c r="D11" s="355" t="s">
        <v>23</v>
      </c>
      <c r="E11" s="371">
        <v>22011.2834267826</v>
      </c>
      <c r="F11" s="371">
        <v>23169.12733657159</v>
      </c>
      <c r="G11" s="371">
        <v>24359.708916540254</v>
      </c>
      <c r="H11" s="371">
        <v>25786.293069799402</v>
      </c>
      <c r="I11" s="371">
        <v>27243.349680688239</v>
      </c>
      <c r="J11" s="371">
        <v>28607.731356096428</v>
      </c>
      <c r="K11" s="371">
        <v>29963.406048708548</v>
      </c>
      <c r="L11" s="371">
        <v>31546.337074616858</v>
      </c>
      <c r="M11" s="371">
        <v>33441.978851751286</v>
      </c>
      <c r="N11" s="371">
        <v>35051.97914448451</v>
      </c>
      <c r="O11" s="371">
        <v>35950.99950248385</v>
      </c>
      <c r="P11" s="371">
        <v>36859.575219005499</v>
      </c>
      <c r="Q11" s="371">
        <v>37777.673415283927</v>
      </c>
      <c r="R11" s="371">
        <v>38705.262005724384</v>
      </c>
      <c r="S11" s="371">
        <v>39642.309673099015</v>
      </c>
      <c r="T11" s="371">
        <v>40588.785844876067</v>
      </c>
      <c r="U11" s="371">
        <v>41544.660670617246</v>
      </c>
      <c r="V11" s="371">
        <v>42509.905000379025</v>
      </c>
      <c r="W11" s="371">
        <v>43484.490364062265</v>
      </c>
      <c r="X11" s="371">
        <v>44468.388951654168</v>
      </c>
      <c r="Y11" s="371">
        <v>45461.573594314701</v>
      </c>
      <c r="Z11" s="371">
        <v>46464.017746259909</v>
      </c>
      <c r="AA11" s="371">
        <v>47475.695467398167</v>
      </c>
      <c r="AB11" s="371">
        <v>48496.581406680278</v>
      </c>
      <c r="AC11" s="371">
        <v>49526.650786123711</v>
      </c>
      <c r="AD11" s="371">
        <v>50565.879385477645</v>
      </c>
      <c r="AE11" s="371">
        <v>51614.243527493309</v>
      </c>
      <c r="AF11" s="371">
        <v>52671.720063771019</v>
      </c>
      <c r="AG11" s="371">
        <v>52671.720063771019</v>
      </c>
      <c r="AH11" s="371">
        <v>52671.720063771019</v>
      </c>
      <c r="AI11" s="371">
        <v>52671.720063771019</v>
      </c>
      <c r="AJ11" s="371">
        <v>52671.720063771019</v>
      </c>
    </row>
    <row r="12" spans="1:36" x14ac:dyDescent="0.2">
      <c r="A12" s="355" t="s">
        <v>303</v>
      </c>
      <c r="B12" s="369" t="b">
        <v>0</v>
      </c>
      <c r="C12" s="370">
        <v>0</v>
      </c>
      <c r="D12" s="355" t="s">
        <v>23</v>
      </c>
      <c r="E12" s="372">
        <v>24490.163962056096</v>
      </c>
      <c r="F12" s="372">
        <v>25750.241060342207</v>
      </c>
      <c r="G12" s="372">
        <v>27151.255432338563</v>
      </c>
      <c r="H12" s="372">
        <v>28715.893616166657</v>
      </c>
      <c r="I12" s="372">
        <v>30285.278405189129</v>
      </c>
      <c r="J12" s="372">
        <v>31723.738658628175</v>
      </c>
      <c r="K12" s="372">
        <v>33402.686129667964</v>
      </c>
      <c r="L12" s="372">
        <v>35340.388057274504</v>
      </c>
      <c r="M12" s="372">
        <v>37424.387303336684</v>
      </c>
      <c r="N12" s="372">
        <v>39037.17839517074</v>
      </c>
      <c r="O12" s="372">
        <v>40038.301891448042</v>
      </c>
      <c r="P12" s="372">
        <v>41050.060433673294</v>
      </c>
      <c r="Q12" s="372">
        <v>42072.417238845759</v>
      </c>
      <c r="R12" s="372">
        <v>43105.336406467213</v>
      </c>
      <c r="S12" s="372">
        <v>44148.782890923198</v>
      </c>
      <c r="T12" s="372">
        <v>45202.722475125898</v>
      </c>
      <c r="U12" s="372">
        <v>46267.121745346827</v>
      </c>
      <c r="V12" s="372">
        <v>47341.948067167461</v>
      </c>
      <c r="W12" s="372">
        <v>48427.169562485928</v>
      </c>
      <c r="X12" s="372">
        <v>49522.755087517551</v>
      </c>
      <c r="Y12" s="372">
        <v>50628.674211735517</v>
      </c>
      <c r="Z12" s="372">
        <v>51744.8971976994</v>
      </c>
      <c r="AA12" s="372">
        <v>52871.394981721875</v>
      </c>
      <c r="AB12" s="372">
        <v>54008.139155330566</v>
      </c>
      <c r="AC12" s="372">
        <v>55155.101947480449</v>
      </c>
      <c r="AD12" s="372">
        <v>56312.256207479877</v>
      </c>
      <c r="AE12" s="372">
        <v>57479.575388591045</v>
      </c>
      <c r="AF12" s="372">
        <v>58657.033532272137</v>
      </c>
      <c r="AG12" s="372">
        <v>58657.033532272137</v>
      </c>
      <c r="AH12" s="372">
        <v>58657.033532272137</v>
      </c>
      <c r="AI12" s="372">
        <v>58657.033532272137</v>
      </c>
      <c r="AJ12" s="372">
        <v>58657.033532272137</v>
      </c>
    </row>
    <row r="13" spans="1:36" x14ac:dyDescent="0.2">
      <c r="A13" s="355" t="s">
        <v>304</v>
      </c>
      <c r="B13" s="369" t="b">
        <v>0</v>
      </c>
      <c r="C13" s="370">
        <v>300000</v>
      </c>
      <c r="D13" s="355" t="s">
        <v>23</v>
      </c>
      <c r="E13" s="372">
        <v>22011.2834267826</v>
      </c>
      <c r="F13" s="372">
        <v>23169.12733657159</v>
      </c>
      <c r="G13" s="372">
        <v>24359.708916540254</v>
      </c>
      <c r="H13" s="372">
        <v>25786.293069799402</v>
      </c>
      <c r="I13" s="372">
        <v>27243.349680688239</v>
      </c>
      <c r="J13" s="372">
        <v>28607.731356096428</v>
      </c>
      <c r="K13" s="372">
        <v>29963.406048708548</v>
      </c>
      <c r="L13" s="372">
        <v>31546.337074616858</v>
      </c>
      <c r="M13" s="372">
        <v>33441.978851751286</v>
      </c>
      <c r="N13" s="372">
        <v>35051.97914448451</v>
      </c>
      <c r="O13" s="372">
        <v>35950.99950248385</v>
      </c>
      <c r="P13" s="372">
        <v>36859.575219005499</v>
      </c>
      <c r="Q13" s="372">
        <v>37777.673415283927</v>
      </c>
      <c r="R13" s="372">
        <v>38705.262005724384</v>
      </c>
      <c r="S13" s="372">
        <v>39642.309673099015</v>
      </c>
      <c r="T13" s="372">
        <v>40588.785844876067</v>
      </c>
      <c r="U13" s="372">
        <v>41544.660670617246</v>
      </c>
      <c r="V13" s="372">
        <v>42509.905000379025</v>
      </c>
      <c r="W13" s="372">
        <v>43484.490364062265</v>
      </c>
      <c r="X13" s="372">
        <v>44468.388951654168</v>
      </c>
      <c r="Y13" s="372">
        <v>45461.573594314701</v>
      </c>
      <c r="Z13" s="372">
        <v>46464.017746259909</v>
      </c>
      <c r="AA13" s="372">
        <v>47475.695467398167</v>
      </c>
      <c r="AB13" s="372">
        <v>48496.581406680278</v>
      </c>
      <c r="AC13" s="372">
        <v>49526.650786123711</v>
      </c>
      <c r="AD13" s="372">
        <v>50565.879385477645</v>
      </c>
      <c r="AE13" s="372">
        <v>51614.243527493309</v>
      </c>
      <c r="AF13" s="372">
        <v>52671.720063771019</v>
      </c>
      <c r="AG13" s="372">
        <v>52671.720063771019</v>
      </c>
      <c r="AH13" s="372">
        <v>52671.720063771019</v>
      </c>
      <c r="AI13" s="372">
        <v>52671.720063771019</v>
      </c>
      <c r="AJ13" s="372">
        <v>52671.720063771019</v>
      </c>
    </row>
    <row r="14" spans="1:36" x14ac:dyDescent="0.2">
      <c r="A14" s="355" t="s">
        <v>305</v>
      </c>
      <c r="B14" s="369" t="b">
        <v>0</v>
      </c>
      <c r="C14" s="370">
        <v>4000</v>
      </c>
      <c r="D14" s="355" t="s">
        <v>306</v>
      </c>
      <c r="E14" s="373">
        <v>2.7363391543191607E-3</v>
      </c>
      <c r="F14" s="373">
        <v>2.8170253525688776E-3</v>
      </c>
      <c r="G14" s="373">
        <v>2.898674576233661E-3</v>
      </c>
      <c r="H14" s="373">
        <v>2.9812819815341505E-3</v>
      </c>
      <c r="I14" s="373">
        <v>3.0648428285295383E-3</v>
      </c>
      <c r="J14" s="373">
        <v>3.1493524772428678E-3</v>
      </c>
      <c r="K14" s="373">
        <v>3.2348063839904651E-3</v>
      </c>
      <c r="L14" s="373">
        <v>3.3212000979017187E-3</v>
      </c>
      <c r="M14" s="373">
        <v>3.4085292576165396E-3</v>
      </c>
      <c r="N14" s="373">
        <v>3.4967895881488891E-3</v>
      </c>
      <c r="O14" s="373">
        <v>3.5859768979056108E-3</v>
      </c>
      <c r="P14" s="373">
        <v>3.6760870758507295E-3</v>
      </c>
      <c r="Q14" s="373">
        <v>3.7671160888060936E-3</v>
      </c>
      <c r="R14" s="373">
        <v>3.8590599788799287E-3</v>
      </c>
      <c r="S14" s="373">
        <v>3.9519148610155435E-3</v>
      </c>
      <c r="T14" s="373">
        <v>4.0456769206529183E-3</v>
      </c>
      <c r="U14" s="373">
        <v>4.1403424114965816E-3</v>
      </c>
      <c r="V14" s="373">
        <v>4.2359076533834755E-3</v>
      </c>
      <c r="W14" s="373">
        <v>4.3323690302451432E-3</v>
      </c>
      <c r="X14" s="373">
        <v>4.4297229881587455E-3</v>
      </c>
      <c r="Y14" s="373">
        <v>4.5279660334820804E-3</v>
      </c>
      <c r="Z14" s="373">
        <v>4.6270947310678417E-3</v>
      </c>
      <c r="AA14" s="373">
        <v>4.727105702552796E-3</v>
      </c>
      <c r="AB14" s="373">
        <v>4.727105702552796E-3</v>
      </c>
      <c r="AC14" s="373">
        <v>4.727105702552796E-3</v>
      </c>
      <c r="AD14" s="373">
        <v>4.727105702552796E-3</v>
      </c>
      <c r="AE14" s="373">
        <v>4.727105702552796E-3</v>
      </c>
      <c r="AF14" s="373">
        <v>4.727105702552796E-3</v>
      </c>
      <c r="AG14" s="373">
        <v>4.727105702552796E-3</v>
      </c>
      <c r="AH14" s="373">
        <v>4.727105702552796E-3</v>
      </c>
      <c r="AI14" s="373">
        <v>4.727105702552796E-3</v>
      </c>
      <c r="AJ14" s="373">
        <v>4.727105702552796E-3</v>
      </c>
    </row>
    <row r="15" spans="1:36" x14ac:dyDescent="0.2">
      <c r="A15" s="355" t="s">
        <v>307</v>
      </c>
      <c r="B15" s="369" t="b">
        <v>0</v>
      </c>
      <c r="C15" s="370">
        <v>650</v>
      </c>
      <c r="D15" s="355" t="s">
        <v>308</v>
      </c>
      <c r="E15" s="373">
        <v>1.0945356617276643E-2</v>
      </c>
      <c r="F15" s="373">
        <v>1.1268101410275511E-2</v>
      </c>
      <c r="G15" s="373">
        <v>1.1594698304934644E-2</v>
      </c>
      <c r="H15" s="373">
        <v>1.1925127926136602E-2</v>
      </c>
      <c r="I15" s="373">
        <v>1.2259371314118153E-2</v>
      </c>
      <c r="J15" s="373">
        <v>1.2597409908971471E-2</v>
      </c>
      <c r="K15" s="373">
        <v>1.293922553596186E-2</v>
      </c>
      <c r="L15" s="373">
        <v>1.3284800391606875E-2</v>
      </c>
      <c r="M15" s="373">
        <v>1.3634117030466159E-2</v>
      </c>
      <c r="N15" s="373">
        <v>1.3987158352595556E-2</v>
      </c>
      <c r="O15" s="373">
        <v>1.4343907591622443E-2</v>
      </c>
      <c r="P15" s="373">
        <v>1.4704348303402918E-2</v>
      </c>
      <c r="Q15" s="373">
        <v>1.5068464355224374E-2</v>
      </c>
      <c r="R15" s="373">
        <v>1.5436239915519715E-2</v>
      </c>
      <c r="S15" s="373">
        <v>1.5807659444062174E-2</v>
      </c>
      <c r="T15" s="373">
        <v>1.6182707682611673E-2</v>
      </c>
      <c r="U15" s="373">
        <v>1.6561369645986326E-2</v>
      </c>
      <c r="V15" s="373">
        <v>1.6943630613533902E-2</v>
      </c>
      <c r="W15" s="373">
        <v>1.7329476120980573E-2</v>
      </c>
      <c r="X15" s="373">
        <v>1.7718891952634982E-2</v>
      </c>
      <c r="Y15" s="373">
        <v>1.8111864133928322E-2</v>
      </c>
      <c r="Z15" s="373">
        <v>1.8508378924271367E-2</v>
      </c>
      <c r="AA15" s="373">
        <v>1.8908422810211184E-2</v>
      </c>
      <c r="AB15" s="373">
        <v>1.8908422810211184E-2</v>
      </c>
      <c r="AC15" s="373">
        <v>1.8908422810211184E-2</v>
      </c>
      <c r="AD15" s="373">
        <v>1.8908422810211184E-2</v>
      </c>
      <c r="AE15" s="373">
        <v>1.8908422810211184E-2</v>
      </c>
      <c r="AF15" s="373">
        <v>1.8908422810211184E-2</v>
      </c>
      <c r="AG15" s="373">
        <v>1.8908422810211184E-2</v>
      </c>
      <c r="AH15" s="373">
        <v>1.8908422810211184E-2</v>
      </c>
      <c r="AI15" s="373">
        <v>1.8908422810211184E-2</v>
      </c>
      <c r="AJ15" s="373">
        <v>1.8908422810211184E-2</v>
      </c>
    </row>
    <row r="16" spans="1:36" x14ac:dyDescent="0.2">
      <c r="A16" s="355" t="s">
        <v>309</v>
      </c>
      <c r="B16" s="374" t="b">
        <v>0</v>
      </c>
      <c r="C16" s="370">
        <v>300000</v>
      </c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</row>
    <row r="17" spans="1:36" x14ac:dyDescent="0.2">
      <c r="A17" s="355" t="s">
        <v>310</v>
      </c>
      <c r="B17" s="374" t="b">
        <v>0</v>
      </c>
      <c r="C17" s="370">
        <v>500000</v>
      </c>
      <c r="D17" s="355" t="s">
        <v>275</v>
      </c>
      <c r="E17" s="375">
        <v>816697.82385810453</v>
      </c>
      <c r="F17" s="375">
        <v>859354.77503484616</v>
      </c>
      <c r="G17" s="375">
        <v>904351.73152310133</v>
      </c>
      <c r="H17" s="375">
        <v>957039.73253107024</v>
      </c>
      <c r="I17" s="375">
        <v>1010544.4225448999</v>
      </c>
      <c r="J17" s="375">
        <v>1060311.0715302068</v>
      </c>
      <c r="K17" s="375">
        <v>1112448.3669099128</v>
      </c>
      <c r="L17" s="375">
        <v>1173081.2690906434</v>
      </c>
      <c r="M17" s="375">
        <v>1243145.8494889606</v>
      </c>
      <c r="N17" s="375">
        <v>1300960.4193666072</v>
      </c>
      <c r="O17" s="375">
        <v>1334326.5341563418</v>
      </c>
      <c r="P17" s="375">
        <v>1368047.2256372187</v>
      </c>
      <c r="Q17" s="375">
        <v>1402121.2717193926</v>
      </c>
      <c r="R17" s="375">
        <v>1436547.4797425719</v>
      </c>
      <c r="S17" s="375">
        <v>1471324.6855554748</v>
      </c>
      <c r="T17" s="375">
        <v>1506451.7526373356</v>
      </c>
      <c r="U17" s="375">
        <v>1541927.571259059</v>
      </c>
      <c r="V17" s="375">
        <v>1577751.0576816348</v>
      </c>
      <c r="W17" s="375">
        <v>1613921.1533897456</v>
      </c>
      <c r="X17" s="375">
        <v>1650436.8243585015</v>
      </c>
      <c r="Y17" s="375">
        <v>1687297.0603515038</v>
      </c>
      <c r="Z17" s="375">
        <v>1724500.8742484988</v>
      </c>
      <c r="AA17" s="375">
        <v>1762047.3014009651</v>
      </c>
      <c r="AB17" s="375">
        <v>1799935.3990142036</v>
      </c>
      <c r="AC17" s="375">
        <v>1838164.2455544423</v>
      </c>
      <c r="AD17" s="375">
        <v>1876732.9401797226</v>
      </c>
      <c r="AE17" s="375">
        <v>1915640.6021932599</v>
      </c>
      <c r="AF17" s="375">
        <v>1954886.3705181973</v>
      </c>
      <c r="AG17" s="375">
        <v>1954886.3705181973</v>
      </c>
      <c r="AH17" s="375">
        <v>1954886.3705181973</v>
      </c>
      <c r="AI17" s="375">
        <v>1954886.3705181973</v>
      </c>
      <c r="AJ17" s="375">
        <v>1954886.3705181973</v>
      </c>
    </row>
    <row r="18" spans="1:36" x14ac:dyDescent="0.2">
      <c r="A18" s="355" t="s">
        <v>311</v>
      </c>
      <c r="B18" s="369" t="b">
        <v>0</v>
      </c>
      <c r="C18" s="370">
        <v>7599585.5999999996</v>
      </c>
      <c r="D18" s="355" t="s">
        <v>276</v>
      </c>
      <c r="E18" s="375">
        <v>485.64060475075831</v>
      </c>
      <c r="F18" s="375">
        <v>499.9606476632685</v>
      </c>
      <c r="G18" s="375">
        <v>514.45160661307796</v>
      </c>
      <c r="H18" s="375">
        <v>529.11262193484367</v>
      </c>
      <c r="I18" s="375">
        <v>543.94285239230419</v>
      </c>
      <c r="J18" s="375">
        <v>558.94147449060438</v>
      </c>
      <c r="K18" s="375">
        <v>574.10768182484969</v>
      </c>
      <c r="L18" s="375">
        <v>589.44068446244296</v>
      </c>
      <c r="M18" s="375">
        <v>604.93970835695484</v>
      </c>
      <c r="N18" s="375">
        <v>620.60399479146929</v>
      </c>
      <c r="O18" s="375">
        <v>636.43279984949004</v>
      </c>
      <c r="P18" s="375">
        <v>652.42539391166656</v>
      </c>
      <c r="Q18" s="375">
        <v>668.58106117671628</v>
      </c>
      <c r="R18" s="375">
        <v>684.8990992050484</v>
      </c>
      <c r="S18" s="375">
        <v>701.37881848371387</v>
      </c>
      <c r="T18" s="375">
        <v>718.01954201138676</v>
      </c>
      <c r="U18" s="375">
        <v>734.82060490221204</v>
      </c>
      <c r="V18" s="375">
        <v>751.78135400739791</v>
      </c>
      <c r="W18" s="375">
        <v>768.90114755354796</v>
      </c>
      <c r="X18" s="375">
        <v>786.17935479675998</v>
      </c>
      <c r="Y18" s="375">
        <v>803.61535569163129</v>
      </c>
      <c r="Z18" s="375">
        <v>821.20854057432996</v>
      </c>
      <c r="AA18" s="375">
        <v>838.95830985895975</v>
      </c>
      <c r="AB18" s="375">
        <v>838.95830985895975</v>
      </c>
      <c r="AC18" s="375">
        <v>838.95830985895975</v>
      </c>
      <c r="AD18" s="375">
        <v>838.95830985895975</v>
      </c>
      <c r="AE18" s="375">
        <v>838.95830985895975</v>
      </c>
      <c r="AF18" s="375">
        <v>838.95830985895975</v>
      </c>
      <c r="AG18" s="375">
        <v>838.95830985895975</v>
      </c>
      <c r="AH18" s="375">
        <v>838.95830985895975</v>
      </c>
      <c r="AI18" s="375">
        <v>838.95830985895975</v>
      </c>
      <c r="AJ18" s="375">
        <v>838.95830985895975</v>
      </c>
    </row>
    <row r="19" spans="1:36" x14ac:dyDescent="0.2">
      <c r="A19" s="355" t="s">
        <v>312</v>
      </c>
      <c r="B19" s="369" t="b">
        <v>0</v>
      </c>
      <c r="C19" s="370">
        <v>0</v>
      </c>
      <c r="D19" s="355" t="s">
        <v>277</v>
      </c>
      <c r="E19" s="375">
        <v>24954.052360656082</v>
      </c>
      <c r="F19" s="375">
        <v>25689.870365060837</v>
      </c>
      <c r="G19" s="375">
        <v>26434.470682357714</v>
      </c>
      <c r="H19" s="375">
        <v>27187.809139687673</v>
      </c>
      <c r="I19" s="375">
        <v>27949.842511147614</v>
      </c>
      <c r="J19" s="375">
        <v>28720.528482455069</v>
      </c>
      <c r="K19" s="375">
        <v>29499.825617474406</v>
      </c>
      <c r="L19" s="375">
        <v>30287.693326478988</v>
      </c>
      <c r="M19" s="375">
        <v>31084.091836033611</v>
      </c>
      <c r="N19" s="375">
        <v>31888.982160391472</v>
      </c>
      <c r="O19" s="375">
        <v>32702.326074307377</v>
      </c>
      <c r="P19" s="375">
        <v>33524.086087177573</v>
      </c>
      <c r="Q19" s="375">
        <v>34354.225418422924</v>
      </c>
      <c r="R19" s="375">
        <v>35192.707974038647</v>
      </c>
      <c r="S19" s="375">
        <v>36039.498324239663</v>
      </c>
      <c r="T19" s="375">
        <v>36894.561682135507</v>
      </c>
      <c r="U19" s="375">
        <v>37757.863883374433</v>
      </c>
      <c r="V19" s="375">
        <v>38629.371366699415</v>
      </c>
      <c r="W19" s="375">
        <v>39509.051155364337</v>
      </c>
      <c r="X19" s="375">
        <v>40396.870839360199</v>
      </c>
      <c r="Y19" s="375">
        <v>41292.798558407441</v>
      </c>
      <c r="Z19" s="375">
        <v>42196.802985670845</v>
      </c>
      <c r="AA19" s="375">
        <v>43108.853312157727</v>
      </c>
      <c r="AB19" s="375">
        <v>43108.853312157727</v>
      </c>
      <c r="AC19" s="375">
        <v>43108.853312157727</v>
      </c>
      <c r="AD19" s="375">
        <v>43108.853312157727</v>
      </c>
      <c r="AE19" s="375">
        <v>43108.853312157727</v>
      </c>
      <c r="AF19" s="375">
        <v>43108.853312157727</v>
      </c>
      <c r="AG19" s="375">
        <v>43108.853312157727</v>
      </c>
      <c r="AH19" s="375">
        <v>43108.853312157727</v>
      </c>
      <c r="AI19" s="375">
        <v>43108.853312157727</v>
      </c>
      <c r="AJ19" s="375">
        <v>43108.853312157727</v>
      </c>
    </row>
    <row r="20" spans="1:36" x14ac:dyDescent="0.2">
      <c r="A20" s="355" t="s">
        <v>313</v>
      </c>
      <c r="B20" s="369" t="b">
        <v>0</v>
      </c>
      <c r="C20" s="370">
        <v>0</v>
      </c>
      <c r="D20" s="355" t="s">
        <v>278</v>
      </c>
      <c r="E20" s="375">
        <v>1826.7800194234717</v>
      </c>
      <c r="F20" s="375">
        <v>1880.6461253749828</v>
      </c>
      <c r="G20" s="375">
        <v>1935.1551470935922</v>
      </c>
      <c r="H20" s="375">
        <v>1990.3038508721988</v>
      </c>
      <c r="I20" s="375">
        <v>2046.0890723263199</v>
      </c>
      <c r="J20" s="375">
        <v>2102.5077138073384</v>
      </c>
      <c r="K20" s="375">
        <v>2159.5567419520344</v>
      </c>
      <c r="L20" s="375">
        <v>2217.2331853591872</v>
      </c>
      <c r="M20" s="375">
        <v>2275.534132384802</v>
      </c>
      <c r="N20" s="375">
        <v>2334.4567290481982</v>
      </c>
      <c r="O20" s="375">
        <v>2393.9981770417858</v>
      </c>
      <c r="P20" s="375">
        <v>2454.1557318379469</v>
      </c>
      <c r="Q20" s="375">
        <v>2514.9267008869483</v>
      </c>
      <c r="R20" s="375">
        <v>2576.3084419002403</v>
      </c>
      <c r="S20" s="375">
        <v>2638.2983612139769</v>
      </c>
      <c r="T20" s="375">
        <v>2700.8939122278884</v>
      </c>
      <c r="U20" s="375">
        <v>2764.092593915118</v>
      </c>
      <c r="V20" s="375">
        <v>2827.8919493988083</v>
      </c>
      <c r="W20" s="375">
        <v>2892.2895645916574</v>
      </c>
      <c r="X20" s="375">
        <v>2957.2830668947786</v>
      </c>
      <c r="Y20" s="375">
        <v>3022.8701239526367</v>
      </c>
      <c r="Z20" s="375">
        <v>3089.0484424608912</v>
      </c>
      <c r="AA20" s="375">
        <v>3155.8157670242467</v>
      </c>
      <c r="AB20" s="375">
        <v>3155.8157670242467</v>
      </c>
      <c r="AC20" s="375">
        <v>3155.8157670242467</v>
      </c>
      <c r="AD20" s="375">
        <v>3155.8157670242467</v>
      </c>
      <c r="AE20" s="375">
        <v>3155.8157670242467</v>
      </c>
      <c r="AF20" s="375">
        <v>3155.8157670242467</v>
      </c>
      <c r="AG20" s="375">
        <v>3155.8157670242467</v>
      </c>
      <c r="AH20" s="375">
        <v>3155.8157670242467</v>
      </c>
      <c r="AI20" s="375">
        <v>3155.8157670242467</v>
      </c>
      <c r="AJ20" s="375">
        <v>3155.8157670242467</v>
      </c>
    </row>
    <row r="21" spans="1:36" x14ac:dyDescent="0.2">
      <c r="A21" s="355" t="s">
        <v>314</v>
      </c>
      <c r="B21" s="369" t="b">
        <v>0</v>
      </c>
      <c r="C21" s="370" t="s">
        <v>136</v>
      </c>
      <c r="D21" s="355" t="s">
        <v>279</v>
      </c>
      <c r="E21" s="376">
        <v>5992.5</v>
      </c>
      <c r="F21" s="376">
        <v>5992.5</v>
      </c>
      <c r="G21" s="376">
        <v>5992.5</v>
      </c>
      <c r="H21" s="376">
        <v>5992.5</v>
      </c>
      <c r="I21" s="376">
        <v>5992.5</v>
      </c>
      <c r="J21" s="376">
        <v>5992.5</v>
      </c>
      <c r="K21" s="376">
        <v>5992.5</v>
      </c>
      <c r="L21" s="376">
        <v>5992.5</v>
      </c>
      <c r="M21" s="376">
        <v>5992.5</v>
      </c>
      <c r="N21" s="376">
        <v>5992.5</v>
      </c>
      <c r="O21" s="376">
        <v>5992.5</v>
      </c>
      <c r="P21" s="376">
        <v>5992.5</v>
      </c>
      <c r="Q21" s="376">
        <v>5992.5</v>
      </c>
      <c r="R21" s="376">
        <v>5992.5</v>
      </c>
      <c r="S21" s="376">
        <v>5992.5</v>
      </c>
      <c r="T21" s="376">
        <v>5992.5</v>
      </c>
      <c r="U21" s="376">
        <v>5992.5</v>
      </c>
      <c r="V21" s="376">
        <v>5992.5</v>
      </c>
      <c r="W21" s="376">
        <v>5992.5</v>
      </c>
      <c r="X21" s="376">
        <v>5992.5</v>
      </c>
      <c r="Y21" s="376">
        <v>5992.5</v>
      </c>
      <c r="Z21" s="376">
        <v>5992.5</v>
      </c>
      <c r="AA21" s="376">
        <v>5992.5</v>
      </c>
      <c r="AB21" s="376">
        <v>5992.5</v>
      </c>
      <c r="AC21" s="376">
        <v>5992.5</v>
      </c>
      <c r="AD21" s="376">
        <v>5992.5</v>
      </c>
      <c r="AE21" s="376">
        <v>5992.5</v>
      </c>
      <c r="AF21" s="376">
        <v>5992.5</v>
      </c>
      <c r="AG21" s="376">
        <v>5992.5</v>
      </c>
      <c r="AH21" s="376">
        <v>5992.5</v>
      </c>
      <c r="AI21" s="376">
        <v>5992.5</v>
      </c>
      <c r="AJ21" s="376">
        <v>5992.5</v>
      </c>
    </row>
    <row r="22" spans="1:36" x14ac:dyDescent="0.2">
      <c r="A22" s="355" t="s">
        <v>315</v>
      </c>
      <c r="B22" s="369" t="b">
        <v>1</v>
      </c>
      <c r="C22" s="370">
        <v>0</v>
      </c>
      <c r="D22" s="355" t="s">
        <v>316</v>
      </c>
      <c r="E22" s="377">
        <v>0</v>
      </c>
      <c r="F22" s="377">
        <v>0</v>
      </c>
      <c r="G22" s="377">
        <v>0</v>
      </c>
      <c r="H22" s="377">
        <v>0</v>
      </c>
      <c r="I22" s="377">
        <v>0</v>
      </c>
      <c r="J22" s="377">
        <v>0</v>
      </c>
      <c r="K22" s="377">
        <v>0</v>
      </c>
      <c r="L22" s="377">
        <v>0</v>
      </c>
      <c r="M22" s="377">
        <v>0</v>
      </c>
      <c r="N22" s="377">
        <v>0</v>
      </c>
      <c r="O22" s="377">
        <v>0</v>
      </c>
      <c r="P22" s="377">
        <v>0</v>
      </c>
      <c r="Q22" s="377">
        <v>0</v>
      </c>
      <c r="R22" s="377">
        <v>0</v>
      </c>
      <c r="S22" s="377">
        <v>0</v>
      </c>
      <c r="T22" s="377">
        <v>0</v>
      </c>
      <c r="U22" s="377">
        <v>0</v>
      </c>
      <c r="V22" s="377">
        <v>0</v>
      </c>
      <c r="W22" s="377">
        <v>0</v>
      </c>
      <c r="X22" s="377">
        <v>0</v>
      </c>
      <c r="Y22" s="377">
        <v>0</v>
      </c>
      <c r="Z22" s="377">
        <v>0</v>
      </c>
      <c r="AA22" s="377">
        <v>0</v>
      </c>
      <c r="AB22" s="377">
        <v>0</v>
      </c>
      <c r="AC22" s="377">
        <v>0</v>
      </c>
      <c r="AD22" s="377">
        <v>0</v>
      </c>
      <c r="AE22" s="377">
        <v>0</v>
      </c>
      <c r="AF22" s="377">
        <v>0</v>
      </c>
      <c r="AG22" s="377">
        <v>0</v>
      </c>
      <c r="AH22" s="377">
        <v>0</v>
      </c>
      <c r="AI22" s="377">
        <v>0</v>
      </c>
      <c r="AJ22" s="377">
        <v>0</v>
      </c>
    </row>
    <row r="23" spans="1:36" x14ac:dyDescent="0.2">
      <c r="A23" s="355" t="s">
        <v>317</v>
      </c>
      <c r="B23" s="374">
        <v>0</v>
      </c>
      <c r="C23" s="370">
        <v>0</v>
      </c>
      <c r="D23" s="355" t="s">
        <v>18</v>
      </c>
      <c r="E23" s="376">
        <v>0</v>
      </c>
      <c r="F23" s="376">
        <v>0</v>
      </c>
      <c r="G23" s="376">
        <v>0</v>
      </c>
      <c r="H23" s="376">
        <v>0</v>
      </c>
      <c r="I23" s="376">
        <v>0</v>
      </c>
      <c r="J23" s="376">
        <v>0</v>
      </c>
      <c r="K23" s="376">
        <v>0</v>
      </c>
      <c r="L23" s="376">
        <v>0</v>
      </c>
      <c r="M23" s="376">
        <v>0</v>
      </c>
      <c r="N23" s="376">
        <v>0</v>
      </c>
      <c r="O23" s="376">
        <v>0</v>
      </c>
      <c r="P23" s="376">
        <v>0</v>
      </c>
      <c r="Q23" s="376">
        <v>0</v>
      </c>
      <c r="R23" s="376">
        <v>0</v>
      </c>
      <c r="S23" s="376">
        <v>0</v>
      </c>
      <c r="T23" s="376">
        <v>0</v>
      </c>
      <c r="U23" s="376">
        <v>0</v>
      </c>
      <c r="V23" s="376">
        <v>0</v>
      </c>
      <c r="W23" s="376">
        <v>0</v>
      </c>
      <c r="X23" s="376">
        <v>0</v>
      </c>
      <c r="Y23" s="376">
        <v>0</v>
      </c>
      <c r="Z23" s="376">
        <v>0</v>
      </c>
      <c r="AA23" s="376">
        <v>0</v>
      </c>
      <c r="AB23" s="376">
        <v>0</v>
      </c>
      <c r="AC23" s="376">
        <v>0</v>
      </c>
      <c r="AD23" s="376">
        <v>0</v>
      </c>
      <c r="AE23" s="376">
        <v>0</v>
      </c>
      <c r="AF23" s="376">
        <v>0</v>
      </c>
      <c r="AG23" s="376">
        <v>0</v>
      </c>
      <c r="AH23" s="376">
        <v>0</v>
      </c>
      <c r="AI23" s="376">
        <v>0</v>
      </c>
      <c r="AJ23" s="376">
        <v>0</v>
      </c>
    </row>
    <row r="24" spans="1:36" x14ac:dyDescent="0.2">
      <c r="A24" s="378"/>
      <c r="B24" s="378"/>
      <c r="C24" s="370">
        <v>0</v>
      </c>
      <c r="D24" s="379" t="s">
        <v>318</v>
      </c>
      <c r="E24" s="380">
        <v>0</v>
      </c>
      <c r="F24" s="380">
        <v>0</v>
      </c>
      <c r="G24" s="380">
        <v>0</v>
      </c>
      <c r="H24" s="380">
        <v>0</v>
      </c>
      <c r="I24" s="380">
        <v>0</v>
      </c>
      <c r="J24" s="380">
        <v>0</v>
      </c>
      <c r="K24" s="380">
        <v>0</v>
      </c>
      <c r="L24" s="380">
        <v>0</v>
      </c>
      <c r="M24" s="380">
        <v>0</v>
      </c>
      <c r="N24" s="380">
        <v>0</v>
      </c>
      <c r="O24" s="380">
        <v>0</v>
      </c>
      <c r="P24" s="380">
        <v>0</v>
      </c>
      <c r="Q24" s="380">
        <v>0</v>
      </c>
      <c r="R24" s="380">
        <v>0</v>
      </c>
      <c r="S24" s="380">
        <v>0</v>
      </c>
      <c r="T24" s="380">
        <v>0</v>
      </c>
      <c r="U24" s="380">
        <v>0</v>
      </c>
      <c r="V24" s="380">
        <v>0</v>
      </c>
      <c r="W24" s="380">
        <v>0</v>
      </c>
      <c r="X24" s="380">
        <v>0</v>
      </c>
      <c r="Y24" s="380">
        <v>0</v>
      </c>
      <c r="Z24" s="380">
        <v>0</v>
      </c>
      <c r="AA24" s="380">
        <v>0</v>
      </c>
      <c r="AB24" s="380">
        <v>0</v>
      </c>
      <c r="AC24" s="380">
        <v>0</v>
      </c>
      <c r="AD24" s="380">
        <v>0</v>
      </c>
      <c r="AE24" s="380">
        <v>0</v>
      </c>
      <c r="AF24" s="380">
        <v>0</v>
      </c>
      <c r="AG24" s="380">
        <v>0</v>
      </c>
      <c r="AH24" s="380">
        <v>0</v>
      </c>
      <c r="AI24" s="380">
        <v>0</v>
      </c>
      <c r="AJ24" s="380">
        <v>0</v>
      </c>
    </row>
    <row r="25" spans="1:36" x14ac:dyDescent="0.2">
      <c r="A25" s="381"/>
      <c r="B25" s="381"/>
      <c r="C25" s="381"/>
      <c r="D25" s="382" t="s">
        <v>319</v>
      </c>
      <c r="E25" s="383">
        <v>849956.7968429348</v>
      </c>
      <c r="F25" s="383">
        <v>893417.75217294518</v>
      </c>
      <c r="G25" s="383">
        <v>939228.3089591657</v>
      </c>
      <c r="H25" s="383">
        <v>992739.45814356499</v>
      </c>
      <c r="I25" s="383">
        <v>1047076.7969807661</v>
      </c>
      <c r="J25" s="383">
        <v>1097685.5492009597</v>
      </c>
      <c r="K25" s="383">
        <v>1150674.3569511641</v>
      </c>
      <c r="L25" s="383">
        <v>1212168.1362869442</v>
      </c>
      <c r="M25" s="383">
        <v>1283102.9151657359</v>
      </c>
      <c r="N25" s="383">
        <v>1341796.9622508383</v>
      </c>
      <c r="O25" s="383">
        <v>1376051.7912075403</v>
      </c>
      <c r="P25" s="383">
        <v>1410670.3928501459</v>
      </c>
      <c r="Q25" s="383">
        <v>1445651.5048998792</v>
      </c>
      <c r="R25" s="383">
        <v>1480993.8952577158</v>
      </c>
      <c r="S25" s="383">
        <v>1516696.3610594121</v>
      </c>
      <c r="T25" s="383">
        <v>1552757.7277737104</v>
      </c>
      <c r="U25" s="383">
        <v>1589176.8483412508</v>
      </c>
      <c r="V25" s="383">
        <v>1625952.6023517405</v>
      </c>
      <c r="W25" s="383">
        <v>1663083.8952572551</v>
      </c>
      <c r="X25" s="383">
        <v>1700569.6576195532</v>
      </c>
      <c r="Y25" s="383">
        <v>1738408.8443895555</v>
      </c>
      <c r="Z25" s="383">
        <v>1776600.4342172048</v>
      </c>
      <c r="AA25" s="383">
        <v>1815143.4287900061</v>
      </c>
      <c r="AB25" s="383">
        <v>1853031.5264032446</v>
      </c>
      <c r="AC25" s="383">
        <v>1891260.3729434833</v>
      </c>
      <c r="AD25" s="383">
        <v>1929829.0675687636</v>
      </c>
      <c r="AE25" s="383">
        <v>1968736.7295823009</v>
      </c>
      <c r="AF25" s="383">
        <v>2007982.4979072383</v>
      </c>
      <c r="AG25" s="383">
        <v>2007982.4979072383</v>
      </c>
      <c r="AH25" s="383">
        <v>2007982.4979072383</v>
      </c>
      <c r="AI25" s="383">
        <v>2007982.4979072383</v>
      </c>
      <c r="AJ25" s="383">
        <v>2007982.4979072383</v>
      </c>
    </row>
    <row r="27" spans="1:36" x14ac:dyDescent="0.2">
      <c r="A27" s="351" t="s">
        <v>281</v>
      </c>
      <c r="B27" s="351"/>
      <c r="C27" s="352" t="s">
        <v>282</v>
      </c>
      <c r="D27" s="352"/>
      <c r="F27" s="384" t="s">
        <v>283</v>
      </c>
      <c r="G27" s="385" t="s">
        <v>284</v>
      </c>
      <c r="H27" s="386" t="s">
        <v>285</v>
      </c>
      <c r="I27" s="386" t="s">
        <v>286</v>
      </c>
    </row>
    <row r="28" spans="1:36" x14ac:dyDescent="0.2">
      <c r="A28" s="355" t="s">
        <v>287</v>
      </c>
      <c r="B28" s="356" t="s">
        <v>330</v>
      </c>
      <c r="C28" s="357" t="s">
        <v>288</v>
      </c>
      <c r="D28" s="358"/>
      <c r="F28" s="387" t="s">
        <v>289</v>
      </c>
      <c r="G28" s="388">
        <v>1.3681695771595804E-3</v>
      </c>
      <c r="H28" s="385">
        <v>1</v>
      </c>
      <c r="I28" s="389"/>
    </row>
    <row r="29" spans="1:36" x14ac:dyDescent="0.2">
      <c r="A29" s="355" t="s">
        <v>290</v>
      </c>
      <c r="B29" s="356" t="s">
        <v>291</v>
      </c>
      <c r="C29" s="357" t="s">
        <v>292</v>
      </c>
      <c r="D29" s="358"/>
      <c r="F29" s="387" t="s">
        <v>293</v>
      </c>
      <c r="G29" s="388">
        <v>1.3681695771595804E-3</v>
      </c>
      <c r="H29" s="385">
        <v>1</v>
      </c>
      <c r="I29" s="389"/>
    </row>
    <row r="30" spans="1:36" x14ac:dyDescent="0.2">
      <c r="A30" s="361" t="s">
        <v>8</v>
      </c>
      <c r="B30" s="362">
        <v>35.890999999999998</v>
      </c>
      <c r="C30" s="361" t="s">
        <v>294</v>
      </c>
      <c r="D30" s="363">
        <v>9119502.7199999988</v>
      </c>
      <c r="F30" s="387" t="s">
        <v>295</v>
      </c>
      <c r="G30" s="388" t="b">
        <v>1</v>
      </c>
      <c r="H30" s="385">
        <v>1</v>
      </c>
      <c r="I30" s="389"/>
    </row>
    <row r="31" spans="1:36" x14ac:dyDescent="0.2">
      <c r="A31" s="361" t="s">
        <v>296</v>
      </c>
      <c r="B31" s="364">
        <v>0.5</v>
      </c>
      <c r="C31" s="361" t="s">
        <v>297</v>
      </c>
      <c r="D31" s="363">
        <v>166900</v>
      </c>
      <c r="F31" s="387" t="s">
        <v>298</v>
      </c>
      <c r="G31" s="390">
        <v>0</v>
      </c>
      <c r="H31" s="385">
        <v>1</v>
      </c>
      <c r="I31" s="389"/>
    </row>
    <row r="32" spans="1:36" x14ac:dyDescent="0.2">
      <c r="A32" s="391" t="s">
        <v>333</v>
      </c>
      <c r="B32" s="392" t="s">
        <v>299</v>
      </c>
      <c r="C32" s="393" t="s">
        <v>300</v>
      </c>
      <c r="D32" s="394" t="s">
        <v>301</v>
      </c>
      <c r="E32" s="393">
        <v>2025</v>
      </c>
      <c r="F32" s="393">
        <v>2026</v>
      </c>
      <c r="G32" s="393">
        <v>2027</v>
      </c>
      <c r="H32" s="393">
        <v>2028</v>
      </c>
      <c r="I32" s="393">
        <v>2029</v>
      </c>
      <c r="J32" s="393">
        <v>2030</v>
      </c>
      <c r="K32" s="393">
        <v>2031</v>
      </c>
      <c r="L32" s="393">
        <v>2032</v>
      </c>
      <c r="M32" s="393">
        <v>2033</v>
      </c>
      <c r="N32" s="393">
        <v>2034</v>
      </c>
      <c r="O32" s="393">
        <v>2035</v>
      </c>
      <c r="P32" s="393">
        <v>2036</v>
      </c>
      <c r="Q32" s="393">
        <v>2037</v>
      </c>
      <c r="R32" s="393">
        <v>2038</v>
      </c>
      <c r="S32" s="393">
        <v>2039</v>
      </c>
      <c r="T32" s="393">
        <v>2040</v>
      </c>
      <c r="U32" s="393">
        <v>2041</v>
      </c>
      <c r="V32" s="393">
        <v>2042</v>
      </c>
      <c r="W32" s="393">
        <v>2043</v>
      </c>
      <c r="X32" s="393">
        <v>2044</v>
      </c>
      <c r="Y32" s="393">
        <v>2045</v>
      </c>
      <c r="Z32" s="393">
        <v>2046</v>
      </c>
      <c r="AA32" s="393">
        <v>2047</v>
      </c>
      <c r="AB32" s="395">
        <v>2048</v>
      </c>
      <c r="AC32" s="395">
        <v>2049</v>
      </c>
      <c r="AD32" s="395">
        <v>2050</v>
      </c>
      <c r="AE32" s="395">
        <v>2051</v>
      </c>
      <c r="AF32" s="395">
        <v>2052</v>
      </c>
      <c r="AG32" s="395">
        <v>2053</v>
      </c>
      <c r="AH32" s="395">
        <v>2054</v>
      </c>
      <c r="AI32" s="395">
        <v>2055</v>
      </c>
      <c r="AJ32" s="395">
        <v>2056</v>
      </c>
    </row>
    <row r="33" spans="1:36" x14ac:dyDescent="0.2">
      <c r="A33" s="396" t="s">
        <v>302</v>
      </c>
      <c r="B33" s="397" t="b">
        <v>0</v>
      </c>
      <c r="C33" s="398">
        <v>0</v>
      </c>
      <c r="D33" s="396" t="s">
        <v>23</v>
      </c>
      <c r="E33" s="399">
        <v>22011.2834267826</v>
      </c>
      <c r="F33" s="399">
        <v>23169.12733657159</v>
      </c>
      <c r="G33" s="399">
        <v>24359.708916540254</v>
      </c>
      <c r="H33" s="399">
        <v>779.58610176143793</v>
      </c>
      <c r="I33" s="399">
        <v>1464.2154254126463</v>
      </c>
      <c r="J33" s="399">
        <v>2140.8865514274371</v>
      </c>
      <c r="K33" s="399">
        <v>2825.3957919532518</v>
      </c>
      <c r="L33" s="399">
        <v>3548.7972843674652</v>
      </c>
      <c r="M33" s="399">
        <v>4335.9868076128314</v>
      </c>
      <c r="N33" s="399">
        <v>5115.113288130512</v>
      </c>
      <c r="O33" s="399">
        <v>5803.1568976633862</v>
      </c>
      <c r="P33" s="399">
        <v>6495.0165220364015</v>
      </c>
      <c r="Q33" s="399">
        <v>7191.7271362999836</v>
      </c>
      <c r="R33" s="399">
        <v>7894.0719701061644</v>
      </c>
      <c r="S33" s="399">
        <v>8602.6574157114192</v>
      </c>
      <c r="T33" s="399">
        <v>9317.9615360328989</v>
      </c>
      <c r="U33" s="399">
        <v>10040.366760153931</v>
      </c>
      <c r="V33" s="399">
        <v>10770.182659292759</v>
      </c>
      <c r="W33" s="399">
        <v>11507.662257036978</v>
      </c>
      <c r="X33" s="399">
        <v>12253.013986868084</v>
      </c>
      <c r="Y33" s="399">
        <v>13006.410637536606</v>
      </c>
      <c r="Z33" s="399">
        <v>13767.996163688627</v>
      </c>
      <c r="AA33" s="399">
        <v>14537.890951738573</v>
      </c>
      <c r="AB33" s="399">
        <v>15316.195947229067</v>
      </c>
      <c r="AC33" s="399">
        <v>16102.995929309747</v>
      </c>
      <c r="AD33" s="399">
        <v>16898.362136942145</v>
      </c>
      <c r="AE33" s="399">
        <v>17702.354395864346</v>
      </c>
      <c r="AF33" s="399">
        <v>18515.022856515072</v>
      </c>
      <c r="AG33" s="399">
        <v>18515.022856515072</v>
      </c>
      <c r="AH33" s="399">
        <v>18515.022856515072</v>
      </c>
      <c r="AI33" s="399">
        <v>18515.022856515072</v>
      </c>
      <c r="AJ33" s="399">
        <v>18515.022856515072</v>
      </c>
    </row>
    <row r="34" spans="1:36" x14ac:dyDescent="0.2">
      <c r="A34" s="396" t="s">
        <v>303</v>
      </c>
      <c r="B34" s="397" t="b">
        <v>0</v>
      </c>
      <c r="C34" s="398">
        <v>0</v>
      </c>
      <c r="D34" s="396" t="s">
        <v>23</v>
      </c>
      <c r="E34" s="400">
        <v>24490.163962056096</v>
      </c>
      <c r="F34" s="400">
        <v>25750.241060342207</v>
      </c>
      <c r="G34" s="400">
        <v>27151.255432338563</v>
      </c>
      <c r="H34" s="400">
        <v>868.19475961919761</v>
      </c>
      <c r="I34" s="400">
        <v>1627.7938157543713</v>
      </c>
      <c r="J34" s="400">
        <v>2374.214144953773</v>
      </c>
      <c r="K34" s="400">
        <v>3149.9157046263845</v>
      </c>
      <c r="L34" s="400">
        <v>3975.9227642341793</v>
      </c>
      <c r="M34" s="400">
        <v>4852.7726167862902</v>
      </c>
      <c r="N34" s="400">
        <v>5697.1974304775276</v>
      </c>
      <c r="O34" s="400">
        <v>6463.5244296847977</v>
      </c>
      <c r="P34" s="400">
        <v>7234.0983117064579</v>
      </c>
      <c r="Q34" s="400">
        <v>8010.071742638228</v>
      </c>
      <c r="R34" s="400">
        <v>8792.3169843374872</v>
      </c>
      <c r="S34" s="400">
        <v>9581.5093294056242</v>
      </c>
      <c r="T34" s="400">
        <v>10378.181131110659</v>
      </c>
      <c r="U34" s="400">
        <v>11182.758220794622</v>
      </c>
      <c r="V34" s="400">
        <v>11995.585276579221</v>
      </c>
      <c r="W34" s="400">
        <v>12816.943990320276</v>
      </c>
      <c r="X34" s="400">
        <v>13647.066386364366</v>
      </c>
      <c r="Y34" s="400">
        <v>14486.144785266935</v>
      </c>
      <c r="Z34" s="400">
        <v>15334.339389750223</v>
      </c>
      <c r="AA34" s="400">
        <v>16191.784150057203</v>
      </c>
      <c r="AB34" s="400">
        <v>17058.5913611867</v>
      </c>
      <c r="AC34" s="400">
        <v>17934.85531015657</v>
      </c>
      <c r="AD34" s="400">
        <v>18820.655201193844</v>
      </c>
      <c r="AE34" s="400">
        <v>19716.057524850974</v>
      </c>
      <c r="AF34" s="400">
        <v>20621.117993792624</v>
      </c>
      <c r="AG34" s="400">
        <v>20621.117993792624</v>
      </c>
      <c r="AH34" s="400">
        <v>20621.117993792624</v>
      </c>
      <c r="AI34" s="400">
        <v>20621.117993792624</v>
      </c>
      <c r="AJ34" s="400">
        <v>20621.117993792624</v>
      </c>
    </row>
    <row r="35" spans="1:36" x14ac:dyDescent="0.2">
      <c r="A35" s="396" t="s">
        <v>304</v>
      </c>
      <c r="B35" s="397" t="b">
        <v>0</v>
      </c>
      <c r="C35" s="398">
        <v>300000</v>
      </c>
      <c r="D35" s="396" t="s">
        <v>23</v>
      </c>
      <c r="E35" s="400">
        <v>22011.2834267826</v>
      </c>
      <c r="F35" s="400">
        <v>23169.12733657159</v>
      </c>
      <c r="G35" s="400">
        <v>24359.708916540254</v>
      </c>
      <c r="H35" s="400">
        <v>779.58610176143793</v>
      </c>
      <c r="I35" s="400">
        <v>1464.2154254126463</v>
      </c>
      <c r="J35" s="400">
        <v>2140.8865514274371</v>
      </c>
      <c r="K35" s="400">
        <v>2825.3957919532518</v>
      </c>
      <c r="L35" s="400">
        <v>3548.7972843674652</v>
      </c>
      <c r="M35" s="400">
        <v>4335.9868076128314</v>
      </c>
      <c r="N35" s="400">
        <v>5115.113288130512</v>
      </c>
      <c r="O35" s="400">
        <v>5803.1568976633862</v>
      </c>
      <c r="P35" s="400">
        <v>6495.0165220364015</v>
      </c>
      <c r="Q35" s="400">
        <v>7191.7271362999836</v>
      </c>
      <c r="R35" s="400">
        <v>7894.0719701061644</v>
      </c>
      <c r="S35" s="400">
        <v>8602.6574157114192</v>
      </c>
      <c r="T35" s="400">
        <v>9317.9615360328989</v>
      </c>
      <c r="U35" s="400">
        <v>10040.366760153931</v>
      </c>
      <c r="V35" s="400">
        <v>10770.182659292759</v>
      </c>
      <c r="W35" s="400">
        <v>11507.662257036978</v>
      </c>
      <c r="X35" s="400">
        <v>12253.013986868084</v>
      </c>
      <c r="Y35" s="400">
        <v>13006.410637536606</v>
      </c>
      <c r="Z35" s="400">
        <v>13767.996163688627</v>
      </c>
      <c r="AA35" s="400">
        <v>14537.890951738573</v>
      </c>
      <c r="AB35" s="400">
        <v>15316.195947229067</v>
      </c>
      <c r="AC35" s="400">
        <v>16102.995929309747</v>
      </c>
      <c r="AD35" s="400">
        <v>16898.362136942145</v>
      </c>
      <c r="AE35" s="400">
        <v>17702.354395864346</v>
      </c>
      <c r="AF35" s="400">
        <v>18515.022856515072</v>
      </c>
      <c r="AG35" s="400">
        <v>18515.022856515072</v>
      </c>
      <c r="AH35" s="400">
        <v>18515.022856515072</v>
      </c>
      <c r="AI35" s="400">
        <v>18515.022856515072</v>
      </c>
      <c r="AJ35" s="400">
        <v>18515.022856515072</v>
      </c>
    </row>
    <row r="36" spans="1:36" x14ac:dyDescent="0.2">
      <c r="A36" s="396" t="s">
        <v>305</v>
      </c>
      <c r="B36" s="397" t="b">
        <v>0</v>
      </c>
      <c r="C36" s="398">
        <v>4000</v>
      </c>
      <c r="D36" s="396" t="s">
        <v>306</v>
      </c>
      <c r="E36" s="401">
        <v>2.7363391543191607E-3</v>
      </c>
      <c r="F36" s="401">
        <v>2.8170253525688776E-3</v>
      </c>
      <c r="G36" s="401">
        <v>2.898674576233661E-3</v>
      </c>
      <c r="H36" s="401">
        <v>1.4920160307670752E-3</v>
      </c>
      <c r="I36" s="401">
        <v>1.5368889016279435E-3</v>
      </c>
      <c r="J36" s="401">
        <v>1.5835768220042326E-3</v>
      </c>
      <c r="K36" s="401">
        <v>1.6319181012609504E-3</v>
      </c>
      <c r="L36" s="401">
        <v>1.681811058889998E-3</v>
      </c>
      <c r="M36" s="401">
        <v>1.7331827095348569E-3</v>
      </c>
      <c r="N36" s="401">
        <v>1.7859767179149834E-3</v>
      </c>
      <c r="O36" s="401">
        <v>1.8401475282886959E-3</v>
      </c>
      <c r="P36" s="401">
        <v>1.8956570839421163E-3</v>
      </c>
      <c r="Q36" s="401">
        <v>1.9524728190118521E-3</v>
      </c>
      <c r="R36" s="401">
        <v>2.0105663456636328E-3</v>
      </c>
      <c r="S36" s="401">
        <v>2.0699125519805456E-3</v>
      </c>
      <c r="T36" s="401">
        <v>2.1304889572784807E-3</v>
      </c>
      <c r="U36" s="401">
        <v>2.1922752365449113E-3</v>
      </c>
      <c r="V36" s="401">
        <v>2.2552528603204834E-3</v>
      </c>
      <c r="W36" s="401">
        <v>2.3194048159246947E-3</v>
      </c>
      <c r="X36" s="401">
        <v>2.3847153875568446E-3</v>
      </c>
      <c r="Y36" s="401">
        <v>2.4511699799997871E-3</v>
      </c>
      <c r="Z36" s="401">
        <v>2.5187549752645191E-3</v>
      </c>
      <c r="AA36" s="401">
        <v>2.5874576145578057E-3</v>
      </c>
      <c r="AB36" s="401">
        <v>2.5874576145578057E-3</v>
      </c>
      <c r="AC36" s="401">
        <v>2.5874576145578057E-3</v>
      </c>
      <c r="AD36" s="401">
        <v>2.5874576145578057E-3</v>
      </c>
      <c r="AE36" s="401">
        <v>2.5874576145578057E-3</v>
      </c>
      <c r="AF36" s="401">
        <v>2.5874576145578057E-3</v>
      </c>
      <c r="AG36" s="401">
        <v>2.5874576145578057E-3</v>
      </c>
      <c r="AH36" s="401">
        <v>2.5874576145578057E-3</v>
      </c>
      <c r="AI36" s="401">
        <v>2.5874576145578057E-3</v>
      </c>
      <c r="AJ36" s="401">
        <v>2.5874576145578057E-3</v>
      </c>
    </row>
    <row r="37" spans="1:36" x14ac:dyDescent="0.2">
      <c r="A37" s="396" t="s">
        <v>307</v>
      </c>
      <c r="B37" s="397" t="b">
        <v>0</v>
      </c>
      <c r="C37" s="398">
        <v>650</v>
      </c>
      <c r="D37" s="396" t="s">
        <v>308</v>
      </c>
      <c r="E37" s="401">
        <v>1.0945356617276643E-2</v>
      </c>
      <c r="F37" s="401">
        <v>1.1268101410275511E-2</v>
      </c>
      <c r="G37" s="401">
        <v>1.1594698304934644E-2</v>
      </c>
      <c r="H37" s="401">
        <v>5.9680641230683007E-3</v>
      </c>
      <c r="I37" s="401">
        <v>6.1475556065117738E-3</v>
      </c>
      <c r="J37" s="401">
        <v>6.3343072880169306E-3</v>
      </c>
      <c r="K37" s="401">
        <v>6.5276724050438014E-3</v>
      </c>
      <c r="L37" s="401">
        <v>6.7272442355599919E-3</v>
      </c>
      <c r="M37" s="401">
        <v>6.9327308381394274E-3</v>
      </c>
      <c r="N37" s="401">
        <v>7.1439068716599337E-3</v>
      </c>
      <c r="O37" s="401">
        <v>7.3605901131547835E-3</v>
      </c>
      <c r="P37" s="401">
        <v>7.5826283357684652E-3</v>
      </c>
      <c r="Q37" s="401">
        <v>7.8098912760474083E-3</v>
      </c>
      <c r="R37" s="401">
        <v>8.0422653826545312E-3</v>
      </c>
      <c r="S37" s="401">
        <v>8.2796502079221825E-3</v>
      </c>
      <c r="T37" s="401">
        <v>8.5219558291139228E-3</v>
      </c>
      <c r="U37" s="401">
        <v>8.7691009461796452E-3</v>
      </c>
      <c r="V37" s="401">
        <v>9.0210114412819335E-3</v>
      </c>
      <c r="W37" s="401">
        <v>9.2776192636987789E-3</v>
      </c>
      <c r="X37" s="401">
        <v>9.5388615502273785E-3</v>
      </c>
      <c r="Y37" s="401">
        <v>9.8046799199991482E-3</v>
      </c>
      <c r="Z37" s="401">
        <v>1.0075019901058076E-2</v>
      </c>
      <c r="AA37" s="401">
        <v>1.0349830458231223E-2</v>
      </c>
      <c r="AB37" s="401">
        <v>1.0349830458231223E-2</v>
      </c>
      <c r="AC37" s="401">
        <v>1.0349830458231223E-2</v>
      </c>
      <c r="AD37" s="401">
        <v>1.0349830458231223E-2</v>
      </c>
      <c r="AE37" s="401">
        <v>1.0349830458231223E-2</v>
      </c>
      <c r="AF37" s="401">
        <v>1.0349830458231223E-2</v>
      </c>
      <c r="AG37" s="401">
        <v>1.0349830458231223E-2</v>
      </c>
      <c r="AH37" s="401">
        <v>1.0349830458231223E-2</v>
      </c>
      <c r="AI37" s="401">
        <v>1.0349830458231223E-2</v>
      </c>
      <c r="AJ37" s="401">
        <v>1.0349830458231223E-2</v>
      </c>
    </row>
    <row r="38" spans="1:36" x14ac:dyDescent="0.2">
      <c r="A38" s="396" t="s">
        <v>309</v>
      </c>
      <c r="B38" s="402" t="b">
        <v>0</v>
      </c>
      <c r="C38" s="398">
        <v>300000</v>
      </c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</row>
    <row r="39" spans="1:36" x14ac:dyDescent="0.2">
      <c r="A39" s="396" t="s">
        <v>310</v>
      </c>
      <c r="B39" s="402" t="b">
        <v>0</v>
      </c>
      <c r="C39" s="398">
        <v>500000</v>
      </c>
      <c r="D39" s="396" t="s">
        <v>275</v>
      </c>
      <c r="E39" s="403">
        <v>816697.82385810453</v>
      </c>
      <c r="F39" s="403">
        <v>859354.77503484616</v>
      </c>
      <c r="G39" s="403">
        <v>904351.73152310133</v>
      </c>
      <c r="H39" s="403">
        <v>28934.20078007162</v>
      </c>
      <c r="I39" s="403">
        <v>54313.453435811738</v>
      </c>
      <c r="J39" s="403">
        <v>79350.867415058252</v>
      </c>
      <c r="K39" s="403">
        <v>104900.48362471958</v>
      </c>
      <c r="L39" s="403">
        <v>131968.87151260156</v>
      </c>
      <c r="M39" s="403">
        <v>161187.29035514549</v>
      </c>
      <c r="N39" s="403">
        <v>189854.00561018521</v>
      </c>
      <c r="O39" s="403">
        <v>215391.4795415707</v>
      </c>
      <c r="P39" s="403">
        <v>241070.55334632285</v>
      </c>
      <c r="Q39" s="403">
        <v>266929.64052876848</v>
      </c>
      <c r="R39" s="403">
        <v>292997.81062081322</v>
      </c>
      <c r="S39" s="403">
        <v>319297.5695176181</v>
      </c>
      <c r="T39" s="403">
        <v>345846.65993583755</v>
      </c>
      <c r="U39" s="403">
        <v>372659.27496284118</v>
      </c>
      <c r="V39" s="403">
        <v>399746.9034257849</v>
      </c>
      <c r="W39" s="403">
        <v>427118.93527409539</v>
      </c>
      <c r="X39" s="403">
        <v>454783.10540377867</v>
      </c>
      <c r="Y39" s="403">
        <v>482745.82568068302</v>
      </c>
      <c r="Z39" s="403">
        <v>511012.43772892148</v>
      </c>
      <c r="AA39" s="403">
        <v>539587.4083831053</v>
      </c>
      <c r="AB39" s="403">
        <v>568474.48288270447</v>
      </c>
      <c r="AC39" s="403">
        <v>597676.80641024804</v>
      </c>
      <c r="AD39" s="403">
        <v>627197.02156770776</v>
      </c>
      <c r="AE39" s="403">
        <v>657037.34732270485</v>
      </c>
      <c r="AF39" s="403">
        <v>687199.64351479104</v>
      </c>
      <c r="AG39" s="403">
        <v>687199.64351479104</v>
      </c>
      <c r="AH39" s="403">
        <v>687199.64351479104</v>
      </c>
      <c r="AI39" s="403">
        <v>687199.64351479104</v>
      </c>
      <c r="AJ39" s="403">
        <v>687199.64351479104</v>
      </c>
    </row>
    <row r="40" spans="1:36" x14ac:dyDescent="0.2">
      <c r="A40" s="396" t="s">
        <v>311</v>
      </c>
      <c r="B40" s="397" t="b">
        <v>1</v>
      </c>
      <c r="C40" s="398">
        <v>7599585.5999999996</v>
      </c>
      <c r="D40" s="396" t="s">
        <v>276</v>
      </c>
      <c r="E40" s="404">
        <v>485.64060475075831</v>
      </c>
      <c r="F40" s="404">
        <v>499.9606476632685</v>
      </c>
      <c r="G40" s="404">
        <v>514.45160661307796</v>
      </c>
      <c r="H40" s="404">
        <v>264.80035062021943</v>
      </c>
      <c r="I40" s="404">
        <v>272.76430790503815</v>
      </c>
      <c r="J40" s="404">
        <v>281.05039694860835</v>
      </c>
      <c r="K40" s="404">
        <v>289.62992118470362</v>
      </c>
      <c r="L40" s="404">
        <v>298.48483453765152</v>
      </c>
      <c r="M40" s="404">
        <v>307.60218369622879</v>
      </c>
      <c r="N40" s="404">
        <v>316.97197037507362</v>
      </c>
      <c r="O40" s="404">
        <v>326.58610942220281</v>
      </c>
      <c r="P40" s="404">
        <v>336.43784659974597</v>
      </c>
      <c r="Q40" s="404">
        <v>346.52140217620763</v>
      </c>
      <c r="R40" s="404">
        <v>356.83173792926772</v>
      </c>
      <c r="S40" s="404">
        <v>367.3643970405904</v>
      </c>
      <c r="T40" s="404">
        <v>378.11538967835645</v>
      </c>
      <c r="U40" s="404">
        <v>389.08110859550379</v>
      </c>
      <c r="V40" s="404">
        <v>400.25826521655307</v>
      </c>
      <c r="W40" s="404">
        <v>411.64384016123665</v>
      </c>
      <c r="X40" s="404">
        <v>423.23504421720713</v>
      </c>
      <c r="Y40" s="404">
        <v>435.02928705129239</v>
      </c>
      <c r="Z40" s="404">
        <v>447.02415176703272</v>
      </c>
      <c r="AA40" s="404">
        <v>459.2173739565045</v>
      </c>
      <c r="AB40" s="404">
        <v>459.2173739565045</v>
      </c>
      <c r="AC40" s="404">
        <v>459.2173739565045</v>
      </c>
      <c r="AD40" s="404">
        <v>459.2173739565045</v>
      </c>
      <c r="AE40" s="404">
        <v>459.2173739565045</v>
      </c>
      <c r="AF40" s="404">
        <v>459.2173739565045</v>
      </c>
      <c r="AG40" s="404">
        <v>459.2173739565045</v>
      </c>
      <c r="AH40" s="404">
        <v>459.2173739565045</v>
      </c>
      <c r="AI40" s="404">
        <v>459.2173739565045</v>
      </c>
      <c r="AJ40" s="404">
        <v>459.2173739565045</v>
      </c>
    </row>
    <row r="41" spans="1:36" x14ac:dyDescent="0.2">
      <c r="A41" s="396" t="s">
        <v>312</v>
      </c>
      <c r="B41" s="397" t="b">
        <v>0</v>
      </c>
      <c r="C41" s="398">
        <v>0</v>
      </c>
      <c r="D41" s="396" t="s">
        <v>277</v>
      </c>
      <c r="E41" s="404">
        <v>24954.052360656082</v>
      </c>
      <c r="F41" s="404">
        <v>25689.870365060837</v>
      </c>
      <c r="G41" s="404">
        <v>26434.470682357714</v>
      </c>
      <c r="H41" s="404">
        <v>13606.444250863944</v>
      </c>
      <c r="I41" s="404">
        <v>14015.662518733841</v>
      </c>
      <c r="J41" s="404">
        <v>14441.433135596553</v>
      </c>
      <c r="K41" s="404">
        <v>14882.28156326647</v>
      </c>
      <c r="L41" s="404">
        <v>15337.280526073415</v>
      </c>
      <c r="M41" s="404">
        <v>15805.764433860095</v>
      </c>
      <c r="N41" s="404">
        <v>16287.219536882361</v>
      </c>
      <c r="O41" s="404">
        <v>16781.230389430038</v>
      </c>
      <c r="P41" s="404">
        <v>17287.449933197397</v>
      </c>
      <c r="Q41" s="404">
        <v>17805.581183704649</v>
      </c>
      <c r="R41" s="404">
        <v>18335.365258019956</v>
      </c>
      <c r="S41" s="404">
        <v>18876.573147948726</v>
      </c>
      <c r="T41" s="404">
        <v>19428.999840831068</v>
      </c>
      <c r="U41" s="404">
        <v>19992.459982659959</v>
      </c>
      <c r="V41" s="404">
        <v>20566.784593980425</v>
      </c>
      <c r="W41" s="404">
        <v>21151.818527606349</v>
      </c>
      <c r="X41" s="404">
        <v>21747.418463250495</v>
      </c>
      <c r="Y41" s="404">
        <v>22353.451299790402</v>
      </c>
      <c r="Z41" s="404">
        <v>22969.792847938312</v>
      </c>
      <c r="AA41" s="404">
        <v>23596.326753844616</v>
      </c>
      <c r="AB41" s="404">
        <v>23596.326753844616</v>
      </c>
      <c r="AC41" s="404">
        <v>23596.326753844616</v>
      </c>
      <c r="AD41" s="404">
        <v>23596.326753844616</v>
      </c>
      <c r="AE41" s="404">
        <v>23596.326753844616</v>
      </c>
      <c r="AF41" s="404">
        <v>23596.326753844616</v>
      </c>
      <c r="AG41" s="404">
        <v>23596.326753844616</v>
      </c>
      <c r="AH41" s="404">
        <v>23596.326753844616</v>
      </c>
      <c r="AI41" s="404">
        <v>23596.326753844616</v>
      </c>
      <c r="AJ41" s="404">
        <v>23596.326753844616</v>
      </c>
    </row>
    <row r="42" spans="1:36" x14ac:dyDescent="0.2">
      <c r="A42" s="396" t="s">
        <v>313</v>
      </c>
      <c r="B42" s="397" t="b">
        <v>0</v>
      </c>
      <c r="C42" s="398">
        <v>0</v>
      </c>
      <c r="D42" s="396" t="s">
        <v>278</v>
      </c>
      <c r="E42" s="404">
        <v>1826.7800194234717</v>
      </c>
      <c r="F42" s="404">
        <v>1880.6461253749828</v>
      </c>
      <c r="G42" s="404">
        <v>1935.1551470935922</v>
      </c>
      <c r="H42" s="404">
        <v>996.06990214009943</v>
      </c>
      <c r="I42" s="404">
        <v>1026.0270307268152</v>
      </c>
      <c r="J42" s="404">
        <v>1057.1958863700256</v>
      </c>
      <c r="K42" s="404">
        <v>1089.4685244018106</v>
      </c>
      <c r="L42" s="404">
        <v>1122.7770629149627</v>
      </c>
      <c r="M42" s="404">
        <v>1157.0727768854704</v>
      </c>
      <c r="N42" s="404">
        <v>1192.3180568800428</v>
      </c>
      <c r="O42" s="404">
        <v>1228.4824898855334</v>
      </c>
      <c r="P42" s="404">
        <v>1265.5406692397569</v>
      </c>
      <c r="Q42" s="404">
        <v>1303.4708539723124</v>
      </c>
      <c r="R42" s="404">
        <v>1342.2540923650413</v>
      </c>
      <c r="S42" s="404">
        <v>1381.8736197022122</v>
      </c>
      <c r="T42" s="404">
        <v>1422.3144278791137</v>
      </c>
      <c r="U42" s="404">
        <v>1463.5629479173829</v>
      </c>
      <c r="V42" s="404">
        <v>1505.6068095499547</v>
      </c>
      <c r="W42" s="404">
        <v>1548.4346551113263</v>
      </c>
      <c r="X42" s="404">
        <v>1592.0359927329494</v>
      </c>
      <c r="Y42" s="404">
        <v>1636.4010786478577</v>
      </c>
      <c r="Z42" s="404">
        <v>1681.5208214865929</v>
      </c>
      <c r="AA42" s="404">
        <v>1727.3867034787911</v>
      </c>
      <c r="AB42" s="404">
        <v>1727.3867034787911</v>
      </c>
      <c r="AC42" s="404">
        <v>1727.3867034787911</v>
      </c>
      <c r="AD42" s="404">
        <v>1727.3867034787911</v>
      </c>
      <c r="AE42" s="404">
        <v>1727.3867034787911</v>
      </c>
      <c r="AF42" s="404">
        <v>1727.3867034787911</v>
      </c>
      <c r="AG42" s="404">
        <v>1727.3867034787911</v>
      </c>
      <c r="AH42" s="404">
        <v>1727.3867034787911</v>
      </c>
      <c r="AI42" s="404">
        <v>1727.3867034787911</v>
      </c>
      <c r="AJ42" s="404">
        <v>1727.3867034787911</v>
      </c>
    </row>
    <row r="43" spans="1:36" x14ac:dyDescent="0.2">
      <c r="A43" s="396" t="s">
        <v>314</v>
      </c>
      <c r="B43" s="397" t="b">
        <v>0</v>
      </c>
      <c r="C43" s="398" t="s">
        <v>136</v>
      </c>
      <c r="D43" s="396" t="s">
        <v>279</v>
      </c>
      <c r="E43" s="405">
        <v>5992.5</v>
      </c>
      <c r="F43" s="405">
        <v>5992.5</v>
      </c>
      <c r="G43" s="405">
        <v>5992.5</v>
      </c>
      <c r="H43" s="405">
        <v>1175</v>
      </c>
      <c r="I43" s="405">
        <v>1175</v>
      </c>
      <c r="J43" s="405">
        <v>1175</v>
      </c>
      <c r="K43" s="405">
        <v>1175</v>
      </c>
      <c r="L43" s="405">
        <v>1175</v>
      </c>
      <c r="M43" s="405">
        <v>1175</v>
      </c>
      <c r="N43" s="405">
        <v>1175</v>
      </c>
      <c r="O43" s="405">
        <v>1175</v>
      </c>
      <c r="P43" s="405">
        <v>1175</v>
      </c>
      <c r="Q43" s="405">
        <v>1175</v>
      </c>
      <c r="R43" s="405">
        <v>1175</v>
      </c>
      <c r="S43" s="405">
        <v>1175</v>
      </c>
      <c r="T43" s="405">
        <v>1175</v>
      </c>
      <c r="U43" s="405">
        <v>1175</v>
      </c>
      <c r="V43" s="405">
        <v>1175</v>
      </c>
      <c r="W43" s="405">
        <v>1175</v>
      </c>
      <c r="X43" s="405">
        <v>1175</v>
      </c>
      <c r="Y43" s="405">
        <v>1175</v>
      </c>
      <c r="Z43" s="405">
        <v>1175</v>
      </c>
      <c r="AA43" s="405">
        <v>1175</v>
      </c>
      <c r="AB43" s="405">
        <v>1175</v>
      </c>
      <c r="AC43" s="405">
        <v>1175</v>
      </c>
      <c r="AD43" s="405">
        <v>1175</v>
      </c>
      <c r="AE43" s="405">
        <v>1175</v>
      </c>
      <c r="AF43" s="405">
        <v>1175</v>
      </c>
      <c r="AG43" s="405">
        <v>1175</v>
      </c>
      <c r="AH43" s="405">
        <v>1175</v>
      </c>
      <c r="AI43" s="405">
        <v>1175</v>
      </c>
      <c r="AJ43" s="405">
        <v>1175</v>
      </c>
    </row>
    <row r="44" spans="1:36" x14ac:dyDescent="0.2">
      <c r="A44" s="396" t="s">
        <v>315</v>
      </c>
      <c r="B44" s="397" t="b">
        <v>1</v>
      </c>
      <c r="C44" s="398">
        <v>0</v>
      </c>
      <c r="D44" s="396" t="s">
        <v>316</v>
      </c>
      <c r="E44" s="406">
        <v>0</v>
      </c>
      <c r="F44" s="406">
        <v>0</v>
      </c>
      <c r="G44" s="406">
        <v>0</v>
      </c>
      <c r="H44" s="406">
        <v>0</v>
      </c>
      <c r="I44" s="406">
        <v>0</v>
      </c>
      <c r="J44" s="406">
        <v>0</v>
      </c>
      <c r="K44" s="406">
        <v>0</v>
      </c>
      <c r="L44" s="406">
        <v>0</v>
      </c>
      <c r="M44" s="406">
        <v>0</v>
      </c>
      <c r="N44" s="406">
        <v>0</v>
      </c>
      <c r="O44" s="406">
        <v>0</v>
      </c>
      <c r="P44" s="406">
        <v>0</v>
      </c>
      <c r="Q44" s="406">
        <v>0</v>
      </c>
      <c r="R44" s="406">
        <v>0</v>
      </c>
      <c r="S44" s="406">
        <v>0</v>
      </c>
      <c r="T44" s="406">
        <v>0</v>
      </c>
      <c r="U44" s="406">
        <v>0</v>
      </c>
      <c r="V44" s="406">
        <v>0</v>
      </c>
      <c r="W44" s="406">
        <v>0</v>
      </c>
      <c r="X44" s="406">
        <v>0</v>
      </c>
      <c r="Y44" s="406">
        <v>0</v>
      </c>
      <c r="Z44" s="406">
        <v>0</v>
      </c>
      <c r="AA44" s="406">
        <v>0</v>
      </c>
      <c r="AB44" s="406">
        <v>0</v>
      </c>
      <c r="AC44" s="406">
        <v>0</v>
      </c>
      <c r="AD44" s="406">
        <v>0</v>
      </c>
      <c r="AE44" s="406">
        <v>0</v>
      </c>
      <c r="AF44" s="406">
        <v>0</v>
      </c>
      <c r="AG44" s="406">
        <v>0</v>
      </c>
      <c r="AH44" s="406">
        <v>0</v>
      </c>
      <c r="AI44" s="406">
        <v>0</v>
      </c>
      <c r="AJ44" s="406">
        <v>0</v>
      </c>
    </row>
    <row r="45" spans="1:36" x14ac:dyDescent="0.2">
      <c r="A45" s="396" t="s">
        <v>317</v>
      </c>
      <c r="B45" s="402">
        <v>0</v>
      </c>
      <c r="C45" s="398">
        <v>0</v>
      </c>
      <c r="D45" s="396" t="s">
        <v>18</v>
      </c>
      <c r="E45" s="405">
        <v>0</v>
      </c>
      <c r="F45" s="405">
        <v>0</v>
      </c>
      <c r="G45" s="405">
        <v>0</v>
      </c>
      <c r="H45" s="405">
        <v>0</v>
      </c>
      <c r="I45" s="405">
        <v>0</v>
      </c>
      <c r="J45" s="405">
        <v>0</v>
      </c>
      <c r="K45" s="405">
        <v>0</v>
      </c>
      <c r="L45" s="405">
        <v>0</v>
      </c>
      <c r="M45" s="405">
        <v>0</v>
      </c>
      <c r="N45" s="405">
        <v>0</v>
      </c>
      <c r="O45" s="405">
        <v>0</v>
      </c>
      <c r="P45" s="405">
        <v>0</v>
      </c>
      <c r="Q45" s="405">
        <v>0</v>
      </c>
      <c r="R45" s="405">
        <v>0</v>
      </c>
      <c r="S45" s="405">
        <v>0</v>
      </c>
      <c r="T45" s="405">
        <v>0</v>
      </c>
      <c r="U45" s="405">
        <v>0</v>
      </c>
      <c r="V45" s="405">
        <v>0</v>
      </c>
      <c r="W45" s="405">
        <v>0</v>
      </c>
      <c r="X45" s="405">
        <v>0</v>
      </c>
      <c r="Y45" s="405">
        <v>0</v>
      </c>
      <c r="Z45" s="405">
        <v>0</v>
      </c>
      <c r="AA45" s="405">
        <v>0</v>
      </c>
      <c r="AB45" s="405">
        <v>0</v>
      </c>
      <c r="AC45" s="405">
        <v>0</v>
      </c>
      <c r="AD45" s="405">
        <v>0</v>
      </c>
      <c r="AE45" s="405">
        <v>0</v>
      </c>
      <c r="AF45" s="405">
        <v>0</v>
      </c>
      <c r="AG45" s="405">
        <v>0</v>
      </c>
      <c r="AH45" s="405">
        <v>0</v>
      </c>
      <c r="AI45" s="405">
        <v>0</v>
      </c>
      <c r="AJ45" s="405">
        <v>0</v>
      </c>
    </row>
    <row r="46" spans="1:36" x14ac:dyDescent="0.2">
      <c r="A46" s="407"/>
      <c r="B46" s="407"/>
      <c r="C46" s="398">
        <v>0</v>
      </c>
      <c r="D46" s="408" t="s">
        <v>318</v>
      </c>
      <c r="E46" s="409">
        <v>0</v>
      </c>
      <c r="F46" s="409">
        <v>0</v>
      </c>
      <c r="G46" s="409">
        <v>0</v>
      </c>
      <c r="H46" s="409">
        <v>323998.52529652027</v>
      </c>
      <c r="I46" s="409">
        <v>323998.52529652027</v>
      </c>
      <c r="J46" s="409">
        <v>323998.52529652027</v>
      </c>
      <c r="K46" s="409">
        <v>323998.52529652027</v>
      </c>
      <c r="L46" s="409">
        <v>323998.52529652027</v>
      </c>
      <c r="M46" s="409">
        <v>323998.52529652027</v>
      </c>
      <c r="N46" s="409">
        <v>323998.52529652027</v>
      </c>
      <c r="O46" s="409">
        <v>323998.52529652027</v>
      </c>
      <c r="P46" s="409">
        <v>323998.52529652027</v>
      </c>
      <c r="Q46" s="409">
        <v>323998.52529652027</v>
      </c>
      <c r="R46" s="409">
        <v>323998.52529652027</v>
      </c>
      <c r="S46" s="409">
        <v>323998.52529652027</v>
      </c>
      <c r="T46" s="409">
        <v>323998.52529652027</v>
      </c>
      <c r="U46" s="409">
        <v>323998.52529652027</v>
      </c>
      <c r="V46" s="409">
        <v>323998.52529652027</v>
      </c>
      <c r="W46" s="409">
        <v>323998.52529652027</v>
      </c>
      <c r="X46" s="409">
        <v>323998.52529652027</v>
      </c>
      <c r="Y46" s="409">
        <v>323998.52529652027</v>
      </c>
      <c r="Z46" s="409">
        <v>323998.52529652027</v>
      </c>
      <c r="AA46" s="409">
        <v>323998.52529652027</v>
      </c>
      <c r="AB46" s="409">
        <v>323998.52529652027</v>
      </c>
      <c r="AC46" s="409">
        <v>323998.52529652027</v>
      </c>
      <c r="AD46" s="409">
        <v>323998.52529652027</v>
      </c>
      <c r="AE46" s="409">
        <v>323998.52529652027</v>
      </c>
      <c r="AF46" s="409">
        <v>323998.52529652027</v>
      </c>
      <c r="AG46" s="409">
        <v>323998.52529652027</v>
      </c>
      <c r="AH46" s="409">
        <v>323998.52529652027</v>
      </c>
      <c r="AI46" s="409">
        <v>323998.52529652027</v>
      </c>
      <c r="AJ46" s="409">
        <v>323998.52529652027</v>
      </c>
    </row>
    <row r="47" spans="1:36" x14ac:dyDescent="0.2">
      <c r="A47" s="325"/>
      <c r="B47" s="325"/>
      <c r="C47" s="325"/>
      <c r="D47" s="410" t="s">
        <v>319</v>
      </c>
      <c r="E47" s="411">
        <v>849956.7968429348</v>
      </c>
      <c r="F47" s="411">
        <v>893417.75217294518</v>
      </c>
      <c r="G47" s="411">
        <v>939228.3089591657</v>
      </c>
      <c r="H47" s="411">
        <v>368975.04058021615</v>
      </c>
      <c r="I47" s="411">
        <v>394801.43258969771</v>
      </c>
      <c r="J47" s="411">
        <v>420304.0721304937</v>
      </c>
      <c r="K47" s="411">
        <v>446335.3889300928</v>
      </c>
      <c r="L47" s="411">
        <v>473900.93923264788</v>
      </c>
      <c r="M47" s="411">
        <v>503631.25504610757</v>
      </c>
      <c r="N47" s="411">
        <v>532824.04047084297</v>
      </c>
      <c r="O47" s="411">
        <v>558901.30382682872</v>
      </c>
      <c r="P47" s="411">
        <v>585133.50709188008</v>
      </c>
      <c r="Q47" s="411">
        <v>611558.73926514189</v>
      </c>
      <c r="R47" s="411">
        <v>638205.78700564778</v>
      </c>
      <c r="S47" s="411">
        <v>665096.90597882983</v>
      </c>
      <c r="T47" s="411">
        <v>692249.61489074631</v>
      </c>
      <c r="U47" s="411">
        <v>719677.90429853427</v>
      </c>
      <c r="V47" s="411">
        <v>747393.07839105208</v>
      </c>
      <c r="W47" s="411">
        <v>775404.35759349458</v>
      </c>
      <c r="X47" s="411">
        <v>803719.32020049961</v>
      </c>
      <c r="Y47" s="411">
        <v>832344.23264269286</v>
      </c>
      <c r="Z47" s="411">
        <v>861284.30084663373</v>
      </c>
      <c r="AA47" s="411">
        <v>890543.86451090546</v>
      </c>
      <c r="AB47" s="411">
        <v>919430.93901050463</v>
      </c>
      <c r="AC47" s="411">
        <v>948633.26253804821</v>
      </c>
      <c r="AD47" s="411">
        <v>978153.47769550793</v>
      </c>
      <c r="AE47" s="411">
        <v>1007993.803450505</v>
      </c>
      <c r="AF47" s="411">
        <v>1038156.0996425911</v>
      </c>
      <c r="AG47" s="411">
        <v>1038156.0996425911</v>
      </c>
      <c r="AH47" s="411">
        <v>1038156.0996425911</v>
      </c>
      <c r="AI47" s="411">
        <v>1038156.0996425911</v>
      </c>
      <c r="AJ47" s="411">
        <v>1038156.0996425911</v>
      </c>
    </row>
    <row r="49" spans="1:36" x14ac:dyDescent="0.2">
      <c r="A49" s="394" t="s">
        <v>281</v>
      </c>
      <c r="B49" s="394"/>
      <c r="C49" s="393" t="s">
        <v>282</v>
      </c>
      <c r="D49" s="393"/>
      <c r="F49" s="412" t="s">
        <v>283</v>
      </c>
      <c r="G49" s="413" t="s">
        <v>284</v>
      </c>
      <c r="H49" s="393" t="s">
        <v>285</v>
      </c>
      <c r="I49" s="393" t="s">
        <v>286</v>
      </c>
    </row>
    <row r="50" spans="1:36" x14ac:dyDescent="0.2">
      <c r="A50" s="396" t="s">
        <v>287</v>
      </c>
      <c r="B50" s="414" t="s">
        <v>330</v>
      </c>
      <c r="C50" s="415" t="s">
        <v>288</v>
      </c>
      <c r="D50" s="416"/>
      <c r="F50" s="415" t="s">
        <v>289</v>
      </c>
      <c r="G50" s="417">
        <v>1.2313526194436223E-3</v>
      </c>
      <c r="H50" s="413">
        <v>0.9</v>
      </c>
      <c r="I50" s="418"/>
    </row>
    <row r="51" spans="1:36" x14ac:dyDescent="0.2">
      <c r="A51" s="396" t="s">
        <v>290</v>
      </c>
      <c r="B51" s="414" t="s">
        <v>291</v>
      </c>
      <c r="C51" s="415" t="s">
        <v>292</v>
      </c>
      <c r="D51" s="416"/>
      <c r="F51" s="415" t="s">
        <v>293</v>
      </c>
      <c r="G51" s="417">
        <v>1.3681695771595804E-3</v>
      </c>
      <c r="H51" s="413">
        <v>1</v>
      </c>
      <c r="I51" s="418"/>
    </row>
    <row r="52" spans="1:36" x14ac:dyDescent="0.2">
      <c r="A52" s="419" t="s">
        <v>8</v>
      </c>
      <c r="B52" s="420">
        <v>35.890999999999998</v>
      </c>
      <c r="C52" s="419" t="s">
        <v>294</v>
      </c>
      <c r="D52" s="421">
        <v>9119502.7199999988</v>
      </c>
      <c r="F52" s="415" t="s">
        <v>295</v>
      </c>
      <c r="G52" s="417" t="b">
        <v>1</v>
      </c>
      <c r="H52" s="413">
        <v>1</v>
      </c>
      <c r="I52" s="418"/>
    </row>
    <row r="53" spans="1:36" x14ac:dyDescent="0.2">
      <c r="A53" s="419" t="s">
        <v>296</v>
      </c>
      <c r="B53" s="422">
        <v>0.5</v>
      </c>
      <c r="C53" s="419" t="s">
        <v>297</v>
      </c>
      <c r="D53" s="421">
        <v>166900</v>
      </c>
      <c r="F53" s="415" t="s">
        <v>298</v>
      </c>
      <c r="G53" s="423">
        <v>0</v>
      </c>
      <c r="H53" s="413">
        <v>1</v>
      </c>
      <c r="I53" s="418"/>
    </row>
    <row r="54" spans="1:36" x14ac:dyDescent="0.2">
      <c r="A54" s="391" t="s">
        <v>334</v>
      </c>
      <c r="B54" s="392" t="s">
        <v>299</v>
      </c>
      <c r="C54" s="393" t="s">
        <v>300</v>
      </c>
      <c r="D54" s="394" t="s">
        <v>301</v>
      </c>
      <c r="E54" s="393">
        <v>2025</v>
      </c>
      <c r="F54" s="393">
        <v>2026</v>
      </c>
      <c r="G54" s="393">
        <v>2027</v>
      </c>
      <c r="H54" s="393">
        <v>2028</v>
      </c>
      <c r="I54" s="393">
        <v>2029</v>
      </c>
      <c r="J54" s="393">
        <v>2030</v>
      </c>
      <c r="K54" s="393">
        <v>2031</v>
      </c>
      <c r="L54" s="393">
        <v>2032</v>
      </c>
      <c r="M54" s="393">
        <v>2033</v>
      </c>
      <c r="N54" s="393">
        <v>2034</v>
      </c>
      <c r="O54" s="393">
        <v>2035</v>
      </c>
      <c r="P54" s="393">
        <v>2036</v>
      </c>
      <c r="Q54" s="393">
        <v>2037</v>
      </c>
      <c r="R54" s="393">
        <v>2038</v>
      </c>
      <c r="S54" s="393">
        <v>2039</v>
      </c>
      <c r="T54" s="393">
        <v>2040</v>
      </c>
      <c r="U54" s="393">
        <v>2041</v>
      </c>
      <c r="V54" s="393">
        <v>2042</v>
      </c>
      <c r="W54" s="393">
        <v>2043</v>
      </c>
      <c r="X54" s="393">
        <v>2044</v>
      </c>
      <c r="Y54" s="393">
        <v>2045</v>
      </c>
      <c r="Z54" s="393">
        <v>2046</v>
      </c>
      <c r="AA54" s="393">
        <v>2047</v>
      </c>
      <c r="AB54" s="395">
        <v>2048</v>
      </c>
      <c r="AC54" s="395">
        <v>2049</v>
      </c>
      <c r="AD54" s="395">
        <v>2050</v>
      </c>
      <c r="AE54" s="395">
        <v>2051</v>
      </c>
      <c r="AF54" s="395">
        <v>2052</v>
      </c>
      <c r="AG54" s="395">
        <v>2053</v>
      </c>
      <c r="AH54" s="395">
        <v>2054</v>
      </c>
      <c r="AI54" s="395">
        <v>2055</v>
      </c>
      <c r="AJ54" s="395">
        <v>2056</v>
      </c>
    </row>
    <row r="55" spans="1:36" x14ac:dyDescent="0.2">
      <c r="A55" s="396" t="s">
        <v>302</v>
      </c>
      <c r="B55" s="397" t="b">
        <v>0</v>
      </c>
      <c r="C55" s="398">
        <v>0</v>
      </c>
      <c r="D55" s="396" t="s">
        <v>23</v>
      </c>
      <c r="E55" s="399">
        <v>20877.069576249167</v>
      </c>
      <c r="F55" s="399">
        <v>21975.109740414573</v>
      </c>
      <c r="G55" s="399">
        <v>23104.186149161123</v>
      </c>
      <c r="H55" s="399">
        <v>24457.089003869951</v>
      </c>
      <c r="I55" s="399">
        <v>25838.875389979625</v>
      </c>
      <c r="J55" s="399">
        <v>27132.746163482199</v>
      </c>
      <c r="K55" s="399">
        <v>28418.342753493584</v>
      </c>
      <c r="L55" s="399">
        <v>29919.464639534563</v>
      </c>
      <c r="M55" s="399">
        <v>31717.159371118032</v>
      </c>
      <c r="N55" s="399">
        <v>33243.915867042488</v>
      </c>
      <c r="O55" s="399">
        <v>34096.32042902094</v>
      </c>
      <c r="P55" s="399">
        <v>34957.772719249326</v>
      </c>
      <c r="Q55" s="399">
        <v>35828.24118937266</v>
      </c>
      <c r="R55" s="399">
        <v>36707.695041429419</v>
      </c>
      <c r="S55" s="399">
        <v>37596.104204338</v>
      </c>
      <c r="T55" s="399">
        <v>38493.439311458285</v>
      </c>
      <c r="U55" s="399">
        <v>39399.671679165695</v>
      </c>
      <c r="V55" s="399">
        <v>40314.77328637788</v>
      </c>
      <c r="W55" s="399">
        <v>41238.716754980007</v>
      </c>
      <c r="X55" s="399">
        <v>42171.475331096844</v>
      </c>
      <c r="Y55" s="399">
        <v>43113.02286716536</v>
      </c>
      <c r="Z55" s="399">
        <v>44063.333804762755</v>
      </c>
      <c r="AA55" s="399">
        <v>45022.383158149132</v>
      </c>
      <c r="AB55" s="399">
        <v>45990.146498486407</v>
      </c>
      <c r="AC55" s="399">
        <v>46966.599938696956</v>
      </c>
      <c r="AD55" s="399">
        <v>47951.720118929457</v>
      </c>
      <c r="AE55" s="399">
        <v>48945.484192599186</v>
      </c>
      <c r="AF55" s="399">
        <v>49947.86981297475</v>
      </c>
      <c r="AG55" s="399">
        <v>49947.86981297475</v>
      </c>
      <c r="AH55" s="399">
        <v>49947.86981297475</v>
      </c>
      <c r="AI55" s="399">
        <v>49947.86981297475</v>
      </c>
      <c r="AJ55" s="399">
        <v>49947.86981297475</v>
      </c>
    </row>
    <row r="56" spans="1:36" x14ac:dyDescent="0.2">
      <c r="A56" s="396" t="s">
        <v>303</v>
      </c>
      <c r="B56" s="397" t="b">
        <v>0</v>
      </c>
      <c r="C56" s="398">
        <v>0</v>
      </c>
      <c r="D56" s="396" t="s">
        <v>23</v>
      </c>
      <c r="E56" s="400">
        <v>23228.245552609729</v>
      </c>
      <c r="F56" s="400">
        <v>24423.244945375558</v>
      </c>
      <c r="G56" s="400">
        <v>25751.905329452344</v>
      </c>
      <c r="H56" s="400">
        <v>27235.742594752905</v>
      </c>
      <c r="I56" s="400">
        <v>28724.067215010131</v>
      </c>
      <c r="J56" s="400">
        <v>30088.192134885485</v>
      </c>
      <c r="K56" s="400">
        <v>31680.397475096517</v>
      </c>
      <c r="L56" s="400">
        <v>33518.005880648721</v>
      </c>
      <c r="M56" s="400">
        <v>35494.357717101841</v>
      </c>
      <c r="N56" s="400">
        <v>37023.754065704277</v>
      </c>
      <c r="O56" s="400">
        <v>37972.978062616094</v>
      </c>
      <c r="P56" s="400">
        <v>38932.272484700996</v>
      </c>
      <c r="Q56" s="400">
        <v>39901.602047003937</v>
      </c>
      <c r="R56" s="400">
        <v>40880.932299520719</v>
      </c>
      <c r="S56" s="400">
        <v>41870.229601015286</v>
      </c>
      <c r="T56" s="400">
        <v>42869.461094034959</v>
      </c>
      <c r="U56" s="400">
        <v>43878.594681052746</v>
      </c>
      <c r="V56" s="400">
        <v>44897.59900167054</v>
      </c>
      <c r="W56" s="400">
        <v>45926.443410823318</v>
      </c>
      <c r="X56" s="400">
        <v>46965.097957926315</v>
      </c>
      <c r="Y56" s="400">
        <v>48013.533366913318</v>
      </c>
      <c r="Z56" s="400">
        <v>49071.72101711703</v>
      </c>
      <c r="AA56" s="400">
        <v>50139.632924944177</v>
      </c>
      <c r="AB56" s="400">
        <v>51217.241726304848</v>
      </c>
      <c r="AC56" s="400">
        <v>52304.520659753318</v>
      </c>
      <c r="AD56" s="400">
        <v>53401.443550305659</v>
      </c>
      <c r="AE56" s="400">
        <v>54507.984793896867</v>
      </c>
      <c r="AF56" s="400">
        <v>55624.119342446313</v>
      </c>
      <c r="AG56" s="400">
        <v>55624.119342446313</v>
      </c>
      <c r="AH56" s="400">
        <v>55624.119342446313</v>
      </c>
      <c r="AI56" s="400">
        <v>55624.119342446313</v>
      </c>
      <c r="AJ56" s="400">
        <v>55624.119342446313</v>
      </c>
    </row>
    <row r="57" spans="1:36" x14ac:dyDescent="0.2">
      <c r="A57" s="396" t="s">
        <v>304</v>
      </c>
      <c r="B57" s="397" t="b">
        <v>0</v>
      </c>
      <c r="C57" s="398">
        <v>300000</v>
      </c>
      <c r="D57" s="396" t="s">
        <v>23</v>
      </c>
      <c r="E57" s="400">
        <v>20877.069576249167</v>
      </c>
      <c r="F57" s="400">
        <v>21975.109740414573</v>
      </c>
      <c r="G57" s="400">
        <v>23104.186149161123</v>
      </c>
      <c r="H57" s="400">
        <v>24457.089003869951</v>
      </c>
      <c r="I57" s="400">
        <v>25838.875389979625</v>
      </c>
      <c r="J57" s="400">
        <v>27132.746163482199</v>
      </c>
      <c r="K57" s="400">
        <v>28418.342753493584</v>
      </c>
      <c r="L57" s="400">
        <v>29919.464639534563</v>
      </c>
      <c r="M57" s="400">
        <v>31717.159371118032</v>
      </c>
      <c r="N57" s="400">
        <v>33243.915867042488</v>
      </c>
      <c r="O57" s="400">
        <v>34096.32042902094</v>
      </c>
      <c r="P57" s="400">
        <v>34957.772719249326</v>
      </c>
      <c r="Q57" s="400">
        <v>35828.24118937266</v>
      </c>
      <c r="R57" s="400">
        <v>36707.695041429419</v>
      </c>
      <c r="S57" s="400">
        <v>37596.104204338</v>
      </c>
      <c r="T57" s="400">
        <v>38493.439311458285</v>
      </c>
      <c r="U57" s="400">
        <v>39399.671679165695</v>
      </c>
      <c r="V57" s="400">
        <v>40314.77328637788</v>
      </c>
      <c r="W57" s="400">
        <v>41238.716754980007</v>
      </c>
      <c r="X57" s="400">
        <v>42171.475331096844</v>
      </c>
      <c r="Y57" s="400">
        <v>43113.02286716536</v>
      </c>
      <c r="Z57" s="400">
        <v>44063.333804762755</v>
      </c>
      <c r="AA57" s="400">
        <v>45022.383158149132</v>
      </c>
      <c r="AB57" s="400">
        <v>45990.146498486407</v>
      </c>
      <c r="AC57" s="400">
        <v>46966.599938696956</v>
      </c>
      <c r="AD57" s="400">
        <v>47951.720118929457</v>
      </c>
      <c r="AE57" s="400">
        <v>48945.484192599186</v>
      </c>
      <c r="AF57" s="400">
        <v>49947.86981297475</v>
      </c>
      <c r="AG57" s="400">
        <v>49947.86981297475</v>
      </c>
      <c r="AH57" s="400">
        <v>49947.86981297475</v>
      </c>
      <c r="AI57" s="400">
        <v>49947.86981297475</v>
      </c>
      <c r="AJ57" s="400">
        <v>49947.86981297475</v>
      </c>
    </row>
    <row r="58" spans="1:36" x14ac:dyDescent="0.2">
      <c r="A58" s="396" t="s">
        <v>305</v>
      </c>
      <c r="B58" s="397" t="b">
        <v>0</v>
      </c>
      <c r="C58" s="398">
        <v>4000</v>
      </c>
      <c r="D58" s="396" t="s">
        <v>306</v>
      </c>
      <c r="E58" s="401">
        <v>2.5995221966032024E-3</v>
      </c>
      <c r="F58" s="401">
        <v>2.6761740849404339E-3</v>
      </c>
      <c r="G58" s="401">
        <v>2.7537408474219783E-3</v>
      </c>
      <c r="H58" s="401">
        <v>2.8322178824574428E-3</v>
      </c>
      <c r="I58" s="401">
        <v>2.9116006871030614E-3</v>
      </c>
      <c r="J58" s="401">
        <v>2.9918848533807248E-3</v>
      </c>
      <c r="K58" s="401">
        <v>3.0730660647909419E-3</v>
      </c>
      <c r="L58" s="401">
        <v>3.1551400930066326E-3</v>
      </c>
      <c r="M58" s="401">
        <v>3.2381027947357127E-3</v>
      </c>
      <c r="N58" s="401">
        <v>3.3219501087414444E-3</v>
      </c>
      <c r="O58" s="401">
        <v>3.4066780530103303E-3</v>
      </c>
      <c r="P58" s="401">
        <v>3.4922827220581929E-3</v>
      </c>
      <c r="Q58" s="401">
        <v>3.578760284365789E-3</v>
      </c>
      <c r="R58" s="401">
        <v>3.6661069799359325E-3</v>
      </c>
      <c r="S58" s="401">
        <v>3.7543191179647663E-3</v>
      </c>
      <c r="T58" s="401">
        <v>3.8433930746202723E-3</v>
      </c>
      <c r="U58" s="401">
        <v>3.9333252909217525E-3</v>
      </c>
      <c r="V58" s="401">
        <v>4.0241122707143015E-3</v>
      </c>
      <c r="W58" s="401">
        <v>4.1157505787328859E-3</v>
      </c>
      <c r="X58" s="401">
        <v>4.2082368387508081E-3</v>
      </c>
      <c r="Y58" s="401">
        <v>4.3015677318079763E-3</v>
      </c>
      <c r="Z58" s="401">
        <v>4.3957399945144492E-3</v>
      </c>
      <c r="AA58" s="401">
        <v>4.4907504174251569E-3</v>
      </c>
      <c r="AB58" s="401">
        <v>4.4907504174251569E-3</v>
      </c>
      <c r="AC58" s="401">
        <v>4.4907504174251569E-3</v>
      </c>
      <c r="AD58" s="401">
        <v>4.4907504174251569E-3</v>
      </c>
      <c r="AE58" s="401">
        <v>4.4907504174251569E-3</v>
      </c>
      <c r="AF58" s="401">
        <v>4.4907504174251569E-3</v>
      </c>
      <c r="AG58" s="401">
        <v>4.4907504174251569E-3</v>
      </c>
      <c r="AH58" s="401">
        <v>4.4907504174251569E-3</v>
      </c>
      <c r="AI58" s="401">
        <v>4.4907504174251569E-3</v>
      </c>
      <c r="AJ58" s="401">
        <v>4.4907504174251569E-3</v>
      </c>
    </row>
    <row r="59" spans="1:36" x14ac:dyDescent="0.2">
      <c r="A59" s="396" t="s">
        <v>307</v>
      </c>
      <c r="B59" s="397" t="b">
        <v>0</v>
      </c>
      <c r="C59" s="398">
        <v>650</v>
      </c>
      <c r="D59" s="396" t="s">
        <v>308</v>
      </c>
      <c r="E59" s="401">
        <v>1.0945356617276643E-2</v>
      </c>
      <c r="F59" s="401">
        <v>1.1268101410275511E-2</v>
      </c>
      <c r="G59" s="401">
        <v>1.1594698304934644E-2</v>
      </c>
      <c r="H59" s="401">
        <v>1.1925127926136602E-2</v>
      </c>
      <c r="I59" s="401">
        <v>1.2259371314118153E-2</v>
      </c>
      <c r="J59" s="401">
        <v>1.2597409908971471E-2</v>
      </c>
      <c r="K59" s="401">
        <v>1.293922553596186E-2</v>
      </c>
      <c r="L59" s="401">
        <v>1.3284800391606875E-2</v>
      </c>
      <c r="M59" s="401">
        <v>1.3634117030466159E-2</v>
      </c>
      <c r="N59" s="401">
        <v>1.3987158352595556E-2</v>
      </c>
      <c r="O59" s="401">
        <v>1.4343907591622443E-2</v>
      </c>
      <c r="P59" s="401">
        <v>1.4704348303402918E-2</v>
      </c>
      <c r="Q59" s="401">
        <v>1.5068464355224374E-2</v>
      </c>
      <c r="R59" s="401">
        <v>1.5436239915519715E-2</v>
      </c>
      <c r="S59" s="401">
        <v>1.5807659444062174E-2</v>
      </c>
      <c r="T59" s="401">
        <v>1.6182707682611673E-2</v>
      </c>
      <c r="U59" s="401">
        <v>1.6561369645986326E-2</v>
      </c>
      <c r="V59" s="401">
        <v>1.6943630613533902E-2</v>
      </c>
      <c r="W59" s="401">
        <v>1.7329476120980573E-2</v>
      </c>
      <c r="X59" s="401">
        <v>1.7718891952634982E-2</v>
      </c>
      <c r="Y59" s="401">
        <v>1.8111864133928322E-2</v>
      </c>
      <c r="Z59" s="401">
        <v>1.8508378924271367E-2</v>
      </c>
      <c r="AA59" s="401">
        <v>1.8908422810211184E-2</v>
      </c>
      <c r="AB59" s="401">
        <v>1.8908422810211184E-2</v>
      </c>
      <c r="AC59" s="401">
        <v>1.8908422810211184E-2</v>
      </c>
      <c r="AD59" s="401">
        <v>1.8908422810211184E-2</v>
      </c>
      <c r="AE59" s="401">
        <v>1.8908422810211184E-2</v>
      </c>
      <c r="AF59" s="401">
        <v>1.8908422810211184E-2</v>
      </c>
      <c r="AG59" s="401">
        <v>1.8908422810211184E-2</v>
      </c>
      <c r="AH59" s="401">
        <v>1.8908422810211184E-2</v>
      </c>
      <c r="AI59" s="401">
        <v>1.8908422810211184E-2</v>
      </c>
      <c r="AJ59" s="401">
        <v>1.8908422810211184E-2</v>
      </c>
    </row>
    <row r="60" spans="1:36" x14ac:dyDescent="0.2">
      <c r="A60" s="396" t="s">
        <v>309</v>
      </c>
      <c r="B60" s="402" t="b">
        <v>0</v>
      </c>
      <c r="C60" s="398">
        <v>300000</v>
      </c>
      <c r="D60" s="396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</row>
    <row r="61" spans="1:36" x14ac:dyDescent="0.2">
      <c r="A61" s="396" t="s">
        <v>310</v>
      </c>
      <c r="B61" s="402" t="b">
        <v>1</v>
      </c>
      <c r="C61" s="398">
        <v>500000</v>
      </c>
      <c r="D61" s="396" t="s">
        <v>275</v>
      </c>
      <c r="E61" s="403">
        <v>774614.72125142592</v>
      </c>
      <c r="F61" s="403">
        <v>815068.46988559572</v>
      </c>
      <c r="G61" s="403">
        <v>857741.13180949131</v>
      </c>
      <c r="H61" s="403">
        <v>907707.97824701038</v>
      </c>
      <c r="I61" s="403">
        <v>958448.80255940952</v>
      </c>
      <c r="J61" s="403">
        <v>1005643.5659614301</v>
      </c>
      <c r="K61" s="403">
        <v>1055086.2615695535</v>
      </c>
      <c r="L61" s="403">
        <v>1112586.0784829834</v>
      </c>
      <c r="M61" s="403">
        <v>1179030.7947395085</v>
      </c>
      <c r="N61" s="403">
        <v>1233856.036220473</v>
      </c>
      <c r="O61" s="403">
        <v>1265492.1722561994</v>
      </c>
      <c r="P61" s="403">
        <v>1297464.0519911253</v>
      </c>
      <c r="Q61" s="403">
        <v>1329770.5028901473</v>
      </c>
      <c r="R61" s="403">
        <v>1362410.3802609895</v>
      </c>
      <c r="S61" s="403">
        <v>1395382.5663815383</v>
      </c>
      <c r="T61" s="403">
        <v>1428685.9696670871</v>
      </c>
      <c r="U61" s="403">
        <v>1462319.5238751546</v>
      </c>
      <c r="V61" s="403">
        <v>1496282.1873456591</v>
      </c>
      <c r="W61" s="403">
        <v>1530572.9422744487</v>
      </c>
      <c r="X61" s="403">
        <v>1565190.7940182576</v>
      </c>
      <c r="Y61" s="403">
        <v>1600134.7704293681</v>
      </c>
      <c r="Z61" s="403">
        <v>1635403.9212183219</v>
      </c>
      <c r="AA61" s="403">
        <v>1670997.3173431423</v>
      </c>
      <c r="AB61" s="403">
        <v>1706914.050423665</v>
      </c>
      <c r="AC61" s="403">
        <v>1743153.2321796026</v>
      </c>
      <c r="AD61" s="403">
        <v>1779713.993891154</v>
      </c>
      <c r="AE61" s="403">
        <v>1816595.4858809297</v>
      </c>
      <c r="AF61" s="403">
        <v>1853796.8770161557</v>
      </c>
      <c r="AG61" s="403">
        <v>1853796.8770161557</v>
      </c>
      <c r="AH61" s="403">
        <v>1853796.8770161557</v>
      </c>
      <c r="AI61" s="403">
        <v>1853796.8770161557</v>
      </c>
      <c r="AJ61" s="403">
        <v>1853796.8770161557</v>
      </c>
    </row>
    <row r="62" spans="1:36" x14ac:dyDescent="0.2">
      <c r="A62" s="396" t="s">
        <v>311</v>
      </c>
      <c r="B62" s="397" t="b">
        <v>0</v>
      </c>
      <c r="C62" s="398">
        <v>7599585.5999999996</v>
      </c>
      <c r="D62" s="396" t="s">
        <v>276</v>
      </c>
      <c r="E62" s="404">
        <v>480.78419870325075</v>
      </c>
      <c r="F62" s="404">
        <v>494.96104118663578</v>
      </c>
      <c r="G62" s="404">
        <v>509.30709054694717</v>
      </c>
      <c r="H62" s="404">
        <v>523.82149571549519</v>
      </c>
      <c r="I62" s="404">
        <v>538.50342386838122</v>
      </c>
      <c r="J62" s="404">
        <v>553.3520597456984</v>
      </c>
      <c r="K62" s="404">
        <v>568.36660500660128</v>
      </c>
      <c r="L62" s="404">
        <v>583.54627761781865</v>
      </c>
      <c r="M62" s="404">
        <v>598.89031127338535</v>
      </c>
      <c r="N62" s="404">
        <v>614.39795484355443</v>
      </c>
      <c r="O62" s="404">
        <v>630.06847185099514</v>
      </c>
      <c r="P62" s="404">
        <v>645.90113997254991</v>
      </c>
      <c r="Q62" s="404">
        <v>661.89525056494904</v>
      </c>
      <c r="R62" s="404">
        <v>678.050108212998</v>
      </c>
      <c r="S62" s="404">
        <v>694.3650302988766</v>
      </c>
      <c r="T62" s="404">
        <v>710.83934659127283</v>
      </c>
      <c r="U62" s="404">
        <v>727.47239885318993</v>
      </c>
      <c r="V62" s="404">
        <v>744.26354046732388</v>
      </c>
      <c r="W62" s="404">
        <v>761.21213607801246</v>
      </c>
      <c r="X62" s="404">
        <v>778.31756124879234</v>
      </c>
      <c r="Y62" s="404">
        <v>795.57920213471505</v>
      </c>
      <c r="Z62" s="404">
        <v>812.99645516858664</v>
      </c>
      <c r="AA62" s="404">
        <v>830.56872676037017</v>
      </c>
      <c r="AB62" s="404">
        <v>830.56872676037017</v>
      </c>
      <c r="AC62" s="404">
        <v>830.56872676037017</v>
      </c>
      <c r="AD62" s="404">
        <v>830.56872676037017</v>
      </c>
      <c r="AE62" s="404">
        <v>830.56872676037017</v>
      </c>
      <c r="AF62" s="404">
        <v>830.56872676037017</v>
      </c>
      <c r="AG62" s="404">
        <v>830.56872676037017</v>
      </c>
      <c r="AH62" s="404">
        <v>830.56872676037017</v>
      </c>
      <c r="AI62" s="404">
        <v>830.56872676037017</v>
      </c>
      <c r="AJ62" s="404">
        <v>830.56872676037017</v>
      </c>
    </row>
    <row r="63" spans="1:36" x14ac:dyDescent="0.2">
      <c r="A63" s="396" t="s">
        <v>312</v>
      </c>
      <c r="B63" s="397" t="b">
        <v>0</v>
      </c>
      <c r="C63" s="398">
        <v>0</v>
      </c>
      <c r="D63" s="396" t="s">
        <v>277</v>
      </c>
      <c r="E63" s="404">
        <v>23706.349742623275</v>
      </c>
      <c r="F63" s="404">
        <v>24405.376846807794</v>
      </c>
      <c r="G63" s="404">
        <v>25112.747148239832</v>
      </c>
      <c r="H63" s="404">
        <v>25828.418682703286</v>
      </c>
      <c r="I63" s="404">
        <v>26552.350385590235</v>
      </c>
      <c r="J63" s="404">
        <v>27284.502058332317</v>
      </c>
      <c r="K63" s="404">
        <v>28024.834336600688</v>
      </c>
      <c r="L63" s="404">
        <v>28773.308660155035</v>
      </c>
      <c r="M63" s="404">
        <v>29529.88724423193</v>
      </c>
      <c r="N63" s="404">
        <v>30294.533052371895</v>
      </c>
      <c r="O63" s="404">
        <v>31067.209770592006</v>
      </c>
      <c r="P63" s="404">
        <v>31847.881782818691</v>
      </c>
      <c r="Q63" s="404">
        <v>32636.514147501781</v>
      </c>
      <c r="R63" s="404">
        <v>33433.072575336715</v>
      </c>
      <c r="S63" s="404">
        <v>34237.523408027686</v>
      </c>
      <c r="T63" s="404">
        <v>35049.83359802873</v>
      </c>
      <c r="U63" s="404">
        <v>35869.970689205707</v>
      </c>
      <c r="V63" s="404">
        <v>36697.902798364441</v>
      </c>
      <c r="W63" s="404">
        <v>37533.598597596123</v>
      </c>
      <c r="X63" s="404">
        <v>38377.027297392189</v>
      </c>
      <c r="Y63" s="404">
        <v>39228.158630487065</v>
      </c>
      <c r="Z63" s="404">
        <v>40086.962836387298</v>
      </c>
      <c r="AA63" s="404">
        <v>40953.410646549848</v>
      </c>
      <c r="AB63" s="404">
        <v>40953.410646549848</v>
      </c>
      <c r="AC63" s="404">
        <v>40953.410646549848</v>
      </c>
      <c r="AD63" s="404">
        <v>40953.410646549848</v>
      </c>
      <c r="AE63" s="404">
        <v>40953.410646549848</v>
      </c>
      <c r="AF63" s="404">
        <v>40953.410646549848</v>
      </c>
      <c r="AG63" s="404">
        <v>40953.410646549848</v>
      </c>
      <c r="AH63" s="404">
        <v>40953.410646549848</v>
      </c>
      <c r="AI63" s="404">
        <v>40953.410646549848</v>
      </c>
      <c r="AJ63" s="404">
        <v>40953.410646549848</v>
      </c>
    </row>
    <row r="64" spans="1:36" x14ac:dyDescent="0.2">
      <c r="A64" s="396" t="s">
        <v>313</v>
      </c>
      <c r="B64" s="397" t="b">
        <v>0</v>
      </c>
      <c r="C64" s="398">
        <v>0</v>
      </c>
      <c r="D64" s="396" t="s">
        <v>278</v>
      </c>
      <c r="E64" s="404">
        <v>1826.7800194234717</v>
      </c>
      <c r="F64" s="404">
        <v>1880.6461253749828</v>
      </c>
      <c r="G64" s="404">
        <v>1935.1551470935922</v>
      </c>
      <c r="H64" s="404">
        <v>1990.3038508721988</v>
      </c>
      <c r="I64" s="404">
        <v>2046.0890723263199</v>
      </c>
      <c r="J64" s="404">
        <v>2102.5077138073384</v>
      </c>
      <c r="K64" s="404">
        <v>2159.5567419520344</v>
      </c>
      <c r="L64" s="404">
        <v>2217.2331853591872</v>
      </c>
      <c r="M64" s="404">
        <v>2275.534132384802</v>
      </c>
      <c r="N64" s="404">
        <v>2334.4567290481982</v>
      </c>
      <c r="O64" s="404">
        <v>2393.9981770417858</v>
      </c>
      <c r="P64" s="404">
        <v>2454.1557318379469</v>
      </c>
      <c r="Q64" s="404">
        <v>2514.9267008869483</v>
      </c>
      <c r="R64" s="404">
        <v>2576.3084419002403</v>
      </c>
      <c r="S64" s="404">
        <v>2638.2983612139769</v>
      </c>
      <c r="T64" s="404">
        <v>2700.8939122278884</v>
      </c>
      <c r="U64" s="404">
        <v>2764.092593915118</v>
      </c>
      <c r="V64" s="404">
        <v>2827.8919493988083</v>
      </c>
      <c r="W64" s="404">
        <v>2892.2895645916574</v>
      </c>
      <c r="X64" s="404">
        <v>2957.2830668947786</v>
      </c>
      <c r="Y64" s="404">
        <v>3022.8701239526367</v>
      </c>
      <c r="Z64" s="404">
        <v>3089.0484424608912</v>
      </c>
      <c r="AA64" s="404">
        <v>3155.8157670242467</v>
      </c>
      <c r="AB64" s="404">
        <v>3155.8157670242467</v>
      </c>
      <c r="AC64" s="404">
        <v>3155.8157670242467</v>
      </c>
      <c r="AD64" s="404">
        <v>3155.8157670242467</v>
      </c>
      <c r="AE64" s="404">
        <v>3155.8157670242467</v>
      </c>
      <c r="AF64" s="404">
        <v>3155.8157670242467</v>
      </c>
      <c r="AG64" s="404">
        <v>3155.8157670242467</v>
      </c>
      <c r="AH64" s="404">
        <v>3155.8157670242467</v>
      </c>
      <c r="AI64" s="404">
        <v>3155.8157670242467</v>
      </c>
      <c r="AJ64" s="404">
        <v>3155.8157670242467</v>
      </c>
    </row>
    <row r="65" spans="1:36" x14ac:dyDescent="0.2">
      <c r="A65" s="396" t="s">
        <v>314</v>
      </c>
      <c r="B65" s="397" t="b">
        <v>0</v>
      </c>
      <c r="C65" s="398" t="s">
        <v>136</v>
      </c>
      <c r="D65" s="396" t="s">
        <v>279</v>
      </c>
      <c r="E65" s="405">
        <v>2379.375</v>
      </c>
      <c r="F65" s="405">
        <v>2379.375</v>
      </c>
      <c r="G65" s="405">
        <v>2379.375</v>
      </c>
      <c r="H65" s="405">
        <v>2379.375</v>
      </c>
      <c r="I65" s="405">
        <v>2379.375</v>
      </c>
      <c r="J65" s="405">
        <v>2379.375</v>
      </c>
      <c r="K65" s="405">
        <v>2379.375</v>
      </c>
      <c r="L65" s="405">
        <v>2379.375</v>
      </c>
      <c r="M65" s="405">
        <v>2379.375</v>
      </c>
      <c r="N65" s="405">
        <v>2379.375</v>
      </c>
      <c r="O65" s="405">
        <v>2379.375</v>
      </c>
      <c r="P65" s="405">
        <v>2379.375</v>
      </c>
      <c r="Q65" s="405">
        <v>2379.375</v>
      </c>
      <c r="R65" s="405">
        <v>2379.375</v>
      </c>
      <c r="S65" s="405">
        <v>2379.375</v>
      </c>
      <c r="T65" s="405">
        <v>2379.375</v>
      </c>
      <c r="U65" s="405">
        <v>2379.375</v>
      </c>
      <c r="V65" s="405">
        <v>2379.375</v>
      </c>
      <c r="W65" s="405">
        <v>2379.375</v>
      </c>
      <c r="X65" s="405">
        <v>2379.375</v>
      </c>
      <c r="Y65" s="405">
        <v>2379.375</v>
      </c>
      <c r="Z65" s="405">
        <v>2379.375</v>
      </c>
      <c r="AA65" s="405">
        <v>2379.375</v>
      </c>
      <c r="AB65" s="405">
        <v>2379.375</v>
      </c>
      <c r="AC65" s="405">
        <v>2379.375</v>
      </c>
      <c r="AD65" s="405">
        <v>2379.375</v>
      </c>
      <c r="AE65" s="405">
        <v>2379.375</v>
      </c>
      <c r="AF65" s="405">
        <v>2379.375</v>
      </c>
      <c r="AG65" s="405">
        <v>2379.375</v>
      </c>
      <c r="AH65" s="405">
        <v>2379.375</v>
      </c>
      <c r="AI65" s="405">
        <v>2379.375</v>
      </c>
      <c r="AJ65" s="405">
        <v>2379.375</v>
      </c>
    </row>
    <row r="66" spans="1:36" x14ac:dyDescent="0.2">
      <c r="A66" s="396" t="s">
        <v>315</v>
      </c>
      <c r="B66" s="397" t="b">
        <v>1</v>
      </c>
      <c r="C66" s="398">
        <v>0</v>
      </c>
      <c r="D66" s="396" t="s">
        <v>316</v>
      </c>
      <c r="E66" s="406">
        <v>0</v>
      </c>
      <c r="F66" s="406">
        <v>0</v>
      </c>
      <c r="G66" s="406">
        <v>0</v>
      </c>
      <c r="H66" s="406">
        <v>0</v>
      </c>
      <c r="I66" s="406">
        <v>0</v>
      </c>
      <c r="J66" s="406">
        <v>0</v>
      </c>
      <c r="K66" s="406">
        <v>0</v>
      </c>
      <c r="L66" s="406">
        <v>0</v>
      </c>
      <c r="M66" s="406">
        <v>0</v>
      </c>
      <c r="N66" s="406">
        <v>0</v>
      </c>
      <c r="O66" s="406">
        <v>0</v>
      </c>
      <c r="P66" s="406">
        <v>0</v>
      </c>
      <c r="Q66" s="406">
        <v>0</v>
      </c>
      <c r="R66" s="406">
        <v>0</v>
      </c>
      <c r="S66" s="406">
        <v>0</v>
      </c>
      <c r="T66" s="406">
        <v>0</v>
      </c>
      <c r="U66" s="406">
        <v>0</v>
      </c>
      <c r="V66" s="406">
        <v>0</v>
      </c>
      <c r="W66" s="406">
        <v>0</v>
      </c>
      <c r="X66" s="406">
        <v>0</v>
      </c>
      <c r="Y66" s="406">
        <v>0</v>
      </c>
      <c r="Z66" s="406">
        <v>0</v>
      </c>
      <c r="AA66" s="406">
        <v>0</v>
      </c>
      <c r="AB66" s="406">
        <v>0</v>
      </c>
      <c r="AC66" s="406">
        <v>0</v>
      </c>
      <c r="AD66" s="406">
        <v>0</v>
      </c>
      <c r="AE66" s="406">
        <v>0</v>
      </c>
      <c r="AF66" s="406">
        <v>0</v>
      </c>
      <c r="AG66" s="406">
        <v>0</v>
      </c>
      <c r="AH66" s="406">
        <v>0</v>
      </c>
      <c r="AI66" s="406">
        <v>0</v>
      </c>
      <c r="AJ66" s="406">
        <v>0</v>
      </c>
    </row>
    <row r="67" spans="1:36" x14ac:dyDescent="0.2">
      <c r="A67" s="396" t="s">
        <v>317</v>
      </c>
      <c r="B67" s="402">
        <v>0</v>
      </c>
      <c r="C67" s="398">
        <v>0</v>
      </c>
      <c r="D67" s="396" t="s">
        <v>18</v>
      </c>
      <c r="E67" s="405">
        <v>0</v>
      </c>
      <c r="F67" s="405">
        <v>0</v>
      </c>
      <c r="G67" s="405">
        <v>0</v>
      </c>
      <c r="H67" s="405">
        <v>0</v>
      </c>
      <c r="I67" s="405">
        <v>0</v>
      </c>
      <c r="J67" s="405">
        <v>0</v>
      </c>
      <c r="K67" s="405">
        <v>0</v>
      </c>
      <c r="L67" s="405">
        <v>0</v>
      </c>
      <c r="M67" s="405">
        <v>0</v>
      </c>
      <c r="N67" s="405">
        <v>0</v>
      </c>
      <c r="O67" s="405">
        <v>0</v>
      </c>
      <c r="P67" s="405">
        <v>0</v>
      </c>
      <c r="Q67" s="405">
        <v>0</v>
      </c>
      <c r="R67" s="405">
        <v>0</v>
      </c>
      <c r="S67" s="405">
        <v>0</v>
      </c>
      <c r="T67" s="405">
        <v>0</v>
      </c>
      <c r="U67" s="405">
        <v>0</v>
      </c>
      <c r="V67" s="405">
        <v>0</v>
      </c>
      <c r="W67" s="405">
        <v>0</v>
      </c>
      <c r="X67" s="405">
        <v>0</v>
      </c>
      <c r="Y67" s="405">
        <v>0</v>
      </c>
      <c r="Z67" s="405">
        <v>0</v>
      </c>
      <c r="AA67" s="405">
        <v>0</v>
      </c>
      <c r="AB67" s="405">
        <v>0</v>
      </c>
      <c r="AC67" s="405">
        <v>0</v>
      </c>
      <c r="AD67" s="405">
        <v>0</v>
      </c>
      <c r="AE67" s="405">
        <v>0</v>
      </c>
      <c r="AF67" s="405">
        <v>0</v>
      </c>
      <c r="AG67" s="405">
        <v>0</v>
      </c>
      <c r="AH67" s="405">
        <v>0</v>
      </c>
      <c r="AI67" s="405">
        <v>0</v>
      </c>
      <c r="AJ67" s="405">
        <v>0</v>
      </c>
    </row>
    <row r="68" spans="1:36" x14ac:dyDescent="0.2">
      <c r="A68" s="407"/>
      <c r="B68" s="407"/>
      <c r="C68" s="398">
        <v>0</v>
      </c>
      <c r="D68" s="408" t="s">
        <v>318</v>
      </c>
      <c r="E68" s="409">
        <v>0</v>
      </c>
      <c r="F68" s="409">
        <v>0</v>
      </c>
      <c r="G68" s="409">
        <v>60120.68393369564</v>
      </c>
      <c r="H68" s="409">
        <v>60120.68393369564</v>
      </c>
      <c r="I68" s="409">
        <v>60120.68393369564</v>
      </c>
      <c r="J68" s="409">
        <v>60120.68393369564</v>
      </c>
      <c r="K68" s="409">
        <v>60120.68393369564</v>
      </c>
      <c r="L68" s="409">
        <v>60120.68393369564</v>
      </c>
      <c r="M68" s="409">
        <v>60120.68393369564</v>
      </c>
      <c r="N68" s="409">
        <v>60120.68393369564</v>
      </c>
      <c r="O68" s="409">
        <v>60120.68393369564</v>
      </c>
      <c r="P68" s="409">
        <v>60120.68393369564</v>
      </c>
      <c r="Q68" s="409">
        <v>60120.68393369564</v>
      </c>
      <c r="R68" s="409">
        <v>60120.68393369564</v>
      </c>
      <c r="S68" s="409">
        <v>60120.68393369564</v>
      </c>
      <c r="T68" s="409">
        <v>60120.68393369564</v>
      </c>
      <c r="U68" s="409">
        <v>60120.68393369564</v>
      </c>
      <c r="V68" s="409">
        <v>60120.68393369564</v>
      </c>
      <c r="W68" s="409">
        <v>60120.68393369564</v>
      </c>
      <c r="X68" s="409">
        <v>60120.68393369564</v>
      </c>
      <c r="Y68" s="409">
        <v>60120.68393369564</v>
      </c>
      <c r="Z68" s="409">
        <v>60120.68393369564</v>
      </c>
      <c r="AA68" s="409">
        <v>60120.68393369564</v>
      </c>
      <c r="AB68" s="409">
        <v>60120.68393369564</v>
      </c>
      <c r="AC68" s="409">
        <v>60120.68393369564</v>
      </c>
      <c r="AD68" s="409">
        <v>60120.68393369564</v>
      </c>
      <c r="AE68" s="409">
        <v>60120.68393369564</v>
      </c>
      <c r="AF68" s="409">
        <v>60120.68393369564</v>
      </c>
      <c r="AG68" s="409">
        <v>60120.68393369564</v>
      </c>
      <c r="AH68" s="409">
        <v>60120.68393369564</v>
      </c>
      <c r="AI68" s="409">
        <v>60120.68393369564</v>
      </c>
      <c r="AJ68" s="409">
        <v>60120.68393369564</v>
      </c>
    </row>
    <row r="69" spans="1:36" x14ac:dyDescent="0.2">
      <c r="A69" s="325"/>
      <c r="B69" s="325"/>
      <c r="C69" s="325"/>
      <c r="D69" s="410" t="s">
        <v>319</v>
      </c>
      <c r="E69" s="411">
        <v>803008.0102121759</v>
      </c>
      <c r="F69" s="411">
        <v>844228.82889896503</v>
      </c>
      <c r="G69" s="411">
        <v>947798.40012906736</v>
      </c>
      <c r="H69" s="411">
        <v>998550.58120999706</v>
      </c>
      <c r="I69" s="411">
        <v>1050085.8043748899</v>
      </c>
      <c r="J69" s="411">
        <v>1098083.9867270109</v>
      </c>
      <c r="K69" s="411">
        <v>1148339.0781868084</v>
      </c>
      <c r="L69" s="411">
        <v>1206660.225539811</v>
      </c>
      <c r="M69" s="411">
        <v>1273935.1653610941</v>
      </c>
      <c r="N69" s="411">
        <v>1329599.482890432</v>
      </c>
      <c r="O69" s="411">
        <v>1362083.5076093797</v>
      </c>
      <c r="P69" s="411">
        <v>1394912.0495794499</v>
      </c>
      <c r="Q69" s="411">
        <v>1428083.8979227964</v>
      </c>
      <c r="R69" s="411">
        <v>1461597.870320135</v>
      </c>
      <c r="S69" s="411">
        <v>1495452.8121147742</v>
      </c>
      <c r="T69" s="411">
        <v>1529647.5954576305</v>
      </c>
      <c r="U69" s="411">
        <v>1564181.118490824</v>
      </c>
      <c r="V69" s="411">
        <v>1599052.3045675852</v>
      </c>
      <c r="W69" s="411">
        <v>1634260.1015064099</v>
      </c>
      <c r="X69" s="411">
        <v>1669803.4808774891</v>
      </c>
      <c r="Y69" s="411">
        <v>1705681.437319638</v>
      </c>
      <c r="Z69" s="411">
        <v>1741892.9878860342</v>
      </c>
      <c r="AA69" s="411">
        <v>1778437.1714171723</v>
      </c>
      <c r="AB69" s="411">
        <v>1814353.9044976949</v>
      </c>
      <c r="AC69" s="411">
        <v>1850593.0862536326</v>
      </c>
      <c r="AD69" s="411">
        <v>1887153.8479651839</v>
      </c>
      <c r="AE69" s="411">
        <v>1924035.3399549597</v>
      </c>
      <c r="AF69" s="411">
        <v>1961236.7310901857</v>
      </c>
      <c r="AG69" s="411">
        <v>1961236.7310901857</v>
      </c>
      <c r="AH69" s="411">
        <v>1961236.7310901857</v>
      </c>
      <c r="AI69" s="411">
        <v>1961236.7310901857</v>
      </c>
      <c r="AJ69" s="411">
        <v>1961236.7310901857</v>
      </c>
    </row>
  </sheetData>
  <dataValidations count="1">
    <dataValidation type="list" allowBlank="1" showInputMessage="1" showErrorMessage="1" sqref="G5 G27" xr:uid="{605D4BAC-E9DB-41C3-9244-8E061CE464ED}">
      <formula1>"WEIBULL, FIXED"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NC transformer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1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1" t="s">
        <v>1</v>
      </c>
      <c r="C31" s="192" t="s">
        <v>193</v>
      </c>
      <c r="D31" s="193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4" t="s">
        <v>131</v>
      </c>
      <c r="C32" s="190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4" t="s">
        <v>132</v>
      </c>
      <c r="C33" s="190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4" t="s">
        <v>133</v>
      </c>
      <c r="C34" s="190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4" t="s">
        <v>154</v>
      </c>
      <c r="C35" s="190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4" t="s">
        <v>193</v>
      </c>
      <c r="C38" s="194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38" t="s">
        <v>211</v>
      </c>
    </row>
    <row r="74" spans="1:4" x14ac:dyDescent="0.2">
      <c r="B74" s="237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5"/>
      <c r="V1"/>
      <c r="W1"/>
    </row>
    <row r="2" spans="1:27" ht="18.75" x14ac:dyDescent="0.3">
      <c r="A2" s="56" t="str">
        <f>proj</f>
        <v>NC transformer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227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1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424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424">
        <v>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424">
        <v>4220.9953699573898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424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424">
        <v>0.54769380678923496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424">
        <v>0.54769380678923496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424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424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2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4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4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4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4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4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4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4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4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4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4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4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4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4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29" t="s">
        <v>137</v>
      </c>
      <c r="D107" s="129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29" t="s">
        <v>138</v>
      </c>
      <c r="D108" s="129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29" t="s">
        <v>139</v>
      </c>
      <c r="D109" s="129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6"/>
      <c r="D110" s="126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6"/>
      <c r="D111" s="126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49"/>
      <c r="W113"/>
      <c r="X113"/>
      <c r="Y113"/>
    </row>
    <row r="114" spans="18:25" x14ac:dyDescent="0.2">
      <c r="R114" s="23"/>
      <c r="U114"/>
      <c r="V114" s="249"/>
      <c r="W114"/>
      <c r="X114"/>
      <c r="Y114"/>
    </row>
    <row r="115" spans="18:25" x14ac:dyDescent="0.2">
      <c r="U115"/>
      <c r="V115" s="249"/>
      <c r="W115"/>
      <c r="X115"/>
      <c r="Y115"/>
    </row>
    <row r="116" spans="18:25" x14ac:dyDescent="0.2">
      <c r="U116"/>
      <c r="V116" s="250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36</vt:i4>
      </vt:variant>
    </vt:vector>
  </HeadingPairs>
  <TitlesOfParts>
    <vt:vector size="51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Tx risks</vt:lpstr>
      <vt:lpstr>Misc_calcs</vt:lpstr>
      <vt:lpstr>Data</vt:lpstr>
      <vt:lpstr>AssetType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IS_ADDITIONAL</vt:lpstr>
      <vt:lpstr>ISBUNDED</vt:lpstr>
      <vt:lpstr>ISMOREMAINT</vt:lpstr>
      <vt:lpstr>ISONLINEMONITOR</vt:lpstr>
      <vt:lpstr>ISREFURB</vt:lpstr>
      <vt:lpstr>ISREPLACE</vt:lpstr>
      <vt:lpstr>ISREPLACETWO</vt:lpstr>
      <vt:lpstr>ISSEPARATED</vt:lpstr>
      <vt:lpstr>ISSPAREREADY</vt:lpstr>
      <vt:lpstr>ISSTAGGEREDMAINT</vt:lpstr>
      <vt:lpstr>mill_conv</vt:lpstr>
      <vt:lpstr>NN_LOAD_TRANSFER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  <vt:lpstr>ZSS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2025-01-27T11:56:23Z</dcterms:modified>
</cp:coreProperties>
</file>