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5E6BB39A-1ABE-4DC9-BCC2-4CD76784F4C4}" xr6:coauthVersionLast="47" xr6:coauthVersionMax="47" xr10:uidLastSave="{00000000-0000-0000-0000-000000000000}"/>
  <bookViews>
    <workbookView xWindow="14295" yWindow="0" windowWidth="14610" windowHeight="1558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7" r:id="rId11"/>
    <sheet name="Workings_risks" sheetId="88" r:id="rId12"/>
    <sheet name="Tx risks" sheetId="89" r:id="rId13"/>
    <sheet name="Misc_calcs" sheetId="62" r:id="rId14"/>
    <sheet name="Data" sheetId="47" r:id="rId15"/>
  </sheets>
  <definedNames>
    <definedName name="AssetType">'Tx risks'!$C$9</definedName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IS_ADDITIONAL">'Tx risks'!$C$31</definedName>
    <definedName name="ISBUNDED">'Tx risks'!$C$26</definedName>
    <definedName name="ISMOREMAINT">'Tx risks'!$C$24</definedName>
    <definedName name="ISONLINEMONITOR">'Tx risks'!$C$22</definedName>
    <definedName name="ISREFURB">'Tx risks'!$C$27</definedName>
    <definedName name="ISREPLACE">'Tx risks'!$C$28</definedName>
    <definedName name="ISREPLACETWO">'Tx risks'!$C$29</definedName>
    <definedName name="ISSEPARATED">'Tx risks'!$C$23</definedName>
    <definedName name="ISSPAREREADY">'Tx risks'!$C$21</definedName>
    <definedName name="ISSTAGGEREDMAINT">'Tx risks'!$C$25</definedName>
    <definedName name="list">list_start:OFFSET(list_start, 0,0,count, 1)</definedName>
    <definedName name="mill_conv">Data!$C$71</definedName>
    <definedName name="NN_LOAD_TRANSFER">'Tx risks'!$C$33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  <definedName name="ZSS">'Tx risks'!$C$8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9" l="1"/>
  <c r="A1" i="89"/>
  <c r="B16" i="87"/>
  <c r="L33" i="81"/>
  <c r="R33" i="81"/>
  <c r="U33" i="81"/>
  <c r="V33" i="81"/>
  <c r="W33" i="81"/>
  <c r="X33" i="81"/>
  <c r="Y33" i="81"/>
  <c r="Z33" i="81"/>
  <c r="AA33" i="81"/>
  <c r="AB33" i="81"/>
  <c r="AC33" i="81"/>
  <c r="AD33" i="81"/>
  <c r="AE33" i="81"/>
  <c r="AF33" i="81"/>
  <c r="M30" i="81"/>
  <c r="Q30" i="81"/>
  <c r="R30" i="81"/>
  <c r="S30" i="81"/>
  <c r="V30" i="81"/>
  <c r="W30" i="81"/>
  <c r="X30" i="81"/>
  <c r="Y30" i="81"/>
  <c r="Z30" i="81"/>
  <c r="AA30" i="81"/>
  <c r="AG30" i="81"/>
  <c r="J31" i="81"/>
  <c r="K31" i="81"/>
  <c r="M31" i="81"/>
  <c r="N31" i="81"/>
  <c r="O31" i="81"/>
  <c r="T31" i="81"/>
  <c r="U31" i="81"/>
  <c r="V31" i="81"/>
  <c r="AB31" i="81"/>
  <c r="AE31" i="81"/>
  <c r="AG31" i="81"/>
  <c r="J32" i="81"/>
  <c r="K32" i="81"/>
  <c r="L32" i="81"/>
  <c r="M32" i="81"/>
  <c r="N32" i="81"/>
  <c r="O32" i="81"/>
  <c r="Q32" i="81"/>
  <c r="W32" i="81"/>
  <c r="Z32" i="81"/>
  <c r="AA32" i="81"/>
  <c r="AC32" i="81"/>
  <c r="AD32" i="81"/>
  <c r="AE32" i="81"/>
  <c r="AF32" i="81"/>
  <c r="AG32" i="81"/>
  <c r="I33" i="81"/>
  <c r="I32" i="81"/>
  <c r="I31" i="81"/>
  <c r="J28" i="81"/>
  <c r="K28" i="81"/>
  <c r="R28" i="81"/>
  <c r="U28" i="81"/>
  <c r="V28" i="81"/>
  <c r="W28" i="81"/>
  <c r="X28" i="81"/>
  <c r="Y28" i="81"/>
  <c r="Z28" i="81"/>
  <c r="AA28" i="81"/>
  <c r="AB28" i="81"/>
  <c r="AC28" i="81"/>
  <c r="AD28" i="81"/>
  <c r="AE28" i="81"/>
  <c r="AF28" i="81"/>
  <c r="J14" i="81"/>
  <c r="K14" i="81"/>
  <c r="L14" i="81"/>
  <c r="M14" i="81"/>
  <c r="N14" i="81"/>
  <c r="O14" i="81"/>
  <c r="P14" i="81"/>
  <c r="Q14" i="81"/>
  <c r="R14" i="81"/>
  <c r="S14" i="81"/>
  <c r="T14" i="81"/>
  <c r="U14" i="81"/>
  <c r="V14" i="81"/>
  <c r="W14" i="81"/>
  <c r="X14" i="81"/>
  <c r="Y14" i="81"/>
  <c r="Z14" i="81"/>
  <c r="AA14" i="81"/>
  <c r="AB14" i="81"/>
  <c r="AC14" i="81"/>
  <c r="AD14" i="81"/>
  <c r="AE14" i="81"/>
  <c r="AF14" i="81"/>
  <c r="AG14" i="81"/>
  <c r="I14" i="81"/>
  <c r="K30" i="68"/>
  <c r="L30" i="68"/>
  <c r="R30" i="68"/>
  <c r="U30" i="68"/>
  <c r="V30" i="68"/>
  <c r="W30" i="68"/>
  <c r="AB30" i="68"/>
  <c r="AC30" i="68"/>
  <c r="AE30" i="68"/>
  <c r="AF30" i="68"/>
  <c r="M31" i="68"/>
  <c r="P31" i="68"/>
  <c r="Q31" i="68"/>
  <c r="R31" i="68"/>
  <c r="S31" i="68"/>
  <c r="X31" i="68"/>
  <c r="Y31" i="68"/>
  <c r="AA31" i="68"/>
  <c r="AF31" i="68"/>
  <c r="AG31" i="68"/>
  <c r="J32" i="68"/>
  <c r="K32" i="68"/>
  <c r="L32" i="68"/>
  <c r="M32" i="68"/>
  <c r="N32" i="68"/>
  <c r="T32" i="68"/>
  <c r="U32" i="68"/>
  <c r="AB32" i="68"/>
  <c r="AD32" i="68"/>
  <c r="AE32" i="68"/>
  <c r="AF32" i="68"/>
  <c r="AG32" i="68"/>
  <c r="J33" i="68"/>
  <c r="K33" i="68"/>
  <c r="Q33" i="68"/>
  <c r="W33" i="68"/>
  <c r="Z33" i="68"/>
  <c r="AA33" i="68"/>
  <c r="AB33" i="68"/>
  <c r="AC33" i="68"/>
  <c r="AD33" i="68"/>
  <c r="AE33" i="68"/>
  <c r="C31" i="68"/>
  <c r="C32" i="68"/>
  <c r="C33" i="68"/>
  <c r="C30" i="68"/>
  <c r="I32" i="68"/>
  <c r="I33" i="68"/>
  <c r="M28" i="68"/>
  <c r="N28" i="68"/>
  <c r="O28" i="68"/>
  <c r="P28" i="68"/>
  <c r="Q28" i="68"/>
  <c r="W28" i="68"/>
  <c r="Y28" i="68"/>
  <c r="AA28" i="68"/>
  <c r="AB28" i="68"/>
  <c r="AC28" i="68"/>
  <c r="AD28" i="68"/>
  <c r="AE28" i="68"/>
  <c r="I28" i="68"/>
  <c r="AG33" i="81"/>
  <c r="T33" i="81"/>
  <c r="S33" i="81"/>
  <c r="Q33" i="81"/>
  <c r="P33" i="81"/>
  <c r="O33" i="81"/>
  <c r="N33" i="81"/>
  <c r="M33" i="81"/>
  <c r="K33" i="81"/>
  <c r="J33" i="81"/>
  <c r="AB32" i="81"/>
  <c r="Y32" i="81"/>
  <c r="X32" i="81"/>
  <c r="V32" i="81"/>
  <c r="U32" i="81"/>
  <c r="T32" i="81"/>
  <c r="S32" i="81"/>
  <c r="R32" i="81"/>
  <c r="P32" i="81"/>
  <c r="AF31" i="81"/>
  <c r="AD31" i="81"/>
  <c r="AC31" i="81"/>
  <c r="AA31" i="81"/>
  <c r="Z31" i="81"/>
  <c r="Y31" i="81"/>
  <c r="X31" i="81"/>
  <c r="W31" i="81"/>
  <c r="S31" i="81"/>
  <c r="R31" i="81"/>
  <c r="Q31" i="81"/>
  <c r="P31" i="81"/>
  <c r="L31" i="81"/>
  <c r="AF30" i="81"/>
  <c r="AE30" i="81"/>
  <c r="AD30" i="81"/>
  <c r="AC30" i="81"/>
  <c r="X28" i="88"/>
  <c r="U30" i="81"/>
  <c r="T30" i="81"/>
  <c r="P30" i="81"/>
  <c r="O30" i="81"/>
  <c r="N30" i="81"/>
  <c r="L30" i="81"/>
  <c r="K30" i="81"/>
  <c r="J30" i="81"/>
  <c r="I30" i="81"/>
  <c r="AC28" i="88"/>
  <c r="I28" i="88"/>
  <c r="AG33" i="68"/>
  <c r="AF33" i="68"/>
  <c r="Y33" i="68"/>
  <c r="X33" i="68"/>
  <c r="V33" i="68"/>
  <c r="U33" i="68"/>
  <c r="T33" i="68"/>
  <c r="S33" i="68"/>
  <c r="R33" i="68"/>
  <c r="P33" i="68"/>
  <c r="O33" i="68"/>
  <c r="N33" i="68"/>
  <c r="M33" i="68"/>
  <c r="L33" i="68"/>
  <c r="AC32" i="68"/>
  <c r="AA32" i="68"/>
  <c r="Z32" i="68"/>
  <c r="Y32" i="68"/>
  <c r="X32" i="68"/>
  <c r="W32" i="68"/>
  <c r="V32" i="68"/>
  <c r="S32" i="68"/>
  <c r="R32" i="68"/>
  <c r="Q32" i="68"/>
  <c r="P32" i="68"/>
  <c r="O32" i="68"/>
  <c r="AE31" i="68"/>
  <c r="AD31" i="68"/>
  <c r="AC31" i="68"/>
  <c r="AB31" i="68"/>
  <c r="Z31" i="68"/>
  <c r="W31" i="68"/>
  <c r="V31" i="68"/>
  <c r="U31" i="68"/>
  <c r="T31" i="68"/>
  <c r="O31" i="68"/>
  <c r="N31" i="68"/>
  <c r="L31" i="68"/>
  <c r="K31" i="68"/>
  <c r="AG30" i="68"/>
  <c r="AD30" i="68"/>
  <c r="AA30" i="68"/>
  <c r="Z30" i="68"/>
  <c r="Y30" i="68"/>
  <c r="X30" i="68"/>
  <c r="T30" i="68"/>
  <c r="S30" i="68"/>
  <c r="M16" i="88"/>
  <c r="L16" i="88"/>
  <c r="K16" i="88"/>
  <c r="J16" i="88"/>
  <c r="M30" i="68"/>
  <c r="AF28" i="68"/>
  <c r="Z28" i="68"/>
  <c r="O16" i="88"/>
  <c r="R28" i="68"/>
  <c r="L28" i="68"/>
  <c r="K28" i="68"/>
  <c r="A2" i="88"/>
  <c r="A1" i="88"/>
  <c r="AC26" i="87"/>
  <c r="AB26" i="87"/>
  <c r="AA26" i="87"/>
  <c r="Z26" i="87"/>
  <c r="Y26" i="87"/>
  <c r="X26" i="87"/>
  <c r="W26" i="87"/>
  <c r="V26" i="87"/>
  <c r="U26" i="87"/>
  <c r="T26" i="87"/>
  <c r="S26" i="87"/>
  <c r="R26" i="87"/>
  <c r="Q26" i="87"/>
  <c r="P26" i="87"/>
  <c r="O26" i="87"/>
  <c r="N26" i="87"/>
  <c r="M26" i="87"/>
  <c r="L26" i="87"/>
  <c r="K26" i="87"/>
  <c r="J26" i="87"/>
  <c r="I26" i="87"/>
  <c r="H26" i="87"/>
  <c r="G26" i="87"/>
  <c r="F26" i="87"/>
  <c r="E26" i="87"/>
  <c r="AC21" i="87"/>
  <c r="AB21" i="87"/>
  <c r="AA21" i="87"/>
  <c r="Z21" i="87"/>
  <c r="Y21" i="87"/>
  <c r="X21" i="87"/>
  <c r="W21" i="87"/>
  <c r="V21" i="87"/>
  <c r="U21" i="87"/>
  <c r="T21" i="87"/>
  <c r="S21" i="87"/>
  <c r="R21" i="87"/>
  <c r="Q21" i="87"/>
  <c r="P21" i="87"/>
  <c r="O21" i="87"/>
  <c r="N21" i="87"/>
  <c r="M21" i="87"/>
  <c r="L21" i="87"/>
  <c r="K21" i="87"/>
  <c r="J21" i="87"/>
  <c r="I21" i="87"/>
  <c r="H21" i="87"/>
  <c r="E21" i="87"/>
  <c r="G21" i="87"/>
  <c r="F21" i="87"/>
  <c r="AC13" i="87"/>
  <c r="AB13" i="87"/>
  <c r="AA13" i="87"/>
  <c r="Z13" i="87"/>
  <c r="Y13" i="87"/>
  <c r="X13" i="87"/>
  <c r="W13" i="87"/>
  <c r="V13" i="87"/>
  <c r="U13" i="87"/>
  <c r="T13" i="87"/>
  <c r="S13" i="87"/>
  <c r="R13" i="87"/>
  <c r="Q13" i="87"/>
  <c r="P13" i="87"/>
  <c r="O13" i="87"/>
  <c r="N13" i="87"/>
  <c r="M13" i="87"/>
  <c r="L13" i="87"/>
  <c r="K13" i="87"/>
  <c r="J13" i="87"/>
  <c r="I13" i="87"/>
  <c r="H13" i="87"/>
  <c r="G13" i="87"/>
  <c r="F13" i="87"/>
  <c r="E13" i="87"/>
  <c r="A2" i="87"/>
  <c r="A1" i="87"/>
  <c r="A40" i="86"/>
  <c r="C31" i="72" l="1"/>
  <c r="C31" i="81"/>
  <c r="C30" i="72"/>
  <c r="C30" i="81"/>
  <c r="C33" i="72"/>
  <c r="C33" i="81"/>
  <c r="C32" i="81"/>
  <c r="C32" i="72"/>
  <c r="I31" i="68"/>
  <c r="J28" i="88"/>
  <c r="N28" i="81"/>
  <c r="R16" i="88"/>
  <c r="V28" i="68"/>
  <c r="M28" i="88"/>
  <c r="Q28" i="81"/>
  <c r="T16" i="88"/>
  <c r="O28" i="88"/>
  <c r="U16" i="88"/>
  <c r="P28" i="88"/>
  <c r="T28" i="81"/>
  <c r="S28" i="68"/>
  <c r="F16" i="88"/>
  <c r="Z16" i="88"/>
  <c r="R28" i="88"/>
  <c r="I16" i="88"/>
  <c r="AC16" i="88"/>
  <c r="Y28" i="88"/>
  <c r="T28" i="88"/>
  <c r="S28" i="81"/>
  <c r="P16" i="88"/>
  <c r="T28" i="68"/>
  <c r="K28" i="88"/>
  <c r="O28" i="81"/>
  <c r="Q16" i="88"/>
  <c r="U28" i="68"/>
  <c r="L28" i="88"/>
  <c r="P28" i="81"/>
  <c r="AG28" i="81"/>
  <c r="X28" i="68"/>
  <c r="AB30" i="81"/>
  <c r="Q30" i="68"/>
  <c r="P30" i="68"/>
  <c r="G16" i="88"/>
  <c r="AA16" i="88"/>
  <c r="O30" i="68"/>
  <c r="N30" i="68"/>
  <c r="E28" i="88"/>
  <c r="I28" i="81"/>
  <c r="J30" i="68"/>
  <c r="F28" i="88"/>
  <c r="Z28" i="88"/>
  <c r="U28" i="88"/>
  <c r="J28" i="68"/>
  <c r="G28" i="88"/>
  <c r="AA28" i="88"/>
  <c r="V28" i="88"/>
  <c r="AG28" i="68"/>
  <c r="I30" i="68"/>
  <c r="M28" i="81"/>
  <c r="H16" i="88"/>
  <c r="AB16" i="88"/>
  <c r="H28" i="88"/>
  <c r="AB28" i="88"/>
  <c r="W28" i="88"/>
  <c r="J31" i="68"/>
  <c r="L28" i="81"/>
  <c r="S16" i="88"/>
  <c r="N16" i="88"/>
  <c r="N28" i="88"/>
  <c r="V16" i="88"/>
  <c r="Q28" i="88"/>
  <c r="W16" i="88"/>
  <c r="X16" i="88"/>
  <c r="S28" i="88"/>
  <c r="E16" i="88"/>
  <c r="Y16" i="88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99" i="75"/>
  <c r="J99" i="75"/>
  <c r="AD99" i="75"/>
  <c r="K99" i="75"/>
  <c r="L99" i="75"/>
  <c r="I99" i="75"/>
  <c r="N99" i="75"/>
  <c r="M99" i="75"/>
  <c r="P99" i="75"/>
  <c r="Q99" i="75"/>
  <c r="R99" i="75"/>
  <c r="V99" i="75"/>
  <c r="S99" i="75"/>
  <c r="X99" i="75"/>
  <c r="AB99" i="75"/>
  <c r="Y99" i="75"/>
  <c r="T99" i="75"/>
  <c r="U99" i="75"/>
  <c r="Z99" i="75"/>
  <c r="AA99" i="75"/>
  <c r="O99" i="75"/>
  <c r="W99" i="75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72" l="1" a="1"/>
  <c r="P115" i="72" s="1"/>
  <c r="P115" i="8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<sst xmlns="http://schemas.openxmlformats.org/spreadsheetml/2006/main" count="1044" uniqueCount="334">
  <si>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</si>
  <si>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</si>
  <si>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</si>
  <si>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</si>
  <si>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</si>
  <si>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</si>
  <si>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</si>
  <si>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</si>
  <si>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</si>
  <si>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</si>
  <si>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</si>
  <si>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</si>
  <si>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</si>
  <si>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</si>
  <si>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</si>
  <si>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</si>
  <si>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</si>
  <si>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</si>
  <si>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</si>
  <si>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</si>
  <si>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</si>
  <si>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</si>
  <si>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</si>
  <si>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</si>
  <si>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</si>
  <si>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</si>
  <si>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</si>
  <si>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</si>
  <si>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</si>
  <si>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</si>
  <si>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</si>
  <si>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</si>
  <si>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</si>
  <si>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</si>
  <si>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</si>
  <si>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</si>
  <si>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</si>
  <si>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</si>
  <si>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</si>
  <si>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</si>
  <si>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</si>
  <si>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</si>
  <si>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</si>
  <si>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</si>
  <si>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</si>
  <si>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</si>
  <si>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</si>
  <si>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</si>
  <si>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</si>
  <si>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</si>
  <si>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</si>
  <si>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</si>
  <si>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</si>
  <si>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</si>
  <si>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</si>
  <si>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</si>
  <si>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</si>
  <si>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</si>
  <si>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</si>
  <si>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</si>
  <si>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</si>
  <si>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</si>
  <si>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</si>
  <si>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</si>
  <si>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</si>
  <si>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</si>
  <si>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</si>
  <si>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</si>
  <si>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</si>
  <si>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</si>
  <si>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</si>
  <si>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</si>
  <si>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</si>
  <si>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</si>
  <si>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</si>
  <si>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</si>
  <si>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</si>
  <si>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</si>
  <si>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</si>
  <si>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</si>
  <si>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</si>
  <si>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</si>
  <si>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</si>
  <si>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</si>
  <si>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</si>
  <si>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</si>
  <si>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</si>
  <si>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</si>
  <si>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</si>
  <si>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</si>
  <si>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</si>
  <si>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</si>
  <si>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</si>
  <si>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</si>
  <si>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</si>
  <si>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</si>
  <si>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</si>
  <si>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</si>
  <si>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</si>
  <si>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</si>
  <si>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</si>
  <si>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</si>
  <si>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</si>
  <si>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</si>
  <si>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</si>
  <si>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</si>
  <si>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</si>
  <si>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</si>
  <si>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</si>
  <si>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</si>
  <si>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</si>
  <si>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</si>
  <si>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</si>
  <si>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</si>
  <si>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</si>
  <si>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</si>
  <si>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</si>
  <si>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</si>
  <si>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</si>
  <si>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</si>
  <si>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</si>
  <si>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</si>
  <si>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</si>
  <si>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</si>
  <si>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</si>
  <si>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</si>
  <si>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</si>
  <si>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</si>
  <si>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</si>
  <si>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</si>
  <si>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</si>
  <si>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</si>
  <si>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</si>
  <si>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</si>
  <si>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</si>
  <si>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</si>
  <si>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N/A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</si>
  <si>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</si>
  <si>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</si>
  <si>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</si>
  <si>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</si>
  <si>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</si>
  <si>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</si>
  <si>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</si>
  <si>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</si>
  <si>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</si>
  <si>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</si>
  <si>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</si>
  <si>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</si>
  <si>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</si>
  <si>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</si>
  <si>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</si>
  <si>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</si>
  <si>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</si>
  <si>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</si>
  <si>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</si>
  <si>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</si>
  <si>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</si>
  <si>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</si>
  <si>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</si>
  <si>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</si>
  <si>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</si>
  <si>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</si>
  <si>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</si>
  <si>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</si>
  <si>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</si>
  <si>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</si>
  <si>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</si>
  <si>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</si>
  <si>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</si>
  <si>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</si>
  <si>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</si>
  <si>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</si>
  <si>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</si>
  <si>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</si>
  <si>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</si>
  <si>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</si>
  <si>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</si>
  <si>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</si>
  <si>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</si>
  <si>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</si>
  <si>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</si>
  <si>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</si>
  <si>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</si>
  <si>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</si>
  <si>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</si>
  <si>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</si>
  <si>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</si>
  <si>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</si>
  <si>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</si>
  <si>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</si>
  <si>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</si>
  <si>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</si>
  <si>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</si>
  <si>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</si>
  <si>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</si>
  <si>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</si>
  <si>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</si>
  <si>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</si>
  <si>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</si>
  <si>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</si>
  <si>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</si>
  <si>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</si>
  <si>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</si>
  <si>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</si>
  <si>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</si>
  <si>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</si>
  <si>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</si>
  <si>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</si>
  <si>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</si>
  <si>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</si>
  <si>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</si>
  <si>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</si>
  <si>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</si>
  <si>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</si>
  <si>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</si>
  <si>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</si>
  <si>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</si>
  <si>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</si>
  <si>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</si>
  <si>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</si>
  <si>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</si>
  <si>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</si>
  <si>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</si>
  <si>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</si>
  <si>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</si>
  <si>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</si>
  <si>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</si>
  <si>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</si>
  <si>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</si>
  <si>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</si>
  <si>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</si>
  <si>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</si>
  <si>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</si>
  <si>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</si>
  <si>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</si>
  <si>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</si>
  <si>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</si>
  <si>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</si>
  <si>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</si>
  <si>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</si>
  <si>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</si>
  <si>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</si>
  <si>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</si>
  <si>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</si>
  <si>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</si>
  <si>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</si>
  <si>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WORKINGS - COSTS</t>
  </si>
  <si>
    <t>Option 1 - continue existing maintenance with no proactive replacement cost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</si>
  <si>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</si>
  <si>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</si>
  <si>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</si>
  <si>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</si>
  <si>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</si>
  <si>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</si>
  <si>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</si>
  <si>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</si>
  <si>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</si>
  <si>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</si>
  <si>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</si>
  <si>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</si>
  <si>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</si>
  <si>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</si>
  <si>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</si>
  <si>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</si>
  <si>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</si>
  <si>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</si>
  <si>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</si>
  <si>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Relay annual maintenance cost ($)</t>
  </si>
  <si>
    <t>Total opex cost ($)</t>
  </si>
  <si>
    <t>Tx capex profile ($)</t>
  </si>
  <si>
    <t>Total capex ($)</t>
  </si>
  <si>
    <t>SWBD online monitoring annual cost ($)</t>
  </si>
  <si>
    <t>WORKINGS - RISKS</t>
  </si>
  <si>
    <t>Transformer risks</t>
  </si>
  <si>
    <t>Energy at Risk ($, Weighted)</t>
  </si>
  <si>
    <t>Safety Risk</t>
  </si>
  <si>
    <t>Unplanned Replacement Risk</t>
  </si>
  <si>
    <t>Unplanned Fault Risk</t>
  </si>
  <si>
    <t>Unplanned Enviromental Risk</t>
  </si>
  <si>
    <t>Total transformer risks</t>
  </si>
  <si>
    <t>Option 2 - replace 1 transformer</t>
  </si>
  <si>
    <t>Input Data - Station Configuration</t>
  </si>
  <si>
    <t>Constants</t>
  </si>
  <si>
    <t>POF METHOD</t>
  </si>
  <si>
    <t>WEIBULL</t>
  </si>
  <si>
    <t>Modifier (x)</t>
  </si>
  <si>
    <t>Comment</t>
  </si>
  <si>
    <t>Substation:</t>
  </si>
  <si>
    <t>Major Failure CoC</t>
  </si>
  <si>
    <t>PoF (#1)</t>
  </si>
  <si>
    <t>Asset Type</t>
  </si>
  <si>
    <t>Transformer</t>
  </si>
  <si>
    <t>Minor Failure CoC</t>
  </si>
  <si>
    <t>PoF (#2)</t>
  </si>
  <si>
    <t>Major Failure CoC - used</t>
  </si>
  <si>
    <t>PoF (#3)</t>
  </si>
  <si>
    <t>Load Profile (PoE)</t>
  </si>
  <si>
    <t>Minor Failure CoC - used</t>
  </si>
  <si>
    <t>PoF (#4)</t>
  </si>
  <si>
    <t>Setting</t>
  </si>
  <si>
    <t>Unit Price</t>
  </si>
  <si>
    <t>Model Output</t>
  </si>
  <si>
    <t>Spare Available</t>
  </si>
  <si>
    <t>Online Monitoring</t>
  </si>
  <si>
    <t>Physical Separation</t>
  </si>
  <si>
    <t>More Frequent Maintenance</t>
  </si>
  <si>
    <t>Pr (Terminal Failure)</t>
  </si>
  <si>
    <t>Staggered Maintenance</t>
  </si>
  <si>
    <t>Pr (Repairable Failure)</t>
  </si>
  <si>
    <t>Bunded</t>
  </si>
  <si>
    <t>Refurbish Assets</t>
  </si>
  <si>
    <t>Replace 1 Asset</t>
  </si>
  <si>
    <t>Replace 2 Assets</t>
  </si>
  <si>
    <t>Replace 3 Assets</t>
  </si>
  <si>
    <t>Addiitonal Asset</t>
  </si>
  <si>
    <t>Load Transfers</t>
  </si>
  <si>
    <t>Unplanned Fire Risk</t>
  </si>
  <si>
    <t>Non-Network MW</t>
  </si>
  <si>
    <t>Option Capital Cost</t>
  </si>
  <si>
    <t>Total Life Cycle Cost</t>
  </si>
  <si>
    <t>Safety risk</t>
  </si>
  <si>
    <t>Unplanned replacement risk</t>
  </si>
  <si>
    <t>Unplanned fault risk</t>
  </si>
  <si>
    <t>Enviromental risk</t>
  </si>
  <si>
    <t>Replace 1 transformer</t>
  </si>
  <si>
    <t>AR transformer</t>
  </si>
  <si>
    <t>AR transformer replacement</t>
  </si>
  <si>
    <t>Replace #2 transformer completed in 2029-2030</t>
  </si>
  <si>
    <t>AR</t>
  </si>
  <si>
    <t>Armadale</t>
  </si>
  <si>
    <t>Scenario #1: AR - Transformer</t>
  </si>
  <si>
    <t>Scenario #2: AR - Transformer</t>
  </si>
  <si>
    <t>Scenario #3: AR - Transformer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</si>
</sst>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0.000%"/>
    <numFmt numFmtId="190" formatCode="\+0%;[Red]\ \ \-0%;\ &quot;-&quot;"/>
    <numFmt numFmtId="191" formatCode="#,##0.00_ ;[Red]\-#,##0.00\ "/>
    <numFmt numFmtId="192" formatCode="#,##0.0;[Red]\ \-#,##0.0;\ &quot;&quot;"/>
    <numFmt numFmtId="193" formatCode="0.000000000000000"/>
    <numFmt numFmtId="194" formatCode="0%;[Red]\ \ \-0%;\ &quot;-&quot;"/>
    <numFmt numFmtId="195" formatCode="dd\ mmmm\ yyyy"/>
    <numFmt numFmtId="196" formatCode="mmm\ yyyy"/>
    <numFmt numFmtId="197" formatCode="_-&quot;$&quot;* #,##0_-;\-&quot;$&quot;* #,##0_-;_-&quot;$&quot;* &quot;-&quot;??_-;_-@_-"/>
    <numFmt numFmtId="198" formatCode="_-* #,##0.0_-;\-* #,##0.0_-;_-* &quot;-&quot;??_-;_-@_-"/>
    <numFmt numFmtId="199" formatCode="#,##0.000_);\(#,##0.000\);\-\-_)"/>
    <numFmt numFmtId="200" formatCode="?0"/>
    <numFmt numFmtId="201" formatCode="0.0"/>
  </numFmts>
  <fonts count="105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sz val="10"/>
      <color rgb="FFFF0000"/>
      <name val="Calibri"/>
      <family val="2"/>
    </font>
    <font>
      <b/>
      <sz val="14"/>
      <color theme="1"/>
      <name val="Calibri"/>
      <family val="2"/>
    </font>
    <font>
      <b/>
      <sz val="10"/>
      <color rgb="FFFFFFFF"/>
      <name val="Calibri"/>
      <family val="2"/>
    </font>
    <font>
      <sz val="10"/>
      <name val="Verdana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00215B"/>
        <bgColor rgb="FF000000"/>
      </patternFill>
    </fill>
    <fill>
      <patternFill patternType="solid">
        <fgColor rgb="FFFCCDDF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49357"/>
        <bgColor rgb="FF000000"/>
      </patternFill>
    </fill>
    <fill>
      <patternFill patternType="solid">
        <fgColor rgb="FFD5E4FF"/>
        <bgColor rgb="FF000000"/>
      </patternFill>
    </fill>
    <fill>
      <patternFill patternType="solid">
        <fgColor rgb="FF95BDFF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6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8" fillId="0" borderId="0"/>
    <xf numFmtId="9" fontId="78" fillId="0" borderId="0" applyFont="0" applyFill="0" applyBorder="0" applyAlignment="0" applyProtection="0"/>
    <xf numFmtId="0" fontId="18" fillId="0" borderId="0"/>
    <xf numFmtId="4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" fontId="93" fillId="17" borderId="16" applyNumberFormat="0" applyProtection="0">
      <alignment horizontal="left" vertical="center" indent="1"/>
    </xf>
    <xf numFmtId="4" fontId="93" fillId="17" borderId="16" applyNumberFormat="0" applyProtection="0">
      <alignment horizontal="left" vertical="center" indent="1"/>
    </xf>
    <xf numFmtId="4" fontId="93" fillId="0" borderId="16" applyNumberFormat="0" applyProtection="0">
      <alignment horizontal="right" vertical="center"/>
    </xf>
    <xf numFmtId="44" fontId="78" fillId="0" borderId="0" applyFont="0" applyFill="0" applyBorder="0" applyAlignment="0" applyProtection="0"/>
    <xf numFmtId="9" fontId="78" fillId="0" borderId="0" applyFont="0" applyFill="0" applyBorder="0" applyAlignment="0" applyProtection="0"/>
  </cellStyleXfs>
  <cellXfs count="436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7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8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9" fillId="0" borderId="0" xfId="0" applyNumberFormat="1" applyFont="1"/>
    <xf numFmtId="0" fontId="58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60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1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1" fillId="10" borderId="0" xfId="18" applyNumberFormat="1" applyFont="1" applyFill="1" applyAlignment="1">
      <alignment horizontal="left" vertical="center"/>
    </xf>
    <xf numFmtId="0" fontId="62" fillId="0" borderId="0" xfId="18" applyFont="1"/>
    <xf numFmtId="0" fontId="63" fillId="0" borderId="7" xfId="18" applyFont="1" applyFill="1" applyBorder="1" applyAlignment="1">
      <alignment vertical="center"/>
    </xf>
    <xf numFmtId="0" fontId="64" fillId="0" borderId="0" xfId="18" applyFont="1"/>
    <xf numFmtId="0" fontId="59" fillId="0" borderId="0" xfId="0" applyFont="1"/>
    <xf numFmtId="168" fontId="64" fillId="0" borderId="0" xfId="18" applyNumberFormat="1" applyFont="1" applyFill="1" applyAlignment="1">
      <alignment horizontal="left"/>
    </xf>
    <xf numFmtId="0" fontId="63" fillId="0" borderId="0" xfId="18" applyFont="1" applyFill="1" applyBorder="1" applyAlignment="1">
      <alignment vertical="center"/>
    </xf>
    <xf numFmtId="168" fontId="65" fillId="0" borderId="0" xfId="18" applyNumberFormat="1" applyFont="1" applyFill="1" applyAlignment="1">
      <alignment horizontal="left"/>
    </xf>
    <xf numFmtId="168" fontId="66" fillId="0" borderId="0" xfId="18" applyNumberFormat="1" applyFont="1" applyAlignment="1">
      <alignment horizontal="left" vertical="center"/>
    </xf>
    <xf numFmtId="0" fontId="63" fillId="0" borderId="0" xfId="18" applyFont="1" applyFill="1" applyBorder="1" applyAlignment="1">
      <alignment horizontal="left" vertical="center"/>
    </xf>
    <xf numFmtId="0" fontId="64" fillId="0" borderId="0" xfId="18" applyFont="1" applyAlignment="1">
      <alignment horizontal="left"/>
    </xf>
    <xf numFmtId="0" fontId="67" fillId="0" borderId="0" xfId="18" applyFont="1" applyAlignment="1">
      <alignment horizontal="left" vertical="center"/>
    </xf>
    <xf numFmtId="0" fontId="66" fillId="0" borderId="0" xfId="18" applyFont="1" applyAlignment="1">
      <alignment horizontal="left" vertical="center"/>
    </xf>
    <xf numFmtId="168" fontId="66" fillId="0" borderId="11" xfId="18" applyNumberFormat="1" applyFont="1" applyBorder="1" applyAlignment="1">
      <alignment horizontal="left" vertical="center"/>
    </xf>
    <xf numFmtId="168" fontId="68" fillId="0" borderId="0" xfId="18" applyNumberFormat="1" applyFont="1" applyAlignment="1">
      <alignment horizontal="left" vertical="center"/>
    </xf>
    <xf numFmtId="168" fontId="66" fillId="0" borderId="0" xfId="18" applyNumberFormat="1" applyFont="1" applyBorder="1" applyAlignment="1">
      <alignment horizontal="left" vertical="center"/>
    </xf>
    <xf numFmtId="0" fontId="69" fillId="0" borderId="0" xfId="0" applyFont="1"/>
    <xf numFmtId="0" fontId="46" fillId="0" borderId="0" xfId="18" applyFont="1"/>
    <xf numFmtId="0" fontId="70" fillId="11" borderId="0" xfId="18" applyFont="1" applyFill="1" applyAlignment="1">
      <alignment horizontal="right" vertical="center"/>
    </xf>
    <xf numFmtId="167" fontId="66" fillId="0" borderId="0" xfId="18" applyNumberFormat="1" applyFont="1" applyAlignment="1">
      <alignment horizontal="right" vertical="center"/>
    </xf>
    <xf numFmtId="0" fontId="63" fillId="0" borderId="7" xfId="18" applyFont="1" applyBorder="1" applyAlignment="1">
      <alignment horizontal="right" vertical="center"/>
    </xf>
    <xf numFmtId="166" fontId="72" fillId="10" borderId="0" xfId="16" applyFont="1" applyFill="1" applyAlignment="1">
      <alignment horizontal="right"/>
    </xf>
    <xf numFmtId="0" fontId="71" fillId="0" borderId="0" xfId="8" applyFont="1" applyAlignment="1">
      <alignment horizontal="right"/>
    </xf>
    <xf numFmtId="168" fontId="66" fillId="0" borderId="0" xfId="18" applyNumberFormat="1" applyFont="1" applyAlignment="1">
      <alignment horizontal="right" vertical="center"/>
    </xf>
    <xf numFmtId="168" fontId="68" fillId="0" borderId="0" xfId="18" applyNumberFormat="1" applyFont="1" applyAlignment="1">
      <alignment horizontal="right" vertical="center"/>
    </xf>
    <xf numFmtId="168" fontId="66" fillId="0" borderId="4" xfId="18" applyNumberFormat="1" applyFont="1" applyBorder="1" applyAlignment="1">
      <alignment horizontal="right" vertical="center"/>
    </xf>
    <xf numFmtId="0" fontId="64" fillId="0" borderId="0" xfId="18" applyFont="1" applyAlignment="1">
      <alignment horizontal="right"/>
    </xf>
    <xf numFmtId="0" fontId="64" fillId="0" borderId="0" xfId="0" applyFont="1" applyAlignment="1">
      <alignment horizontal="right"/>
    </xf>
    <xf numFmtId="0" fontId="73" fillId="0" borderId="0" xfId="18" applyFont="1" applyAlignment="1">
      <alignment vertical="center"/>
    </xf>
    <xf numFmtId="0" fontId="26" fillId="0" borderId="0" xfId="18" applyFont="1"/>
    <xf numFmtId="178" fontId="73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4" fillId="0" borderId="0" xfId="18" applyNumberFormat="1" applyFont="1" applyAlignment="1">
      <alignment horizontal="left"/>
    </xf>
    <xf numFmtId="0" fontId="75" fillId="0" borderId="11" xfId="0" applyFont="1" applyFill="1" applyBorder="1" applyAlignment="1"/>
    <xf numFmtId="166" fontId="74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6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90" fontId="15" fillId="0" borderId="0" xfId="18" applyNumberFormat="1"/>
    <xf numFmtId="191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8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90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9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2" fontId="15" fillId="0" borderId="0" xfId="0" applyNumberFormat="1" applyFont="1" applyFill="1" applyAlignment="1">
      <alignment horizontal="center"/>
    </xf>
    <xf numFmtId="0" fontId="80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6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2" fontId="16" fillId="0" borderId="11" xfId="18" applyNumberFormat="1" applyFont="1" applyBorder="1" applyAlignment="1">
      <alignment horizontal="right" vertical="center"/>
    </xf>
    <xf numFmtId="192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1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2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2" fontId="82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3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9" fillId="0" borderId="7" xfId="18" applyFont="1" applyBorder="1"/>
    <xf numFmtId="183" fontId="15" fillId="0" borderId="0" xfId="18" applyNumberFormat="1" applyAlignment="1">
      <alignment horizontal="left"/>
    </xf>
    <xf numFmtId="194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90" fontId="27" fillId="2" borderId="0" xfId="23" applyNumberFormat="1" applyAlignment="1">
      <alignment horizontal="right"/>
    </xf>
    <xf numFmtId="190" fontId="37" fillId="2" borderId="0" xfId="23" applyNumberFormat="1" applyFont="1" applyAlignment="1">
      <alignment horizontal="right"/>
    </xf>
    <xf numFmtId="0" fontId="18" fillId="16" borderId="0" xfId="20" applyFill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0" fontId="88" fillId="0" borderId="0" xfId="20" applyFont="1"/>
    <xf numFmtId="195" fontId="89" fillId="0" borderId="0" xfId="20" applyNumberFormat="1" applyFont="1" applyAlignment="1">
      <alignment horizontal="left"/>
    </xf>
    <xf numFmtId="0" fontId="90" fillId="0" borderId="0" xfId="20" applyFont="1"/>
    <xf numFmtId="196" fontId="91" fillId="10" borderId="0" xfId="16" applyNumberFormat="1" applyFont="1" applyFill="1" applyAlignment="1">
      <alignment horizontal="right"/>
    </xf>
    <xf numFmtId="196" fontId="92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7" fillId="0" borderId="0" xfId="20" applyFont="1" applyAlignment="1">
      <alignment horizontal="left"/>
    </xf>
    <xf numFmtId="0" fontId="95" fillId="0" borderId="0" xfId="18" applyFont="1"/>
    <xf numFmtId="0" fontId="24" fillId="18" borderId="0" xfId="18" applyFont="1" applyFill="1" applyAlignment="1">
      <alignment vertical="center"/>
    </xf>
    <xf numFmtId="0" fontId="21" fillId="19" borderId="0" xfId="18" applyFont="1" applyFill="1"/>
    <xf numFmtId="0" fontId="96" fillId="19" borderId="0" xfId="18" applyFont="1" applyFill="1"/>
    <xf numFmtId="0" fontId="97" fillId="19" borderId="0" xfId="0" applyFont="1" applyFill="1"/>
    <xf numFmtId="0" fontId="98" fillId="0" borderId="0" xfId="18" applyFont="1"/>
    <xf numFmtId="0" fontId="94" fillId="0" borderId="0" xfId="18" applyFont="1"/>
    <xf numFmtId="0" fontId="98" fillId="20" borderId="0" xfId="18" applyFont="1" applyFill="1" applyAlignment="1">
      <alignment horizontal="right"/>
    </xf>
    <xf numFmtId="0" fontId="99" fillId="0" borderId="0" xfId="18" applyFont="1" applyAlignment="1">
      <alignment horizontal="right"/>
    </xf>
    <xf numFmtId="0" fontId="98" fillId="0" borderId="0" xfId="18" applyFont="1" applyAlignment="1">
      <alignment horizontal="right"/>
    </xf>
    <xf numFmtId="197" fontId="98" fillId="21" borderId="0" xfId="34" applyNumberFormat="1" applyFont="1" applyFill="1" applyBorder="1"/>
    <xf numFmtId="0" fontId="99" fillId="0" borderId="12" xfId="18" applyFont="1" applyBorder="1" applyAlignment="1">
      <alignment horizontal="right"/>
    </xf>
    <xf numFmtId="197" fontId="98" fillId="0" borderId="12" xfId="34" applyNumberFormat="1" applyFont="1" applyFill="1" applyBorder="1"/>
    <xf numFmtId="0" fontId="98" fillId="19" borderId="0" xfId="18" applyFont="1" applyFill="1"/>
    <xf numFmtId="0" fontId="98" fillId="0" borderId="12" xfId="18" applyFont="1" applyBorder="1" applyAlignment="1">
      <alignment horizontal="right"/>
    </xf>
    <xf numFmtId="197" fontId="98" fillId="0" borderId="12" xfId="18" applyNumberFormat="1" applyFont="1" applyBorder="1"/>
    <xf numFmtId="0" fontId="98" fillId="21" borderId="0" xfId="18" applyFont="1" applyFill="1"/>
    <xf numFmtId="199" fontId="98" fillId="0" borderId="0" xfId="18" applyNumberFormat="1" applyFont="1"/>
    <xf numFmtId="0" fontId="98" fillId="0" borderId="0" xfId="18" applyFont="1" applyAlignment="1">
      <alignment horizontal="left"/>
    </xf>
    <xf numFmtId="0" fontId="99" fillId="0" borderId="0" xfId="18" applyFont="1"/>
    <xf numFmtId="197" fontId="98" fillId="21" borderId="0" xfId="18" applyNumberFormat="1" applyFont="1" applyFill="1"/>
    <xf numFmtId="0" fontId="98" fillId="0" borderId="12" xfId="18" applyFont="1" applyBorder="1"/>
    <xf numFmtId="0" fontId="100" fillId="19" borderId="0" xfId="20" applyFont="1" applyFill="1" applyAlignment="1">
      <alignment horizontal="left" vertical="center"/>
    </xf>
    <xf numFmtId="0" fontId="100" fillId="19" borderId="0" xfId="20" applyFont="1" applyFill="1" applyAlignment="1">
      <alignment vertical="center"/>
    </xf>
    <xf numFmtId="0" fontId="100" fillId="22" borderId="0" xfId="20" applyFont="1" applyFill="1" applyAlignment="1">
      <alignment vertical="center"/>
    </xf>
    <xf numFmtId="9" fontId="93" fillId="23" borderId="17" xfId="19" applyFont="1" applyFill="1" applyBorder="1" applyAlignment="1" applyProtection="1">
      <alignment horizontal="center" vertical="center"/>
      <protection locked="0"/>
    </xf>
    <xf numFmtId="0" fontId="93" fillId="0" borderId="0" xfId="20" applyFont="1" applyAlignment="1">
      <alignment horizontal="left"/>
    </xf>
    <xf numFmtId="200" fontId="93" fillId="23" borderId="17" xfId="20" applyNumberFormat="1" applyFont="1" applyFill="1" applyBorder="1" applyAlignment="1" applyProtection="1">
      <alignment horizontal="left" vertical="center"/>
      <protection locked="0"/>
    </xf>
    <xf numFmtId="0" fontId="93" fillId="0" borderId="0" xfId="20" applyFont="1"/>
    <xf numFmtId="197" fontId="101" fillId="23" borderId="17" xfId="29" applyNumberFormat="1" applyFont="1" applyFill="1" applyBorder="1"/>
    <xf numFmtId="189" fontId="101" fillId="21" borderId="17" xfId="19" applyNumberFormat="1" applyFont="1" applyFill="1" applyBorder="1" applyAlignment="1" applyProtection="1">
      <alignment horizontal="center" vertical="center"/>
      <protection locked="0"/>
    </xf>
    <xf numFmtId="9" fontId="101" fillId="21" borderId="17" xfId="19" applyFont="1" applyFill="1" applyBorder="1" applyAlignment="1" applyProtection="1">
      <alignment horizontal="center" vertical="center"/>
      <protection locked="0"/>
    </xf>
    <xf numFmtId="9" fontId="101" fillId="24" borderId="17" xfId="19" applyFont="1" applyFill="1" applyBorder="1" applyAlignment="1" applyProtection="1">
      <alignment horizontal="left" vertical="center"/>
      <protection locked="0"/>
    </xf>
    <xf numFmtId="44" fontId="101" fillId="24" borderId="17" xfId="19" applyNumberFormat="1" applyFont="1" applyFill="1" applyBorder="1" applyAlignment="1" applyProtection="1">
      <alignment horizontal="left" vertical="center"/>
      <protection locked="0"/>
    </xf>
    <xf numFmtId="197" fontId="101" fillId="24" borderId="17" xfId="19" applyNumberFormat="1" applyFont="1" applyFill="1" applyBorder="1" applyAlignment="1" applyProtection="1">
      <alignment horizontal="left" vertical="center"/>
      <protection locked="0"/>
    </xf>
    <xf numFmtId="9" fontId="101" fillId="24" borderId="17" xfId="35" applyFont="1" applyFill="1" applyBorder="1" applyAlignment="1" applyProtection="1">
      <alignment horizontal="right" vertical="center"/>
      <protection locked="0"/>
    </xf>
    <xf numFmtId="10" fontId="101" fillId="21" borderId="17" xfId="19" applyNumberFormat="1" applyFont="1" applyFill="1" applyBorder="1" applyAlignment="1" applyProtection="1">
      <alignment horizontal="center" vertical="center"/>
      <protection locked="0"/>
    </xf>
    <xf numFmtId="0" fontId="100" fillId="19" borderId="0" xfId="20" applyFont="1" applyFill="1" applyAlignment="1">
      <alignment horizontal="left" vertical="center" wrapText="1"/>
    </xf>
    <xf numFmtId="0" fontId="100" fillId="19" borderId="0" xfId="20" applyFont="1" applyFill="1" applyAlignment="1">
      <alignment horizontal="center" vertical="center"/>
    </xf>
    <xf numFmtId="0" fontId="100" fillId="25" borderId="0" xfId="20" applyFont="1" applyFill="1" applyAlignment="1">
      <alignment vertical="center"/>
    </xf>
    <xf numFmtId="9" fontId="101" fillId="0" borderId="0" xfId="20" applyNumberFormat="1" applyFont="1" applyAlignment="1">
      <alignment horizontal="center"/>
    </xf>
    <xf numFmtId="197" fontId="101" fillId="0" borderId="0" xfId="20" applyNumberFormat="1" applyFont="1" applyAlignment="1">
      <alignment horizontal="left"/>
    </xf>
    <xf numFmtId="198" fontId="101" fillId="0" borderId="0" xfId="30" applyNumberFormat="1" applyFont="1" applyFill="1" applyBorder="1"/>
    <xf numFmtId="198" fontId="101" fillId="21" borderId="17" xfId="30" applyNumberFormat="1" applyFont="1" applyFill="1" applyBorder="1"/>
    <xf numFmtId="10" fontId="101" fillId="21" borderId="17" xfId="30" applyNumberFormat="1" applyFont="1" applyFill="1" applyBorder="1"/>
    <xf numFmtId="201" fontId="101" fillId="0" borderId="0" xfId="20" applyNumberFormat="1" applyFont="1" applyAlignment="1">
      <alignment horizontal="center"/>
    </xf>
    <xf numFmtId="197" fontId="101" fillId="0" borderId="0" xfId="34" applyNumberFormat="1" applyFont="1" applyFill="1" applyBorder="1"/>
    <xf numFmtId="44" fontId="93" fillId="0" borderId="0" xfId="20" applyNumberFormat="1" applyFont="1" applyAlignment="1">
      <alignment horizontal="left"/>
    </xf>
    <xf numFmtId="197" fontId="93" fillId="0" borderId="0" xfId="20" applyNumberFormat="1" applyFont="1" applyAlignment="1">
      <alignment horizontal="left"/>
    </xf>
    <xf numFmtId="0" fontId="93" fillId="0" borderId="18" xfId="20" applyFont="1" applyBorder="1" applyAlignment="1">
      <alignment horizontal="left"/>
    </xf>
    <xf numFmtId="0" fontId="102" fillId="26" borderId="18" xfId="20" applyFont="1" applyFill="1" applyBorder="1" applyAlignment="1">
      <alignment horizontal="left"/>
    </xf>
    <xf numFmtId="197" fontId="102" fillId="26" borderId="18" xfId="20" applyNumberFormat="1" applyFont="1" applyFill="1" applyBorder="1" applyAlignment="1">
      <alignment horizontal="left"/>
    </xf>
    <xf numFmtId="0" fontId="101" fillId="0" borderId="0" xfId="20" applyFont="1" applyAlignment="1">
      <alignment horizontal="left"/>
    </xf>
    <xf numFmtId="0" fontId="102" fillId="27" borderId="0" xfId="20" applyFont="1" applyFill="1" applyAlignment="1">
      <alignment horizontal="left"/>
    </xf>
    <xf numFmtId="197" fontId="93" fillId="27" borderId="0" xfId="20" applyNumberFormat="1" applyFont="1" applyFill="1" applyAlignment="1">
      <alignment horizontal="left"/>
    </xf>
    <xf numFmtId="0" fontId="103" fillId="22" borderId="0" xfId="20" applyFont="1" applyFill="1" applyAlignment="1">
      <alignment vertical="center"/>
    </xf>
    <xf numFmtId="9" fontId="4" fillId="23" borderId="17" xfId="19" applyFont="1" applyFill="1" applyBorder="1" applyAlignment="1" applyProtection="1">
      <alignment horizontal="center" vertical="center"/>
      <protection locked="0"/>
    </xf>
    <xf numFmtId="0" fontId="103" fillId="19" borderId="0" xfId="20" applyFont="1" applyFill="1" applyAlignment="1">
      <alignment vertical="center"/>
    </xf>
    <xf numFmtId="0" fontId="4" fillId="0" borderId="0" xfId="20" applyFont="1"/>
    <xf numFmtId="189" fontId="104" fillId="21" borderId="17" xfId="19" applyNumberFormat="1" applyFont="1" applyFill="1" applyBorder="1" applyAlignment="1" applyProtection="1">
      <alignment horizontal="center" vertical="center"/>
      <protection locked="0"/>
    </xf>
    <xf numFmtId="9" fontId="104" fillId="21" borderId="17" xfId="19" applyFont="1" applyFill="1" applyBorder="1" applyAlignment="1" applyProtection="1">
      <alignment horizontal="center" vertical="center"/>
      <protection locked="0"/>
    </xf>
    <xf numFmtId="10" fontId="104" fillId="21" borderId="17" xfId="19" applyNumberFormat="1" applyFont="1" applyFill="1" applyBorder="1" applyAlignment="1" applyProtection="1">
      <alignment horizontal="center" vertical="center"/>
      <protection locked="0"/>
    </xf>
    <xf numFmtId="0" fontId="56" fillId="8" borderId="0" xfId="20" applyFont="1" applyFill="1" applyAlignment="1">
      <alignment horizontal="left" vertical="center" wrapText="1"/>
    </xf>
    <xf numFmtId="0" fontId="56" fillId="8" borderId="0" xfId="20" applyFont="1" applyFill="1" applyAlignment="1">
      <alignment horizontal="center" vertical="center"/>
    </xf>
    <xf numFmtId="0" fontId="56" fillId="8" borderId="0" xfId="20" applyFont="1" applyFill="1" applyAlignment="1">
      <alignment vertical="center"/>
    </xf>
    <xf numFmtId="0" fontId="56" fillId="8" borderId="0" xfId="20" applyFont="1" applyFill="1" applyAlignment="1">
      <alignment horizontal="left" vertical="center"/>
    </xf>
    <xf numFmtId="0" fontId="56" fillId="28" borderId="0" xfId="20" applyFont="1" applyFill="1" applyAlignment="1">
      <alignment vertical="center"/>
    </xf>
    <xf numFmtId="0" fontId="34" fillId="0" borderId="0" xfId="20" applyFont="1" applyAlignment="1">
      <alignment horizontal="left"/>
    </xf>
    <xf numFmtId="9" fontId="15" fillId="0" borderId="0" xfId="20" applyNumberFormat="1" applyFont="1" applyAlignment="1">
      <alignment horizontal="center"/>
    </xf>
    <xf numFmtId="197" fontId="15" fillId="0" borderId="0" xfId="20" applyNumberFormat="1" applyFont="1" applyAlignment="1">
      <alignment horizontal="left"/>
    </xf>
    <xf numFmtId="198" fontId="15" fillId="0" borderId="0" xfId="30" applyNumberFormat="1" applyFont="1"/>
    <xf numFmtId="198" fontId="15" fillId="2" borderId="17" xfId="30" applyNumberFormat="1" applyFont="1" applyFill="1" applyBorder="1"/>
    <xf numFmtId="10" fontId="15" fillId="2" borderId="17" xfId="30" applyNumberFormat="1" applyFont="1" applyFill="1" applyBorder="1"/>
    <xf numFmtId="201" fontId="15" fillId="0" borderId="0" xfId="20" applyNumberFormat="1" applyFont="1" applyAlignment="1">
      <alignment horizontal="center"/>
    </xf>
    <xf numFmtId="197" fontId="15" fillId="0" borderId="0" xfId="34" applyNumberFormat="1" applyFont="1" applyFill="1" applyBorder="1"/>
    <xf numFmtId="197" fontId="15" fillId="0" borderId="0" xfId="34" applyNumberFormat="1" applyFont="1" applyFill="1"/>
    <xf numFmtId="44" fontId="34" fillId="0" borderId="0" xfId="20" applyNumberFormat="1" applyFont="1" applyAlignment="1">
      <alignment horizontal="left"/>
    </xf>
    <xf numFmtId="197" fontId="34" fillId="0" borderId="0" xfId="20" applyNumberFormat="1" applyFont="1" applyAlignment="1">
      <alignment horizontal="left"/>
    </xf>
    <xf numFmtId="0" fontId="34" fillId="0" borderId="18" xfId="20" applyFont="1" applyBorder="1" applyAlignment="1">
      <alignment horizontal="left"/>
    </xf>
    <xf numFmtId="0" fontId="36" fillId="29" borderId="18" xfId="20" applyFont="1" applyFill="1" applyBorder="1" applyAlignment="1">
      <alignment horizontal="left"/>
    </xf>
    <xf numFmtId="197" fontId="36" fillId="29" borderId="18" xfId="20" applyNumberFormat="1" applyFont="1" applyFill="1" applyBorder="1" applyAlignment="1">
      <alignment horizontal="left"/>
    </xf>
    <xf numFmtId="0" fontId="36" fillId="30" borderId="0" xfId="20" applyFont="1" applyFill="1" applyAlignment="1">
      <alignment horizontal="left"/>
    </xf>
    <xf numFmtId="197" fontId="34" fillId="30" borderId="0" xfId="20" applyNumberFormat="1" applyFont="1" applyFill="1" applyAlignment="1">
      <alignment horizontal="left"/>
    </xf>
    <xf numFmtId="0" fontId="56" fillId="31" borderId="0" xfId="20" applyFont="1" applyFill="1" applyAlignment="1">
      <alignment vertical="center"/>
    </xf>
    <xf numFmtId="9" fontId="34" fillId="32" borderId="17" xfId="19" applyFont="1" applyFill="1" applyBorder="1" applyAlignment="1" applyProtection="1">
      <alignment horizontal="center" vertical="center"/>
      <protection locked="0"/>
    </xf>
    <xf numFmtId="200" fontId="34" fillId="32" borderId="17" xfId="20" applyNumberFormat="1" applyFont="1" applyFill="1" applyBorder="1" applyAlignment="1" applyProtection="1">
      <alignment horizontal="left" vertical="center"/>
      <protection locked="0"/>
    </xf>
    <xf numFmtId="0" fontId="34" fillId="0" borderId="0" xfId="20" applyFont="1"/>
    <xf numFmtId="197" fontId="15" fillId="32" borderId="17" xfId="29" applyNumberFormat="1" applyFont="1" applyFill="1" applyBorder="1"/>
    <xf numFmtId="189" fontId="15" fillId="2" borderId="17" xfId="19" applyNumberFormat="1" applyFont="1" applyFill="1" applyBorder="1" applyAlignment="1" applyProtection="1">
      <alignment horizontal="center" vertical="center"/>
      <protection locked="0"/>
    </xf>
    <xf numFmtId="9" fontId="15" fillId="2" borderId="17" xfId="19" applyFont="1" applyFill="1" applyBorder="1" applyAlignment="1" applyProtection="1">
      <alignment horizontal="center" vertical="center"/>
      <protection locked="0"/>
    </xf>
    <xf numFmtId="9" fontId="15" fillId="33" borderId="17" xfId="19" applyFont="1" applyFill="1" applyBorder="1" applyAlignment="1" applyProtection="1">
      <alignment horizontal="left" vertical="center"/>
      <protection locked="0"/>
    </xf>
    <xf numFmtId="44" fontId="15" fillId="33" borderId="17" xfId="19" applyNumberFormat="1" applyFont="1" applyFill="1" applyBorder="1" applyAlignment="1" applyProtection="1">
      <alignment horizontal="left" vertical="center"/>
      <protection locked="0"/>
    </xf>
    <xf numFmtId="197" fontId="15" fillId="33" borderId="17" xfId="19" applyNumberFormat="1" applyFont="1" applyFill="1" applyBorder="1" applyAlignment="1" applyProtection="1">
      <alignment horizontal="left" vertical="center"/>
      <protection locked="0"/>
    </xf>
    <xf numFmtId="9" fontId="15" fillId="33" borderId="17" xfId="35" applyFont="1" applyFill="1" applyBorder="1" applyAlignment="1" applyProtection="1">
      <alignment horizontal="right" vertical="center"/>
      <protection locked="0"/>
    </xf>
    <xf numFmtId="10" fontId="15" fillId="2" borderId="17" xfId="19" applyNumberFormat="1" applyFont="1" applyFill="1" applyBorder="1" applyAlignment="1" applyProtection="1">
      <alignment horizontal="center" vertical="center"/>
      <protection locked="0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  <xf numFmtId="177" fontId="34" fillId="2" borderId="0" xfId="18" applyNumberFormat="1" applyFont="1" applyFill="1" applyAlignment="1">
      <alignment horizontal="right" vertical="center"/>
    </xf>
  </cellXfs>
  <cellStyles count="36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" xfId="34" builtinId="4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" xfId="35" builtinId="5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163746447994599E-2"/>
          <c:y val="6.7231498068280646E-2"/>
          <c:w val="0.89562073372082374"/>
          <c:h val="0.75931613806725873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0079C1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0.3048991345305106</c:v>
                </c:pt>
                <c:pt idx="1">
                  <c:v>0.3048991345305106</c:v>
                </c:pt>
                <c:pt idx="2">
                  <c:v>0.3048991345305106</c:v>
                </c:pt>
                <c:pt idx="3">
                  <c:v>0.3048991345305106</c:v>
                </c:pt>
                <c:pt idx="4">
                  <c:v>0.3048991345305106</c:v>
                </c:pt>
                <c:pt idx="5">
                  <c:v>0.3048991345305106</c:v>
                </c:pt>
                <c:pt idx="6">
                  <c:v>0.3048991345305106</c:v>
                </c:pt>
                <c:pt idx="7">
                  <c:v>0.3048991345305106</c:v>
                </c:pt>
                <c:pt idx="8">
                  <c:v>0.3048991345305106</c:v>
                </c:pt>
                <c:pt idx="9">
                  <c:v>0.3048991345305106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088-A167-E1DEAE4ABC30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ACD0E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0.77790453586707287</c:v>
                </c:pt>
                <c:pt idx="1">
                  <c:v>0.80793201854782448</c:v>
                </c:pt>
                <c:pt idx="2">
                  <c:v>0.84276800304631239</c:v>
                </c:pt>
                <c:pt idx="3">
                  <c:v>0.88328388556153359</c:v>
                </c:pt>
                <c:pt idx="4">
                  <c:v>0.92082378451048241</c:v>
                </c:pt>
                <c:pt idx="5">
                  <c:v>0.9637031912294759</c:v>
                </c:pt>
                <c:pt idx="6">
                  <c:v>1.0167886639773507</c:v>
                </c:pt>
                <c:pt idx="7">
                  <c:v>1.0759314758199616</c:v>
                </c:pt>
                <c:pt idx="8">
                  <c:v>1.1169560403099419</c:v>
                </c:pt>
                <c:pt idx="9">
                  <c:v>1.1435828718923147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088-A167-E1DEAE4A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40349075582219E-2"/>
          <c:y val="0.91674025677597648"/>
          <c:w val="0.97443796425947038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369444444444442E-2"/>
          <c:y val="7.7035475234270415E-2"/>
          <c:w val="0.91102968750000002"/>
          <c:h val="0.82528681392235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0.65852146054253802</c:v>
                </c:pt>
                <c:pt idx="1">
                  <c:v>0.68477127914408276</c:v>
                </c:pt>
                <c:pt idx="2">
                  <c:v>0.71533370269178664</c:v>
                </c:pt>
                <c:pt idx="3">
                  <c:v>0.7509917555609098</c:v>
                </c:pt>
                <c:pt idx="4">
                  <c:v>0.78396779149800733</c:v>
                </c:pt>
                <c:pt idx="5">
                  <c:v>0.82173367388533392</c:v>
                </c:pt>
                <c:pt idx="6">
                  <c:v>0.86866225033271616</c:v>
                </c:pt>
                <c:pt idx="7">
                  <c:v>0.92102574531176407</c:v>
                </c:pt>
                <c:pt idx="8">
                  <c:v>0.95710138584787008</c:v>
                </c:pt>
                <c:pt idx="9">
                  <c:v>0.9802322478348392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F-472C-8A8A-2EB688C9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447261</xdr:colOff>
      <xdr:row>1</xdr:row>
      <xdr:rowOff>16563</xdr:rowOff>
    </xdr:from>
    <xdr:to>
      <xdr:col>10</xdr:col>
      <xdr:colOff>265634</xdr:colOff>
      <xdr:row>2</xdr:row>
      <xdr:rowOff>151775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12BCC6-C173-42FF-A9BC-31DE36F0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3391" y="207063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6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="115" zoomScaleNormal="115" workbookViewId="0">
      <selection activeCell="A29" sqref="A29"/>
    </sheetView>
  </sheetViews>
  <sheetFormatPr defaultColWidth="0" defaultRowHeight="15" customHeight="1" zeroHeight="1" x14ac:dyDescent="0.25"/>
  <cols>
    <col min="1" max="1" width="8" style="128" customWidth="1"/>
    <col min="2" max="2" width="1.875" style="128" customWidth="1"/>
    <col min="3" max="3" width="14" style="128" customWidth="1"/>
    <col min="4" max="4" width="8" style="128" customWidth="1"/>
    <col min="5" max="5" width="9.375" style="128" customWidth="1"/>
    <col min="6" max="11" width="8" style="128" customWidth="1"/>
    <col min="12" max="19" width="8" style="128" hidden="1" customWidth="1"/>
    <col min="20" max="16384" width="0" style="128" hidden="1"/>
  </cols>
  <sheetData>
    <row r="1" spans="1:19" x14ac:dyDescent="0.25">
      <c r="A1" s="309"/>
    </row>
    <row r="2" spans="1:19" ht="23.25" x14ac:dyDescent="0.35">
      <c r="A2" s="309"/>
      <c r="C2" s="310" t="s">
        <v>42</v>
      </c>
      <c r="D2" s="311"/>
      <c r="E2" s="311"/>
    </row>
    <row r="3" spans="1:19" ht="15.75" x14ac:dyDescent="0.25">
      <c r="A3" s="309"/>
      <c r="C3" s="312" t="s">
        <v>242</v>
      </c>
      <c r="D3" s="311"/>
      <c r="E3" s="311"/>
    </row>
    <row r="4" spans="1:19" x14ac:dyDescent="0.25">
      <c r="A4" s="309"/>
      <c r="D4" s="311"/>
      <c r="E4" s="311"/>
    </row>
    <row r="5" spans="1:19" x14ac:dyDescent="0.25">
      <c r="A5" s="309"/>
      <c r="C5" s="313" t="s">
        <v>326</v>
      </c>
    </row>
    <row r="6" spans="1:19" x14ac:dyDescent="0.25">
      <c r="A6" s="309"/>
      <c r="C6" s="314" t="s">
        <v>243</v>
      </c>
      <c r="D6" s="328">
        <v>4.0199999999999996</v>
      </c>
      <c r="E6" s="314"/>
    </row>
    <row r="7" spans="1:19" x14ac:dyDescent="0.25">
      <c r="A7" s="309"/>
      <c r="F7" s="315"/>
      <c r="G7" s="315"/>
      <c r="H7" s="315"/>
      <c r="J7" s="315"/>
      <c r="K7" s="315"/>
      <c r="L7" s="315"/>
      <c r="M7" s="315"/>
      <c r="N7" s="315"/>
      <c r="O7" s="315"/>
      <c r="P7" s="315"/>
      <c r="Q7" s="315"/>
      <c r="R7" s="315"/>
      <c r="S7" s="315"/>
    </row>
    <row r="8" spans="1:19" x14ac:dyDescent="0.25">
      <c r="A8" s="309"/>
      <c r="C8" s="316">
        <v>45688</v>
      </c>
      <c r="F8" s="315"/>
      <c r="G8" s="315"/>
      <c r="H8" s="315"/>
      <c r="J8" s="315"/>
      <c r="K8" s="315"/>
      <c r="L8" s="315"/>
      <c r="M8" s="315"/>
      <c r="N8" s="315"/>
      <c r="O8" s="315"/>
      <c r="P8" s="315"/>
      <c r="Q8" s="315"/>
      <c r="R8" s="315"/>
      <c r="S8" s="315"/>
    </row>
    <row r="9" spans="1:19" x14ac:dyDescent="0.25">
      <c r="A9" s="309"/>
      <c r="C9" s="317"/>
      <c r="D9" s="317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</row>
    <row r="10" spans="1:19" x14ac:dyDescent="0.25">
      <c r="A10" s="309"/>
      <c r="C10" s="317"/>
      <c r="D10" s="317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</row>
    <row r="11" spans="1:19" x14ac:dyDescent="0.25">
      <c r="A11" s="309"/>
      <c r="C11" s="317"/>
      <c r="D11" s="317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</row>
    <row r="12" spans="1:19" x14ac:dyDescent="0.25">
      <c r="A12" s="309"/>
      <c r="C12" s="317"/>
      <c r="D12" s="317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</row>
    <row r="13" spans="1:19" x14ac:dyDescent="0.25">
      <c r="A13" s="309"/>
      <c r="C13" s="317"/>
      <c r="D13" s="317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</row>
    <row r="14" spans="1:19" x14ac:dyDescent="0.25">
      <c r="A14" s="309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</row>
    <row r="15" spans="1:19" x14ac:dyDescent="0.25">
      <c r="A15" s="309"/>
      <c r="C15" s="313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</row>
    <row r="16" spans="1:19" x14ac:dyDescent="0.25">
      <c r="A16" s="309"/>
      <c r="C16" s="313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</row>
    <row r="17" spans="1:19" x14ac:dyDescent="0.25">
      <c r="A17" s="309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</row>
    <row r="18" spans="1:19" x14ac:dyDescent="0.25">
      <c r="A18" s="309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</row>
    <row r="19" spans="1:19" x14ac:dyDescent="0.25">
      <c r="A19" s="309"/>
      <c r="C19" s="315"/>
      <c r="D19" s="315"/>
      <c r="E19" s="315"/>
      <c r="F19" s="315"/>
      <c r="G19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</row>
    <row r="20" spans="1:19" x14ac:dyDescent="0.25">
      <c r="A20" s="309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</row>
    <row r="21" spans="1:19" ht="16.5" customHeight="1" x14ac:dyDescent="0.25">
      <c r="A21" s="309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</row>
    <row r="22" spans="1:19" x14ac:dyDescent="0.25">
      <c r="A22" s="309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</row>
    <row r="23" spans="1:19" x14ac:dyDescent="0.25">
      <c r="A23" s="309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</row>
    <row r="24" spans="1:19" x14ac:dyDescent="0.25">
      <c r="A24" s="309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</row>
    <row r="25" spans="1:19" x14ac:dyDescent="0.25">
      <c r="A25" s="309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</row>
    <row r="26" spans="1:19" x14ac:dyDescent="0.25">
      <c r="A26" s="309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</row>
    <row r="27" spans="1:19" x14ac:dyDescent="0.25">
      <c r="A27" s="309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</row>
    <row r="28" spans="1:19" x14ac:dyDescent="0.25">
      <c r="A28" s="309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</row>
    <row r="29" spans="1:19" x14ac:dyDescent="0.25">
      <c r="A29" s="309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</row>
    <row r="30" spans="1:19" x14ac:dyDescent="0.25">
      <c r="A30" s="309"/>
      <c r="C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</row>
    <row r="31" spans="1:19" x14ac:dyDescent="0.25">
      <c r="A31" s="309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</row>
    <row r="32" spans="1:19" x14ac:dyDescent="0.25">
      <c r="A32" s="309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</row>
    <row r="33" spans="1:19" x14ac:dyDescent="0.25">
      <c r="A33" s="309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</row>
    <row r="34" spans="1:19" x14ac:dyDescent="0.25">
      <c r="A34" s="309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</row>
    <row r="35" spans="1:19" x14ac:dyDescent="0.25">
      <c r="A35" s="309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</row>
    <row r="36" spans="1:19" x14ac:dyDescent="0.25">
      <c r="A36" s="309"/>
    </row>
    <row r="37" spans="1:19" x14ac:dyDescent="0.25">
      <c r="A37" s="309"/>
    </row>
    <row r="38" spans="1:19" x14ac:dyDescent="0.25">
      <c r="A38" s="309"/>
    </row>
    <row r="39" spans="1:19" x14ac:dyDescent="0.25">
      <c r="A39" s="309"/>
    </row>
    <row r="40" spans="1:19" x14ac:dyDescent="0.25">
      <c r="A40" s="309">
        <f ca="1">_xlfn.SHEETS()</f>
        <v>15</v>
      </c>
    </row>
    <row r="41" spans="1:19" x14ac:dyDescent="0.25">
      <c r="A41" s="309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AR transformer replacement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2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1" t="s">
        <v>189</v>
      </c>
      <c r="H7" s="151" t="s">
        <v>190</v>
      </c>
      <c r="I7" s="151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3">
        <f>output_dollars</f>
        <v>46203</v>
      </c>
      <c r="H8" s="183">
        <f>output_dollars</f>
        <v>46203</v>
      </c>
      <c r="I8" s="183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425" t="str">
        <f>INDEX(Assumptions!$E$14:$E$18, MATCH(C9, Assumptions!$C$14:$C$18,0))</f>
        <v>No change to existing practices</v>
      </c>
      <c r="E9" s="426"/>
      <c r="F9" s="426"/>
      <c r="G9" s="102">
        <f>IF(Data!$C9, "", INDEX(Consol!$F$15:$F$82, MATCH($C9&amp;G$7, Consol!$D$15:$D$82,0))/mill_conv)</f>
        <v>0</v>
      </c>
      <c r="H9" s="102">
        <f>IF(Data!$C9, "", INDEX(Consol!$F$15:$F$82, MATCH($C9&amp;H$7, Consol!$D$15:$D$82,0))/mill_conv)</f>
        <v>0</v>
      </c>
      <c r="I9" s="102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427" t="str">
        <f>INDEX(Assumptions!$E$14:$E$18, MATCH(C10, Assumptions!$C$14:$C$18,0))</f>
        <v>Replace #2 transformer completed in 2029-2030</v>
      </c>
      <c r="E10" s="428"/>
      <c r="F10" s="428"/>
      <c r="G10" s="102">
        <f>IF(Data!$C10, "", INDEX(Consol!$F$15:$F$82, MATCH($C10&amp;G$7, Consol!$D$15:$D$82,0))/mill_conv)</f>
        <v>-3.6554302295774557</v>
      </c>
      <c r="H10" s="102">
        <f>IF(Data!$C10, "", INDEX(Consol!$F$15:$F$82, MATCH($C10&amp;H$7, Consol!$D$15:$D$82,0))/mill_conv)</f>
        <v>11.559069376925404</v>
      </c>
      <c r="I10" s="102">
        <f>IF(Data!$C10, "", INDEX(Consol!$F$15:$F$82, MATCH($C10&amp;I$7, Consol!$D$15:$D$82,0))/mill_conv)</f>
        <v>7.903639147347949</v>
      </c>
    </row>
    <row r="11" spans="1:13" s="7" customFormat="1" ht="12.75" x14ac:dyDescent="0.2">
      <c r="C11" s="91" t="str">
        <v>Option 3</v>
      </c>
      <c r="D11" s="427">
        <f>INDEX(Assumptions!$E$14:$E$18, MATCH(C11, Assumptions!$C$14:$C$18,0))</f>
        <v>0</v>
      </c>
      <c r="E11" s="428"/>
      <c r="F11" s="428"/>
      <c r="G11" s="102" t="str">
        <f>IF(Data!$C11, "", INDEX(Consol!$F$15:$F$82, MATCH($C11&amp;G$7, Consol!$D$15:$D$82,0))/mill_conv)</f>
        <v/>
      </c>
      <c r="H11" s="102" t="str">
        <f>IF(Data!$C11, "", INDEX(Consol!$F$15:$F$82, MATCH($C11&amp;H$7, Consol!$D$15:$D$82,0))/mill_conv)</f>
        <v/>
      </c>
      <c r="I11" s="102" t="str">
        <f>IF(Data!$C11, "", INDEX(Consol!$F$15:$F$82, MATCH($C11&amp;I$7, Consol!$D$15:$D$82,0))/mill_conv)</f>
        <v/>
      </c>
    </row>
    <row r="12" spans="1:13" s="7" customFormat="1" ht="12.75" x14ac:dyDescent="0.2">
      <c r="C12" s="91" t="str">
        <v>Option 4</v>
      </c>
      <c r="D12" s="427">
        <f>INDEX(Assumptions!$E$14:$E$18, MATCH(C12, Assumptions!$C$14:$C$18,0))</f>
        <v>0</v>
      </c>
      <c r="E12" s="428"/>
      <c r="F12" s="428"/>
      <c r="G12" s="102" t="str">
        <f>IF(Data!$C12, "", INDEX(Consol!$F$15:$F$82, MATCH($C12&amp;G$7, Consol!$D$15:$D$82,0))/mill_conv)</f>
        <v/>
      </c>
      <c r="H12" s="102" t="str">
        <f>IF(Data!$C12, "", INDEX(Consol!$F$15:$F$82, MATCH($C12&amp;H$7, Consol!$D$15:$D$82,0))/mill_conv)</f>
        <v/>
      </c>
      <c r="I12" s="102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427">
        <f>INDEX(Assumptions!$E$14:$E$18, MATCH(C13, Assumptions!$C$14:$C$18,0))</f>
        <v>0</v>
      </c>
      <c r="E13" s="428"/>
      <c r="F13" s="428"/>
      <c r="G13" s="102" t="str">
        <f>IF(Data!$C13, "", INDEX(Consol!$F$15:$F$82, MATCH($C13&amp;G$7, Consol!$D$15:$D$82,0))/mill_conv)</f>
        <v/>
      </c>
      <c r="H13" s="102" t="str">
        <f>IF(Data!$C13, "", INDEX(Consol!$F$15:$F$82, MATCH($C13&amp;H$7, Consol!$D$15:$D$82,0))/mill_conv)</f>
        <v/>
      </c>
      <c r="I13" s="102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6"/>
      <c r="E14" s="246"/>
      <c r="F14" s="240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1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3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424" t="str">
        <f>INDEX($D$9:$D$13,MATCH(G18, $I$9:$I$13,0))</f>
        <v>Replace #2 transformer completed in 2029-2030</v>
      </c>
      <c r="E18" s="424"/>
      <c r="F18" s="424"/>
      <c r="G18" s="103">
        <f>_xlfn.MAXIFS(I9:I13, IF(compliance, Data!$F$9:$F$13, Data!$C$9:$C$13),FALSE)</f>
        <v>7.903639147347949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8">
        <f>output_dollars</f>
        <v>46203</v>
      </c>
      <c r="E29" s="184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141</v>
      </c>
    </row>
    <row r="30" spans="1:13" s="8" customFormat="1" ht="12.75" x14ac:dyDescent="0.2">
      <c r="C30" s="4" t="s">
        <v>30</v>
      </c>
      <c r="F30" s="104">
        <f>-INDEX(Consol!$I$15:$Q$82,MATCH($C$26&amp;$C30,Consol!$D$15:$D$82,0), MATCH(F$29, Consol!$I$9:$Q$9,0))/mill_conv</f>
        <v>0</v>
      </c>
      <c r="G30" s="104">
        <f>-INDEX(Consol!$I$15:$Q$82,MATCH($C$26&amp;$C30,Consol!$D$15:$D$82,0), MATCH(G$29, Consol!$I$9:$Q$9,0))/mill_conv</f>
        <v>0</v>
      </c>
      <c r="H30" s="104">
        <f>-INDEX(Consol!$I$15:$Q$82,MATCH($C$26&amp;$C30,Consol!$D$15:$D$82,0), MATCH(H$29, Consol!$I$9:$Q$9,0))/mill_conv</f>
        <v>2.3838658628769345</v>
      </c>
      <c r="I30" s="104">
        <f>-INDEX(Consol!$I$15:$Q$82,MATCH($C$26&amp;$C30,Consol!$D$15:$D$82,0), MATCH(I$29, Consol!$I$9:$Q$9,0))/mill_conv</f>
        <v>4.7677317257538689</v>
      </c>
      <c r="J30" s="104">
        <f>-INDEX(Consol!$I$15:$Q$82,MATCH($C$26&amp;$C30,Consol!$D$15:$D$82,0), MATCH(J$29, Consol!$I$9:$Q$9,0))/mill_conv</f>
        <v>0</v>
      </c>
      <c r="K30" s="185"/>
      <c r="L30" s="185">
        <f>SUM(F30:J30)</f>
        <v>7.1515975886308034</v>
      </c>
    </row>
    <row r="31" spans="1:13" s="8" customFormat="1" ht="12.75" x14ac:dyDescent="0.2">
      <c r="C31" s="4" t="s">
        <v>31</v>
      </c>
      <c r="D31" s="28"/>
      <c r="E31" s="28"/>
      <c r="F31" s="104">
        <f>-INDEX(Consol!$I$15:$Q$82,MATCH($C$26&amp;$C31,Consol!$D$15:$D$82,0), MATCH(F$29, Consol!$I$9:$Q$9,0))/mill_conv</f>
        <v>0</v>
      </c>
      <c r="G31" s="104">
        <f>-INDEX(Consol!$I$15:$Q$82,MATCH($C$26&amp;$C31,Consol!$D$15:$D$82,0), MATCH(G$29, Consol!$I$9:$Q$9,0))/mill_conv</f>
        <v>0</v>
      </c>
      <c r="H31" s="104">
        <f>-INDEX(Consol!$I$15:$Q$82,MATCH($C$26&amp;$C31,Consol!$D$15:$D$82,0), MATCH(H$29, Consol!$I$9:$Q$9,0))/mill_conv</f>
        <v>0</v>
      </c>
      <c r="I31" s="104">
        <f>-INDEX(Consol!$I$15:$Q$82,MATCH($C$26&amp;$C31,Consol!$D$15:$D$82,0), MATCH(I$29, Consol!$I$9:$Q$9,0))/mill_conv</f>
        <v>0</v>
      </c>
      <c r="J31" s="104">
        <f>-INDEX(Consol!$I$15:$Q$82,MATCH($C$26&amp;$C31,Consol!$D$15:$D$82,0), MATCH(J$29, Consol!$I$9:$Q$9,0))/mill_conv</f>
        <v>0</v>
      </c>
      <c r="K31" s="185"/>
      <c r="L31" s="185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233</v>
      </c>
      <c r="D37" s="28"/>
      <c r="E37" s="28"/>
      <c r="F37" s="321" t="s">
        <v>239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216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</row>
    <row r="66" spans="3:13" s="8" customFormat="1" ht="12.75" x14ac:dyDescent="0.2">
      <c r="C66" s="256" t="s">
        <v>220</v>
      </c>
      <c r="D66" s="184">
        <f>output_dollars</f>
        <v>46203</v>
      </c>
      <c r="E66" s="184"/>
      <c r="F66" s="257" t="str">
        <f>Sensitivity_calcs!C89</f>
        <v>Option 1 (base case)</v>
      </c>
      <c r="G66" s="257" t="str">
        <f>Sensitivity_calcs!D89</f>
        <v>Option 2</v>
      </c>
      <c r="H66" s="257" t="str">
        <f>Sensitivity_calcs!E89</f>
        <v>Option 3</v>
      </c>
      <c r="I66" s="257" t="str">
        <f>Sensitivity_calcs!F89</f>
        <v>Option 4</v>
      </c>
      <c r="J66" s="257" t="str">
        <f>Sensitivity_calcs!G89</f>
        <v>Option 5</v>
      </c>
      <c r="K66" s="261"/>
      <c r="L66" s="286" t="s">
        <v>218</v>
      </c>
      <c r="M66" s="261"/>
    </row>
    <row r="67" spans="3:13" s="8" customFormat="1" ht="12.75" x14ac:dyDescent="0.2">
      <c r="C67" s="284" t="str">
        <f>Sensitivity_calcs!B90</f>
        <v>None</v>
      </c>
      <c r="D67" s="264"/>
      <c r="E67" s="264"/>
      <c r="F67" s="285">
        <f>Sensitivity_calcs!C90</f>
        <v>0</v>
      </c>
      <c r="G67" s="285">
        <f>Sensitivity_calcs!D90</f>
        <v>7.9036391473479481</v>
      </c>
      <c r="H67" s="285" t="str">
        <f>Sensitivity_calcs!E90</f>
        <v/>
      </c>
      <c r="I67" s="285" t="str">
        <f>Sensitivity_calcs!F90</f>
        <v/>
      </c>
      <c r="J67" s="285" t="str">
        <f>Sensitivity_calcs!G90</f>
        <v/>
      </c>
      <c r="K67" s="255"/>
      <c r="L67" s="287" t="str">
        <f>Sensitivity_calcs!K90</f>
        <v>Option 2</v>
      </c>
      <c r="M67" s="255"/>
    </row>
    <row r="68" spans="3:13" s="8" customFormat="1" ht="12.75" x14ac:dyDescent="0.2">
      <c r="C68" s="263" t="str">
        <f>Sensitivity_calcs!B91</f>
        <v>Capex 10% higher</v>
      </c>
      <c r="D68" s="263"/>
      <c r="E68" s="263"/>
      <c r="F68" s="277">
        <f>Sensitivity_calcs!C91</f>
        <v>0</v>
      </c>
      <c r="G68" s="272">
        <f>Sensitivity_calcs!D91</f>
        <v>7.538096124390206</v>
      </c>
      <c r="H68" s="272" t="str">
        <f>Sensitivity_calcs!E91</f>
        <v/>
      </c>
      <c r="I68" s="272" t="str">
        <f>Sensitivity_calcs!F91</f>
        <v/>
      </c>
      <c r="J68" s="272" t="str">
        <f>Sensitivity_calcs!G91</f>
        <v/>
      </c>
      <c r="K68" s="255"/>
      <c r="L68" s="280" t="str">
        <f>Sensitivity_calcs!K91</f>
        <v>Option 2</v>
      </c>
      <c r="M68" s="255"/>
    </row>
    <row r="69" spans="3:13" s="8" customFormat="1" ht="12.75" x14ac:dyDescent="0.2">
      <c r="C69" s="263" t="str">
        <f>Sensitivity_calcs!B92</f>
        <v>Capex 10% lower</v>
      </c>
      <c r="D69" s="263"/>
      <c r="E69" s="263"/>
      <c r="F69" s="278">
        <f>Sensitivity_calcs!C92</f>
        <v>0</v>
      </c>
      <c r="G69" s="273">
        <f>Sensitivity_calcs!D92</f>
        <v>8.2691821703056956</v>
      </c>
      <c r="H69" s="273" t="str">
        <f>Sensitivity_calcs!E92</f>
        <v/>
      </c>
      <c r="I69" s="273" t="str">
        <f>Sensitivity_calcs!F92</f>
        <v/>
      </c>
      <c r="J69" s="273" t="str">
        <f>Sensitivity_calcs!G92</f>
        <v/>
      </c>
      <c r="K69" s="255"/>
      <c r="L69" s="280" t="str">
        <f>Sensitivity_calcs!K92</f>
        <v>Option 2</v>
      </c>
      <c r="M69" s="255"/>
    </row>
    <row r="70" spans="3:13" s="8" customFormat="1" ht="12.75" x14ac:dyDescent="0.2">
      <c r="C70" s="263" t="str">
        <f>Sensitivity_calcs!B93</f>
        <v>Total benefits 10% higher</v>
      </c>
      <c r="D70" s="263"/>
      <c r="E70" s="263"/>
      <c r="F70" s="278">
        <f>Sensitivity_calcs!C93</f>
        <v>0</v>
      </c>
      <c r="G70" s="273">
        <f>Sensitivity_calcs!D93</f>
        <v>9.0595460850404912</v>
      </c>
      <c r="H70" s="273" t="str">
        <f>Sensitivity_calcs!E93</f>
        <v/>
      </c>
      <c r="I70" s="273" t="str">
        <f>Sensitivity_calcs!F93</f>
        <v/>
      </c>
      <c r="J70" s="273" t="str">
        <f>Sensitivity_calcs!G93</f>
        <v/>
      </c>
      <c r="K70" s="255"/>
      <c r="L70" s="280" t="str">
        <f>Sensitivity_calcs!K93</f>
        <v>Option 2</v>
      </c>
      <c r="M70" s="255"/>
    </row>
    <row r="71" spans="3:13" s="8" customFormat="1" ht="12.75" x14ac:dyDescent="0.2">
      <c r="C71" s="263" t="str">
        <f>Sensitivity_calcs!B94</f>
        <v>Total benefits 10% lower</v>
      </c>
      <c r="D71" s="263"/>
      <c r="E71" s="263"/>
      <c r="F71" s="278">
        <f>Sensitivity_calcs!C94</f>
        <v>0</v>
      </c>
      <c r="G71" s="273">
        <f>Sensitivity_calcs!D94</f>
        <v>6.7477322096554104</v>
      </c>
      <c r="H71" s="273" t="str">
        <f>Sensitivity_calcs!E94</f>
        <v/>
      </c>
      <c r="I71" s="273" t="str">
        <f>Sensitivity_calcs!F94</f>
        <v/>
      </c>
      <c r="J71" s="273" t="str">
        <f>Sensitivity_calcs!G94</f>
        <v/>
      </c>
      <c r="K71" s="255"/>
      <c r="L71" s="280" t="str">
        <f>Sensitivity_calcs!K94</f>
        <v>Option 2</v>
      </c>
      <c r="M71" s="255"/>
    </row>
    <row r="72" spans="3:13" s="8" customFormat="1" ht="12.75" x14ac:dyDescent="0.2">
      <c r="C72" s="263" t="str">
        <f>Sensitivity_calcs!B95</f>
        <v>Capex 10% higher &amp; Total benefits 10% lower</v>
      </c>
      <c r="D72" s="263"/>
      <c r="E72" s="263"/>
      <c r="F72" s="278">
        <f>Sensitivity_calcs!C95</f>
        <v>0</v>
      </c>
      <c r="G72" s="273">
        <f>Sensitivity_calcs!D95</f>
        <v>6.3821891866976639</v>
      </c>
      <c r="H72" s="273" t="str">
        <f>Sensitivity_calcs!E95</f>
        <v/>
      </c>
      <c r="I72" s="273" t="str">
        <f>Sensitivity_calcs!F95</f>
        <v/>
      </c>
      <c r="J72" s="273" t="str">
        <f>Sensitivity_calcs!G95</f>
        <v/>
      </c>
      <c r="K72" s="255"/>
      <c r="L72" s="280" t="str">
        <f>Sensitivity_calcs!K95</f>
        <v>Option 2</v>
      </c>
      <c r="M72" s="255"/>
    </row>
    <row r="73" spans="3:13" s="8" customFormat="1" ht="12.75" x14ac:dyDescent="0.2">
      <c r="C73" s="263">
        <f>Sensitivity_calcs!B96</f>
        <v>0</v>
      </c>
      <c r="D73" s="263"/>
      <c r="E73" s="263"/>
      <c r="F73" s="278" t="str">
        <f>Sensitivity_calcs!C96</f>
        <v/>
      </c>
      <c r="G73" s="273" t="str">
        <f>Sensitivity_calcs!D96</f>
        <v/>
      </c>
      <c r="H73" s="273" t="str">
        <f>Sensitivity_calcs!E96</f>
        <v/>
      </c>
      <c r="I73" s="273" t="str">
        <f>Sensitivity_calcs!F96</f>
        <v/>
      </c>
      <c r="J73" s="273" t="str">
        <f>Sensitivity_calcs!G96</f>
        <v/>
      </c>
      <c r="K73" s="255"/>
      <c r="L73" s="280" t="str">
        <f>Sensitivity_calcs!K96</f>
        <v/>
      </c>
      <c r="M73" s="255"/>
    </row>
    <row r="74" spans="3:13" s="8" customFormat="1" ht="12.75" x14ac:dyDescent="0.2">
      <c r="C74" s="263">
        <f>Sensitivity_calcs!B97</f>
        <v>0</v>
      </c>
      <c r="D74" s="258"/>
      <c r="E74" s="258"/>
      <c r="F74" s="278" t="str">
        <f>Sensitivity_calcs!C97</f>
        <v/>
      </c>
      <c r="G74" s="273" t="str">
        <f>Sensitivity_calcs!D97</f>
        <v/>
      </c>
      <c r="H74" s="273" t="str">
        <f>Sensitivity_calcs!E97</f>
        <v/>
      </c>
      <c r="I74" s="273" t="str">
        <f>Sensitivity_calcs!F97</f>
        <v/>
      </c>
      <c r="J74" s="273" t="str">
        <f>Sensitivity_calcs!G97</f>
        <v/>
      </c>
      <c r="K74" s="265">
        <f>IF(C74=0,0, INDEX($F$66:$J$66, MATCH(MAX($F74:$I74),$F74:$I74,0)))</f>
        <v>0</v>
      </c>
      <c r="L74" s="280" t="str">
        <f>Sensitivity_calcs!K97</f>
        <v/>
      </c>
    </row>
    <row r="75" spans="3:13" s="8" customFormat="1" ht="12.75" x14ac:dyDescent="0.2">
      <c r="D75" s="263">
        <f>Sensitivity_calcs!B98</f>
        <v>0</v>
      </c>
      <c r="E75" s="263"/>
      <c r="F75" s="278" t="str">
        <f>Sensitivity_calcs!C98</f>
        <v/>
      </c>
      <c r="G75" s="273" t="str">
        <f>Sensitivity_calcs!D98</f>
        <v/>
      </c>
      <c r="H75" s="273" t="str">
        <f>Sensitivity_calcs!E98</f>
        <v/>
      </c>
      <c r="I75" s="273" t="str">
        <f>Sensitivity_calcs!F98</f>
        <v/>
      </c>
      <c r="J75" s="273" t="str">
        <f>Sensitivity_calcs!G98</f>
        <v/>
      </c>
      <c r="K75" s="255"/>
      <c r="L75" s="280" t="str">
        <f>Sensitivity_calcs!K98</f>
        <v/>
      </c>
      <c r="M75" s="255"/>
    </row>
    <row r="76" spans="3:13" s="8" customFormat="1" ht="12.75" x14ac:dyDescent="0.2">
      <c r="D76" s="263">
        <f>Sensitivity_calcs!B99</f>
        <v>0</v>
      </c>
      <c r="E76" s="263"/>
      <c r="F76" s="279"/>
      <c r="G76" s="104"/>
      <c r="H76" s="104"/>
      <c r="I76" s="104"/>
      <c r="J76" s="104"/>
      <c r="K76" s="255"/>
      <c r="L76" s="255"/>
    </row>
    <row r="77" spans="3:13" s="8" customFormat="1" ht="12.75" x14ac:dyDescent="0.2">
      <c r="F77" s="262"/>
      <c r="G77" s="104"/>
      <c r="H77" s="104"/>
      <c r="I77" s="104"/>
      <c r="J77" s="104"/>
    </row>
    <row r="78" spans="3:13" s="8" customFormat="1" ht="12.75" x14ac:dyDescent="0.2">
      <c r="F78" s="262"/>
      <c r="G78" s="262"/>
      <c r="H78" s="262"/>
      <c r="I78" s="262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3"/>
      <c r="E81" s="243"/>
      <c r="F81" s="243"/>
    </row>
    <row r="82" spans="4:6" s="8" customFormat="1" ht="12.75" x14ac:dyDescent="0.2">
      <c r="D82" s="243"/>
      <c r="E82" s="243"/>
      <c r="F82" s="243"/>
    </row>
    <row r="83" spans="4:6" s="8" customFormat="1" ht="12.75" hidden="1" x14ac:dyDescent="0.2">
      <c r="D83" s="243"/>
      <c r="E83" s="243"/>
      <c r="F83" s="243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AR transformer replacement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42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432" t="s">
        <v>327</v>
      </c>
      <c r="F8" s="432"/>
      <c r="G8" s="432"/>
      <c r="H8" s="432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433" t="s">
        <v>58</v>
      </c>
      <c r="F14" s="433"/>
      <c r="G14" s="433"/>
      <c r="H14" s="433"/>
      <c r="I14" s="433"/>
      <c r="J14" s="433"/>
      <c r="K14" s="433"/>
      <c r="L14"/>
    </row>
    <row r="15" spans="1:16" s="1" customFormat="1" ht="12.75" customHeight="1" x14ac:dyDescent="0.2">
      <c r="C15" s="61" t="str">
        <v>Option 2</v>
      </c>
      <c r="D15" s="61"/>
      <c r="E15" s="434" t="s">
        <v>328</v>
      </c>
      <c r="F15" s="434"/>
      <c r="G15" s="434"/>
      <c r="H15" s="434"/>
      <c r="I15" s="434"/>
      <c r="J15" s="434"/>
      <c r="K15" s="434"/>
      <c r="L15"/>
    </row>
    <row r="16" spans="1:16" s="1" customFormat="1" ht="12.75" customHeight="1" x14ac:dyDescent="0.2">
      <c r="C16" s="61" t="str">
        <v>Option 3</v>
      </c>
      <c r="D16" s="61"/>
      <c r="E16" s="434"/>
      <c r="F16" s="434"/>
      <c r="G16" s="434"/>
      <c r="H16" s="434"/>
      <c r="I16" s="434"/>
      <c r="J16" s="434"/>
      <c r="K16" s="434"/>
      <c r="L16"/>
    </row>
    <row r="17" spans="1:16" s="1" customFormat="1" ht="12.75" customHeight="1" x14ac:dyDescent="0.2">
      <c r="C17" s="61" t="str">
        <v>Option 4</v>
      </c>
      <c r="D17" s="61"/>
      <c r="E17" s="434"/>
      <c r="F17" s="434"/>
      <c r="G17" s="434"/>
      <c r="H17" s="434"/>
      <c r="I17" s="434"/>
      <c r="J17" s="434"/>
      <c r="K17" s="434"/>
      <c r="L17"/>
    </row>
    <row r="18" spans="1:16" s="1" customFormat="1" ht="12.75" customHeight="1" x14ac:dyDescent="0.2">
      <c r="C18" s="61" t="str">
        <v>Option 5</v>
      </c>
      <c r="D18" s="61"/>
      <c r="E18" s="434"/>
      <c r="F18" s="434"/>
      <c r="G18" s="434"/>
      <c r="H18" s="434"/>
      <c r="I18" s="434"/>
      <c r="J18" s="434"/>
      <c r="K18" s="434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89" t="s">
        <v>223</v>
      </c>
      <c r="D20"/>
      <c r="E20" s="290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295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182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183</v>
      </c>
      <c r="G28" s="301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2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196</v>
      </c>
      <c r="G31" s="303">
        <v>20</v>
      </c>
      <c r="H31" s="68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304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0">
        <v>45291</v>
      </c>
      <c r="H34" s="68" t="s">
        <v>72</v>
      </c>
      <c r="J34" s="68"/>
    </row>
    <row r="35" spans="1:20" s="1" customFormat="1" ht="13.5" x14ac:dyDescent="0.25">
      <c r="C35" s="1" t="s">
        <v>240</v>
      </c>
      <c r="G35" s="302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7" customFormat="1" x14ac:dyDescent="0.2">
      <c r="A41" s="126"/>
      <c r="B41" s="126"/>
      <c r="C41" s="1" t="s">
        <v>245</v>
      </c>
      <c r="D41" s="239" t="s">
        <v>246</v>
      </c>
      <c r="E41" s="324" t="s">
        <v>329</v>
      </c>
      <c r="F41" s="325"/>
      <c r="G41" s="326" t="s">
        <v>330</v>
      </c>
      <c r="H41" s="130">
        <v>35599.455554362678</v>
      </c>
      <c r="I41" s="327" t="s">
        <v>215</v>
      </c>
      <c r="J41" s="126"/>
      <c r="M41" s="126"/>
      <c r="N41" s="126"/>
      <c r="O41" s="126"/>
      <c r="P41" s="126"/>
      <c r="Q41" s="126"/>
      <c r="R41" s="126"/>
      <c r="S41" s="126"/>
      <c r="T41" s="126"/>
    </row>
    <row r="42" spans="1:20" s="127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6"/>
      <c r="N42" s="126"/>
      <c r="O42" s="126"/>
      <c r="P42" s="126"/>
      <c r="Q42" s="126"/>
      <c r="R42" s="126"/>
      <c r="S42" s="126"/>
      <c r="T42" s="126"/>
    </row>
    <row r="43" spans="1:20" s="127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6"/>
      <c r="N43" s="126"/>
      <c r="O43" s="126"/>
      <c r="P43" s="126"/>
      <c r="Q43" s="126"/>
      <c r="R43" s="126"/>
      <c r="S43" s="126"/>
      <c r="T43" s="126"/>
    </row>
    <row r="45" spans="1:20" ht="15" x14ac:dyDescent="0.2">
      <c r="A45" s="18" t="s">
        <v>149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148</v>
      </c>
      <c r="G50" s="305">
        <v>5400000</v>
      </c>
      <c r="H50" s="69">
        <v>45107</v>
      </c>
    </row>
    <row r="52" spans="3:8" x14ac:dyDescent="0.2">
      <c r="C52" s="8" t="s">
        <v>165</v>
      </c>
      <c r="G52" s="163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3">
        <f>Data!F85</f>
        <v>1</v>
      </c>
    </row>
    <row r="56" spans="3:8" x14ac:dyDescent="0.2">
      <c r="C56" s="8" t="str">
        <f>Data!B86</f>
        <v>Harm to property from bushfire</v>
      </c>
      <c r="G56" s="303">
        <f>Data!F86</f>
        <v>1</v>
      </c>
    </row>
    <row r="57" spans="3:8" x14ac:dyDescent="0.2">
      <c r="C57" s="8" t="str">
        <f>Data!B87</f>
        <v>Harm to environment</v>
      </c>
      <c r="G57" s="303">
        <f>Data!F87</f>
        <v>1</v>
      </c>
    </row>
    <row r="58" spans="3:8" x14ac:dyDescent="0.2">
      <c r="C58" s="8" t="str">
        <f>Data!B88</f>
        <v>Safety - Public trespass</v>
      </c>
      <c r="G58" s="303">
        <f>Data!F88</f>
        <v>1</v>
      </c>
    </row>
    <row r="59" spans="3:8" x14ac:dyDescent="0.2">
      <c r="C59" s="8" t="str">
        <f>Data!B89</f>
        <v>Safety - Single fatality or serious injury ^</v>
      </c>
      <c r="G59" s="303">
        <f>Data!F89</f>
        <v>3</v>
      </c>
    </row>
    <row r="60" spans="3:8" x14ac:dyDescent="0.2">
      <c r="C60" s="8" t="str">
        <f>Data!B90</f>
        <v>Safety from bushfire in HBRA</v>
      </c>
      <c r="G60" s="303">
        <f>Data!F90</f>
        <v>3</v>
      </c>
    </row>
    <row r="61" spans="3:8" x14ac:dyDescent="0.2">
      <c r="C61" s="8" t="str">
        <f>Data!B91</f>
        <v>Safety - Multiple fatality or serious injury ^</v>
      </c>
      <c r="G61" s="303">
        <f>Data!F91</f>
        <v>6</v>
      </c>
    </row>
    <row r="62" spans="3:8" x14ac:dyDescent="0.2">
      <c r="C62" s="8" t="str">
        <f>Data!B92</f>
        <v>Safety from bushfire (REFCL declared areas)</v>
      </c>
      <c r="G62" s="303">
        <f>Data!F92</f>
        <v>6</v>
      </c>
    </row>
    <row r="63" spans="3:8" x14ac:dyDescent="0.2">
      <c r="C63" s="8" t="str">
        <f>Data!B93</f>
        <v>Safety from bushfire (electric line construction areas)</v>
      </c>
      <c r="G63" s="303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181</v>
      </c>
      <c r="D69" s="59"/>
      <c r="E69" s="59"/>
      <c r="F69" s="59"/>
      <c r="G69" s="156" t="s">
        <v>68</v>
      </c>
      <c r="H69" s="156" t="s">
        <v>166</v>
      </c>
      <c r="I69" s="156" t="s">
        <v>180</v>
      </c>
      <c r="J69" s="155" t="s">
        <v>184</v>
      </c>
      <c r="K69" s="156"/>
      <c r="L69" s="156"/>
      <c r="M69" s="156"/>
    </row>
    <row r="70" spans="2:16" x14ac:dyDescent="0.2">
      <c r="C70" s="8" t="s">
        <v>167</v>
      </c>
      <c r="G70" s="157">
        <f>G50*INDEX(hy_escalation, MATCH(input_dollars,hy_dates,0))/INDEX(hy_escalation, MATCH(H50,hy_dates,0))</f>
        <v>5607473.5197347086</v>
      </c>
      <c r="H70" s="162">
        <v>0</v>
      </c>
      <c r="I70" s="164">
        <v>0</v>
      </c>
      <c r="J70" s="429">
        <v>0</v>
      </c>
      <c r="K70" s="430"/>
      <c r="L70" s="430"/>
      <c r="M70" s="431"/>
    </row>
    <row r="71" spans="2:16" x14ac:dyDescent="0.2">
      <c r="C71" s="8" t="s">
        <v>168</v>
      </c>
      <c r="G71" s="157">
        <f>G52*INDEX(hy_escalation, MATCH(input_dollars,hy_dates,0))/INDEX(hy_escalation, MATCH(H52,hy_dates,0))</f>
        <v>0</v>
      </c>
      <c r="H71" s="161">
        <v>0</v>
      </c>
      <c r="I71" s="164">
        <v>0</v>
      </c>
      <c r="J71" s="429">
        <v>0</v>
      </c>
      <c r="K71" s="430"/>
      <c r="L71" s="430"/>
      <c r="M71" s="431"/>
    </row>
    <row r="72" spans="2:16" x14ac:dyDescent="0.2">
      <c r="I72" s="160"/>
      <c r="M72"/>
    </row>
    <row r="73" spans="2:16" x14ac:dyDescent="0.2">
      <c r="G73" s="165"/>
    </row>
    <row r="74" spans="2:16" x14ac:dyDescent="0.2">
      <c r="C74" s="82"/>
    </row>
    <row r="77" spans="2:16" x14ac:dyDescent="0.2">
      <c r="B77" s="30" t="s">
        <v>175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169</v>
      </c>
      <c r="G78" s="153">
        <v>0</v>
      </c>
      <c r="H78" s="69">
        <f>input_dollars</f>
        <v>45291</v>
      </c>
    </row>
    <row r="79" spans="2:16" x14ac:dyDescent="0.2">
      <c r="C79" s="8" t="s">
        <v>170</v>
      </c>
      <c r="G79" s="153">
        <v>0</v>
      </c>
      <c r="H79" s="69">
        <f>input_dollars</f>
        <v>45291</v>
      </c>
    </row>
    <row r="81" spans="1:16" x14ac:dyDescent="0.2">
      <c r="C81" s="8" t="s">
        <v>171</v>
      </c>
      <c r="G81" s="158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176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6">
        <v>2.4730486797759084E-2</v>
      </c>
      <c r="L90" s="306">
        <v>2.2340740091772258E-2</v>
      </c>
      <c r="M90" s="306">
        <v>2.0196329122153123E-2</v>
      </c>
      <c r="N90" s="306">
        <v>1.806294207659629E-2</v>
      </c>
      <c r="O90" s="306">
        <v>1.5913397615084226E-2</v>
      </c>
      <c r="P90" s="306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177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5">
        <v>0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5">
        <v>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5">
        <v>4220.9953699573898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6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6">
        <v>0.54769380678923496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6">
        <v>0.54769380678923496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6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6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0"/>
      <c r="C110" s="297"/>
      <c r="D110" s="59"/>
      <c r="E110" s="298"/>
      <c r="F110" s="297"/>
      <c r="G110" s="297" t="s">
        <v>17</v>
      </c>
      <c r="H110" s="297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6"/>
      <c r="G111" s="307">
        <v>0.1</v>
      </c>
      <c r="H111" s="307">
        <v>0</v>
      </c>
      <c r="I111" s="260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6"/>
      <c r="G112" s="307">
        <v>-0.1</v>
      </c>
      <c r="H112" s="307">
        <v>0</v>
      </c>
      <c r="I112" s="260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6"/>
      <c r="G113" s="308">
        <v>0</v>
      </c>
      <c r="H113" s="307">
        <v>0.1</v>
      </c>
      <c r="I113" s="260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6"/>
      <c r="G114" s="308">
        <v>0</v>
      </c>
      <c r="H114" s="307">
        <v>-0.1</v>
      </c>
      <c r="I114" s="260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6"/>
      <c r="G115" s="307">
        <v>0.1</v>
      </c>
      <c r="H115" s="307">
        <v>-0.1</v>
      </c>
      <c r="I115" s="260"/>
      <c r="J115"/>
      <c r="K115"/>
      <c r="L115"/>
      <c r="M115"/>
      <c r="N115"/>
      <c r="O115"/>
      <c r="P115"/>
    </row>
    <row r="116" spans="2:16" x14ac:dyDescent="0.2">
      <c r="E116" s="266"/>
      <c r="H116"/>
      <c r="I116"/>
      <c r="J116"/>
      <c r="K116"/>
      <c r="L116"/>
      <c r="M116"/>
      <c r="N116"/>
      <c r="O116"/>
      <c r="P116"/>
    </row>
    <row r="117" spans="2:16" x14ac:dyDescent="0.2">
      <c r="E117" s="259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7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AR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142</v>
      </c>
      <c r="B3" s="5"/>
      <c r="C3" s="133"/>
      <c r="D3" s="94"/>
    </row>
    <row r="4" spans="1:43" x14ac:dyDescent="0.2">
      <c r="A4" s="166"/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9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">
        <v>92</v>
      </c>
      <c r="B6" s="97"/>
      <c r="C6" s="98"/>
      <c r="D6" s="97"/>
      <c r="E6" s="99"/>
      <c r="F6" s="99"/>
      <c r="G6" s="99"/>
      <c r="H6" s="150">
        <v>0</v>
      </c>
      <c r="I6" s="100">
        <f t="shared" ref="I6:AG6" si="0">H6+1</f>
        <v>1</v>
      </c>
      <c r="J6" s="100">
        <f t="shared" si="0"/>
        <v>2</v>
      </c>
      <c r="K6" s="100">
        <f t="shared" si="0"/>
        <v>3</v>
      </c>
      <c r="L6" s="100">
        <f t="shared" si="0"/>
        <v>4</v>
      </c>
      <c r="M6" s="100">
        <f t="shared" si="0"/>
        <v>5</v>
      </c>
      <c r="N6" s="100">
        <f t="shared" si="0"/>
        <v>6</v>
      </c>
      <c r="O6" s="100">
        <f t="shared" si="0"/>
        <v>7</v>
      </c>
      <c r="P6" s="100">
        <f t="shared" si="0"/>
        <v>8</v>
      </c>
      <c r="Q6" s="100">
        <f t="shared" si="0"/>
        <v>9</v>
      </c>
      <c r="R6" s="100">
        <f t="shared" si="0"/>
        <v>10</v>
      </c>
      <c r="S6" s="100">
        <f t="shared" si="0"/>
        <v>11</v>
      </c>
      <c r="T6" s="100">
        <f t="shared" si="0"/>
        <v>12</v>
      </c>
      <c r="U6" s="100">
        <f t="shared" si="0"/>
        <v>13</v>
      </c>
      <c r="V6" s="100">
        <f t="shared" si="0"/>
        <v>14</v>
      </c>
      <c r="W6" s="100">
        <f t="shared" si="0"/>
        <v>15</v>
      </c>
      <c r="X6" s="100">
        <f t="shared" si="0"/>
        <v>16</v>
      </c>
      <c r="Y6" s="100">
        <f t="shared" si="0"/>
        <v>17</v>
      </c>
      <c r="Z6" s="100">
        <f t="shared" si="0"/>
        <v>18</v>
      </c>
      <c r="AA6" s="100">
        <f t="shared" si="0"/>
        <v>19</v>
      </c>
      <c r="AB6" s="100">
        <f t="shared" si="0"/>
        <v>20</v>
      </c>
      <c r="AC6" s="100">
        <f t="shared" si="0"/>
        <v>21</v>
      </c>
      <c r="AD6" s="100">
        <f t="shared" si="0"/>
        <v>22</v>
      </c>
      <c r="AE6" s="100">
        <f t="shared" si="0"/>
        <v>23</v>
      </c>
      <c r="AF6" s="100">
        <f t="shared" si="0"/>
        <v>24</v>
      </c>
      <c r="AG6" s="100">
        <f t="shared" si="0"/>
        <v>25</v>
      </c>
    </row>
    <row r="7" spans="1:43" hidden="1" outlineLevel="1" x14ac:dyDescent="0.2">
      <c r="A7" s="97" t="s">
        <v>127</v>
      </c>
      <c r="B7" s="97"/>
      <c r="G7" s="159" t="s">
        <v>63</v>
      </c>
      <c r="I7" s="98">
        <f>IF(ISBLANK(Assumptions!K90), H7,Assumptions!K90*thous_conv)</f>
        <v>24.730486797759085</v>
      </c>
      <c r="J7" s="98">
        <f>IF(ISBLANK(Assumptions!L90), I7,Assumptions!L90*thous_conv)</f>
        <v>22.340740091772258</v>
      </c>
      <c r="K7" s="98">
        <f>IF(ISBLANK(Assumptions!M90), J7,Assumptions!M90*thous_conv)</f>
        <v>20.196329122153124</v>
      </c>
      <c r="L7" s="98">
        <f>IF(ISBLANK(Assumptions!N90), K7,Assumptions!N90*thous_conv)</f>
        <v>18.06294207659629</v>
      </c>
      <c r="M7" s="98">
        <f>IF(ISBLANK(Assumptions!O90), L7,Assumptions!O90*thous_conv)</f>
        <v>15.913397615084225</v>
      </c>
      <c r="N7" s="98">
        <f>IF(ISBLANK(Assumptions!P90), M7,Assumptions!P90*thous_conv)</f>
        <v>13.715069432539002</v>
      </c>
      <c r="O7" s="98">
        <f>IF(ISBLANK(Assumptions!Q90), N7,Assumptions!Q90*thous_conv)</f>
        <v>13.715069432539002</v>
      </c>
      <c r="P7" s="98">
        <f>IF(ISBLANK(Assumptions!R90), O7,Assumptions!R90*thous_conv)</f>
        <v>13.715069432539002</v>
      </c>
      <c r="Q7" s="98">
        <f>IF(ISBLANK(Assumptions!S90), P7,Assumptions!S90*thous_conv)</f>
        <v>13.715069432539002</v>
      </c>
      <c r="R7" s="98">
        <f>IF(ISBLANK(Assumptions!T90), Q7,Assumptions!T90*thous_conv)</f>
        <v>13.715069432539002</v>
      </c>
      <c r="S7" s="98">
        <f>IF(ISBLANK(Assumptions!U90), R7,Assumptions!U90*thous_conv)</f>
        <v>13.715069432539002</v>
      </c>
      <c r="T7" s="98">
        <f>IF(ISBLANK(Assumptions!V90), S7,Assumptions!V90*thous_conv)</f>
        <v>13.715069432539002</v>
      </c>
      <c r="U7" s="98">
        <f>IF(ISBLANK(Assumptions!W90), T7,Assumptions!W90*thous_conv)</f>
        <v>13.715069432539002</v>
      </c>
      <c r="V7" s="98">
        <f>IF(ISBLANK(Assumptions!X90), U7,Assumptions!X90*thous_conv)</f>
        <v>13.715069432539002</v>
      </c>
      <c r="W7" s="98">
        <f>IF(ISBLANK(Assumptions!Y90), V7,Assumptions!Y90*thous_conv)</f>
        <v>13.715069432539002</v>
      </c>
      <c r="X7" s="98">
        <f>IF(ISBLANK(Assumptions!Z90), W7,Assumptions!Z90*thous_conv)</f>
        <v>13.715069432539002</v>
      </c>
      <c r="Y7" s="98">
        <f>IF(ISBLANK(Assumptions!AA90), X7,Assumptions!AA90*thous_conv)</f>
        <v>13.715069432539002</v>
      </c>
      <c r="Z7" s="98">
        <f>IF(ISBLANK(Assumptions!AB90), Y7,Assumptions!AB90*thous_conv)</f>
        <v>13.715069432539002</v>
      </c>
      <c r="AA7" s="98">
        <f>IF(ISBLANK(Assumptions!AC90), Z7,Assumptions!AC90*thous_conv)</f>
        <v>13.715069432539002</v>
      </c>
      <c r="AB7" s="98">
        <f>IF(ISBLANK(Assumptions!AD90), AA7,Assumptions!AD90*thous_conv)</f>
        <v>13.715069432539002</v>
      </c>
      <c r="AC7" s="98">
        <f>IF(ISBLANK(Assumptions!AE90), AB7,Assumptions!AE90*thous_conv)</f>
        <v>13.715069432539002</v>
      </c>
      <c r="AD7" s="98">
        <f>IF(ISBLANK(Assumptions!AF90), AC7,Assumptions!AF90*thous_conv)</f>
        <v>13.715069432539002</v>
      </c>
      <c r="AE7" s="98">
        <f>IF(ISBLANK(Assumptions!AG90), AD7,Assumptions!AG90*thous_conv)</f>
        <v>13.715069432539002</v>
      </c>
      <c r="AF7" s="98">
        <f>IF(ISBLANK(Assumptions!AH90), AE7,Assumptions!AH90*thous_conv)</f>
        <v>13.715069432539002</v>
      </c>
      <c r="AG7" s="98">
        <f>IF(ISBLANK(Assumptions!AI90), AF7,Assumptions!AI90*thous_conv)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0"/>
      <c r="B9" s="180"/>
      <c r="C9" s="180"/>
      <c r="D9" s="180"/>
      <c r="E9" s="180"/>
      <c r="F9" s="181"/>
      <c r="G9" s="180" t="s">
        <v>25</v>
      </c>
      <c r="H9" s="319">
        <f>DATE(LEFT(I9,4), 6,30)</f>
        <v>46203</v>
      </c>
      <c r="I9" s="182" t="str">
        <f>start</f>
        <v>2026-27</v>
      </c>
      <c r="J9" s="182" t="str">
        <f t="shared" ref="J9:AG9" si="1">LEFT(I9,4)+1&amp;"-"&amp;RIGHT(I9,2)+1</f>
        <v>2027-28</v>
      </c>
      <c r="K9" s="182" t="str">
        <f t="shared" si="1"/>
        <v>2028-29</v>
      </c>
      <c r="L9" s="182" t="str">
        <f t="shared" si="1"/>
        <v>2029-30</v>
      </c>
      <c r="M9" s="182" t="str">
        <f t="shared" si="1"/>
        <v>2030-31</v>
      </c>
      <c r="N9" s="182" t="str">
        <f t="shared" si="1"/>
        <v>2031-32</v>
      </c>
      <c r="O9" s="182" t="str">
        <f t="shared" si="1"/>
        <v>2032-33</v>
      </c>
      <c r="P9" s="182" t="str">
        <f t="shared" si="1"/>
        <v>2033-34</v>
      </c>
      <c r="Q9" s="182" t="str">
        <f t="shared" si="1"/>
        <v>2034-35</v>
      </c>
      <c r="R9" s="182" t="str">
        <f t="shared" si="1"/>
        <v>2035-36</v>
      </c>
      <c r="S9" s="182" t="str">
        <f t="shared" si="1"/>
        <v>2036-37</v>
      </c>
      <c r="T9" s="182" t="str">
        <f t="shared" si="1"/>
        <v>2037-38</v>
      </c>
      <c r="U9" s="182" t="str">
        <f t="shared" si="1"/>
        <v>2038-39</v>
      </c>
      <c r="V9" s="182" t="str">
        <f t="shared" si="1"/>
        <v>2039-40</v>
      </c>
      <c r="W9" s="182" t="str">
        <f t="shared" si="1"/>
        <v>2040-41</v>
      </c>
      <c r="X9" s="182" t="str">
        <f t="shared" si="1"/>
        <v>2041-42</v>
      </c>
      <c r="Y9" s="182" t="str">
        <f t="shared" si="1"/>
        <v>2042-43</v>
      </c>
      <c r="Z9" s="182" t="str">
        <f t="shared" si="1"/>
        <v>2043-44</v>
      </c>
      <c r="AA9" s="182" t="str">
        <f t="shared" si="1"/>
        <v>2044-45</v>
      </c>
      <c r="AB9" s="182" t="str">
        <f t="shared" si="1"/>
        <v>2045-46</v>
      </c>
      <c r="AC9" s="182" t="str">
        <f t="shared" si="1"/>
        <v>2046-47</v>
      </c>
      <c r="AD9" s="182" t="str">
        <f t="shared" si="1"/>
        <v>2047-48</v>
      </c>
      <c r="AE9" s="182" t="str">
        <f t="shared" si="1"/>
        <v>2048-49</v>
      </c>
      <c r="AF9" s="182" t="str">
        <f t="shared" si="1"/>
        <v>2049-50</v>
      </c>
      <c r="AG9" s="182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</row>
    <row r="13" spans="1:43" x14ac:dyDescent="0.2">
      <c r="C13" s="3" t="s">
        <v>17</v>
      </c>
      <c r="D13"/>
      <c r="E13" s="125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7">
        <v>0</v>
      </c>
      <c r="G14" s="206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6"/>
      <c r="I17" s="105">
        <f t="shared" ref="I17:AB17" si="2">SUM(I14:I16)</f>
        <v>0</v>
      </c>
      <c r="J17" s="105">
        <f t="shared" si="2"/>
        <v>0</v>
      </c>
      <c r="K17" s="105">
        <f t="shared" si="2"/>
        <v>0</v>
      </c>
      <c r="L17" s="105">
        <f t="shared" si="2"/>
        <v>0</v>
      </c>
      <c r="M17" s="105">
        <f t="shared" si="2"/>
        <v>0</v>
      </c>
      <c r="N17" s="105">
        <f t="shared" si="2"/>
        <v>0</v>
      </c>
      <c r="O17" s="105">
        <f t="shared" si="2"/>
        <v>0</v>
      </c>
      <c r="P17" s="105">
        <f t="shared" si="2"/>
        <v>0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105">
        <f t="shared" si="2"/>
        <v>0</v>
      </c>
      <c r="U17" s="105">
        <f t="shared" si="2"/>
        <v>0</v>
      </c>
      <c r="V17" s="105">
        <f t="shared" si="2"/>
        <v>0</v>
      </c>
      <c r="W17" s="105">
        <f t="shared" si="2"/>
        <v>0</v>
      </c>
      <c r="X17" s="105">
        <f t="shared" si="2"/>
        <v>0</v>
      </c>
      <c r="Y17" s="105">
        <f t="shared" si="2"/>
        <v>0</v>
      </c>
      <c r="Z17" s="105">
        <f t="shared" si="2"/>
        <v>0</v>
      </c>
      <c r="AA17" s="105">
        <f t="shared" si="2"/>
        <v>0</v>
      </c>
      <c r="AB17" s="105">
        <f t="shared" si="2"/>
        <v>0</v>
      </c>
      <c r="AC17" s="105">
        <f>SUM(AC14:AC16)</f>
        <v>0</v>
      </c>
      <c r="AD17" s="105">
        <f>SUM(AD14:AD16)</f>
        <v>0</v>
      </c>
      <c r="AE17" s="105">
        <f>SUM(AE14:AE16)</f>
        <v>0</v>
      </c>
      <c r="AF17" s="105">
        <f>SUM(AF14:AF16)</f>
        <v>0</v>
      </c>
      <c r="AG17" s="105">
        <f>SUM(AG14:AG16)</f>
        <v>0</v>
      </c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6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4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7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7"/>
      <c r="H24" s="110"/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0</v>
      </c>
      <c r="V24" s="135">
        <v>0</v>
      </c>
      <c r="W24" s="135">
        <v>0</v>
      </c>
      <c r="X24" s="135">
        <v>0</v>
      </c>
      <c r="Y24" s="135">
        <v>0</v>
      </c>
      <c r="Z24" s="135">
        <v>0</v>
      </c>
      <c r="AA24" s="135">
        <v>0</v>
      </c>
      <c r="AB24" s="135">
        <v>0</v>
      </c>
      <c r="AC24" s="135">
        <v>0</v>
      </c>
      <c r="AD24" s="135">
        <v>0</v>
      </c>
      <c r="AE24" s="135">
        <v>0</v>
      </c>
      <c r="AF24" s="135">
        <v>0</v>
      </c>
      <c r="AG24" s="135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7"/>
      <c r="E25" s="110"/>
      <c r="F25" s="110"/>
      <c r="G25" s="207"/>
      <c r="H25" s="110"/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7"/>
      <c r="E26" s="110"/>
      <c r="F26" s="110"/>
      <c r="G26" s="207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2">
        <f>Assumptions!H41*vcr_esc</f>
        <v>35599.455554362678</v>
      </c>
      <c r="F28" s="237" t="str">
        <f>IF(AND(SUM(I27:AG27)&lt;&gt;0, E28=0), "!", "")</f>
        <v/>
      </c>
      <c r="G28" s="206">
        <f>input_dollars</f>
        <v>45291</v>
      </c>
      <c r="H28"/>
      <c r="I28" s="32">
        <f>Workings_risks!E11</f>
        <v>658521.46054253797</v>
      </c>
      <c r="J28" s="32">
        <f>Workings_risks!F11</f>
        <v>684771.2791440828</v>
      </c>
      <c r="K28" s="32">
        <f>Workings_risks!G11</f>
        <v>715333.70269178669</v>
      </c>
      <c r="L28" s="32">
        <f>Workings_risks!H11</f>
        <v>750991.75556090975</v>
      </c>
      <c r="M28" s="32">
        <f>Workings_risks!I11</f>
        <v>783967.79149800737</v>
      </c>
      <c r="N28" s="32">
        <f>Workings_risks!J11</f>
        <v>821733.67388533393</v>
      </c>
      <c r="O28" s="32">
        <f>Workings_risks!K11</f>
        <v>868662.25033271615</v>
      </c>
      <c r="P28" s="32">
        <f>Workings_risks!L11</f>
        <v>921025.74531176407</v>
      </c>
      <c r="Q28" s="32">
        <f>Workings_risks!M11</f>
        <v>957101.38584787003</v>
      </c>
      <c r="R28" s="32">
        <f>Workings_risks!N11</f>
        <v>980232.24783483916</v>
      </c>
      <c r="S28" s="32">
        <f>Workings_risks!O11</f>
        <v>1003593.9364207588</v>
      </c>
      <c r="T28" s="32">
        <f>Workings_risks!P11</f>
        <v>1027185.6591070354</v>
      </c>
      <c r="U28" s="32">
        <f>Workings_risks!Q11</f>
        <v>1051006.6404550248</v>
      </c>
      <c r="V28" s="32">
        <f>Workings_risks!R11</f>
        <v>1075056.1215768747</v>
      </c>
      <c r="W28" s="32">
        <f>Workings_risks!S11</f>
        <v>1099333.3596484335</v>
      </c>
      <c r="X28" s="32">
        <f>Workings_risks!T11</f>
        <v>1123837.6274430221</v>
      </c>
      <c r="Y28" s="32">
        <f>Workings_risks!U11</f>
        <v>1148568.2128848941</v>
      </c>
      <c r="Z28" s="32">
        <f>Workings_risks!V11</f>
        <v>1173524.4186213107</v>
      </c>
      <c r="AA28" s="32">
        <f>Workings_risks!W11</f>
        <v>1198705.5616122435</v>
      </c>
      <c r="AB28" s="32">
        <f>Workings_risks!X11</f>
        <v>1224110.9727367433</v>
      </c>
      <c r="AC28" s="32">
        <f>Workings_risks!Y11</f>
        <v>1249739.9964151259</v>
      </c>
      <c r="AD28" s="32">
        <f>Workings_risks!Z11</f>
        <v>1275591.990246132</v>
      </c>
      <c r="AE28" s="32">
        <f>Workings_risks!AA11</f>
        <v>1301666.3246583131</v>
      </c>
      <c r="AF28" s="32">
        <f>Workings_risks!AB11</f>
        <v>1327962.382574887</v>
      </c>
      <c r="AG28" s="32">
        <f>Workings_risks!AC11</f>
        <v>1354479.5590914534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Workings_risks!D12</f>
        <v>Safety risk</v>
      </c>
      <c r="D30" s="204" t="s">
        <v>208</v>
      </c>
      <c r="G30" s="206">
        <f>input_dollars</f>
        <v>45291</v>
      </c>
      <c r="H30" s="148"/>
      <c r="I30" s="32">
        <f>Workings_risks!E12</f>
        <v>558.94147449060438</v>
      </c>
      <c r="J30" s="32">
        <f>Workings_risks!F12</f>
        <v>574.10768182484969</v>
      </c>
      <c r="K30" s="32">
        <f>Workings_risks!G12</f>
        <v>589.44068446244296</v>
      </c>
      <c r="L30" s="32">
        <f>Workings_risks!H12</f>
        <v>604.93970835695484</v>
      </c>
      <c r="M30" s="32">
        <f>Workings_risks!I12</f>
        <v>620.60399479146929</v>
      </c>
      <c r="N30" s="32">
        <f>Workings_risks!J12</f>
        <v>636.43279984949004</v>
      </c>
      <c r="O30" s="32">
        <f>Workings_risks!K12</f>
        <v>652.42539391166656</v>
      </c>
      <c r="P30" s="32">
        <f>Workings_risks!L12</f>
        <v>668.58106117671628</v>
      </c>
      <c r="Q30" s="32">
        <f>Workings_risks!M12</f>
        <v>684.8990992050484</v>
      </c>
      <c r="R30" s="32">
        <f>Workings_risks!N12</f>
        <v>701.37881848371387</v>
      </c>
      <c r="S30" s="32">
        <f>Workings_risks!O12</f>
        <v>718.01954201138676</v>
      </c>
      <c r="T30" s="32">
        <f>Workings_risks!P12</f>
        <v>734.82060490221204</v>
      </c>
      <c r="U30" s="32">
        <f>Workings_risks!Q12</f>
        <v>751.78135400739791</v>
      </c>
      <c r="V30" s="32">
        <f>Workings_risks!R12</f>
        <v>768.90114755354796</v>
      </c>
      <c r="W30" s="32">
        <f>Workings_risks!S12</f>
        <v>786.17935479675998</v>
      </c>
      <c r="X30" s="32">
        <f>Workings_risks!T12</f>
        <v>803.61535569163129</v>
      </c>
      <c r="Y30" s="32">
        <f>Workings_risks!U12</f>
        <v>821.20854057432996</v>
      </c>
      <c r="Z30" s="32">
        <f>Workings_risks!V12</f>
        <v>838.95830985895975</v>
      </c>
      <c r="AA30" s="32">
        <f>Workings_risks!W12</f>
        <v>856.86407374651776</v>
      </c>
      <c r="AB30" s="32">
        <f>Workings_risks!X12</f>
        <v>874.92525194574898</v>
      </c>
      <c r="AC30" s="32">
        <f>Workings_risks!Y12</f>
        <v>893.14127340529933</v>
      </c>
      <c r="AD30" s="32">
        <f>Workings_risks!Z12</f>
        <v>911.51157605655271</v>
      </c>
      <c r="AE30" s="32">
        <f>Workings_risks!AA12</f>
        <v>911.51157605655271</v>
      </c>
      <c r="AF30" s="32">
        <f>Workings_risks!AB12</f>
        <v>911.51157605655271</v>
      </c>
      <c r="AG30" s="32">
        <f>Workings_risks!AC12</f>
        <v>911.51157605655271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Workings_risks!D13</f>
        <v>Unplanned replacement risk</v>
      </c>
      <c r="D31" s="205"/>
      <c r="E31"/>
      <c r="G31" s="206">
        <f>input_dollars</f>
        <v>45291</v>
      </c>
      <c r="H31" s="148"/>
      <c r="I31" s="32">
        <f>Workings_risks!E13</f>
        <v>24285.357871907087</v>
      </c>
      <c r="J31" s="32">
        <f>Workings_risks!F13</f>
        <v>24944.311965459296</v>
      </c>
      <c r="K31" s="32">
        <f>Workings_risks!G13</f>
        <v>25610.513121213942</v>
      </c>
      <c r="L31" s="32">
        <f>Workings_risks!H13</f>
        <v>26283.927707752711</v>
      </c>
      <c r="M31" s="32">
        <f>Workings_risks!I13</f>
        <v>26964.522759706822</v>
      </c>
      <c r="N31" s="32">
        <f>Workings_risks!J13</f>
        <v>27652.265954768562</v>
      </c>
      <c r="O31" s="32">
        <f>Workings_risks!K13</f>
        <v>28347.125591824577</v>
      </c>
      <c r="P31" s="32">
        <f>Workings_risks!L13</f>
        <v>29049.07057014051</v>
      </c>
      <c r="Q31" s="32">
        <f>Workings_risks!M13</f>
        <v>29758.07036953203</v>
      </c>
      <c r="R31" s="32">
        <f>Workings_risks!N13</f>
        <v>30474.095031462322</v>
      </c>
      <c r="S31" s="32">
        <f>Workings_risks!O13</f>
        <v>31197.115141010112</v>
      </c>
      <c r="T31" s="32">
        <f>Workings_risks!P13</f>
        <v>31927.101809657241</v>
      </c>
      <c r="U31" s="32">
        <f>Workings_risks!Q13</f>
        <v>32664.026658847313</v>
      </c>
      <c r="V31" s="32">
        <f>Workings_risks!R13</f>
        <v>33407.86180427167</v>
      </c>
      <c r="W31" s="32">
        <f>Workings_risks!S13</f>
        <v>34158.579840840328</v>
      </c>
      <c r="X31" s="32">
        <f>Workings_risks!T13</f>
        <v>34916.153828300732</v>
      </c>
      <c r="Y31" s="32">
        <f>Workings_risks!U13</f>
        <v>35680.557277467473</v>
      </c>
      <c r="Z31" s="32">
        <f>Workings_risks!V13</f>
        <v>36451.764137029772</v>
      </c>
      <c r="AA31" s="32">
        <f>Workings_risks!W13</f>
        <v>37229.748780905982</v>
      </c>
      <c r="AB31" s="32">
        <f>Workings_risks!X13</f>
        <v>38014.485996115065</v>
      </c>
      <c r="AC31" s="32">
        <f>Workings_risks!Y13</f>
        <v>38805.950971138955</v>
      </c>
      <c r="AD31" s="32">
        <f>Workings_risks!Z13</f>
        <v>39604.119284749097</v>
      </c>
      <c r="AE31" s="32">
        <f>Workings_risks!AA13</f>
        <v>39604.119284749097</v>
      </c>
      <c r="AF31" s="32">
        <f>Workings_risks!AB13</f>
        <v>39604.119284749097</v>
      </c>
      <c r="AG31" s="32">
        <f>Workings_risks!AC13</f>
        <v>39604.119284749097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Workings_risks!D14</f>
        <v>Unplanned fault risk</v>
      </c>
      <c r="D32" s="204"/>
      <c r="E32"/>
      <c r="G32" s="206">
        <f>input_dollars</f>
        <v>45291</v>
      </c>
      <c r="H32"/>
      <c r="I32" s="32">
        <f>Workings_risks!E14</f>
        <v>2102.5077138073384</v>
      </c>
      <c r="J32" s="32">
        <f>Workings_risks!F14</f>
        <v>2159.5567419520344</v>
      </c>
      <c r="K32" s="32">
        <f>Workings_risks!G14</f>
        <v>2217.2331853591872</v>
      </c>
      <c r="L32" s="32">
        <f>Workings_risks!H14</f>
        <v>2275.534132384802</v>
      </c>
      <c r="M32" s="32">
        <f>Workings_risks!I14</f>
        <v>2334.4567290481982</v>
      </c>
      <c r="N32" s="32">
        <f>Workings_risks!J14</f>
        <v>2393.9981770417858</v>
      </c>
      <c r="O32" s="32">
        <f>Workings_risks!K14</f>
        <v>2454.1557318379469</v>
      </c>
      <c r="P32" s="32">
        <f>Workings_risks!L14</f>
        <v>2514.9267008869483</v>
      </c>
      <c r="Q32" s="32">
        <f>Workings_risks!M14</f>
        <v>2576.3084419002403</v>
      </c>
      <c r="R32" s="32">
        <f>Workings_risks!N14</f>
        <v>2638.2983612139769</v>
      </c>
      <c r="S32" s="32">
        <f>Workings_risks!O14</f>
        <v>2700.8939122278884</v>
      </c>
      <c r="T32" s="32">
        <f>Workings_risks!P14</f>
        <v>2764.092593915118</v>
      </c>
      <c r="U32" s="32">
        <f>Workings_risks!Q14</f>
        <v>2827.8919493988083</v>
      </c>
      <c r="V32" s="32">
        <f>Workings_risks!R14</f>
        <v>2892.2895645916574</v>
      </c>
      <c r="W32" s="32">
        <f>Workings_risks!S14</f>
        <v>2957.2830668947786</v>
      </c>
      <c r="X32" s="32">
        <f>Workings_risks!T14</f>
        <v>3022.8701239526367</v>
      </c>
      <c r="Y32" s="32">
        <f>Workings_risks!U14</f>
        <v>3089.0484424608912</v>
      </c>
      <c r="Z32" s="32">
        <f>Workings_risks!V14</f>
        <v>3155.8157670242467</v>
      </c>
      <c r="AA32" s="32">
        <f>Workings_risks!W14</f>
        <v>3223.1698790616715</v>
      </c>
      <c r="AB32" s="32">
        <f>Workings_risks!X14</f>
        <v>3291.1085957563673</v>
      </c>
      <c r="AC32" s="32">
        <f>Workings_risks!Y14</f>
        <v>3359.6297690482384</v>
      </c>
      <c r="AD32" s="32">
        <f>Workings_risks!Z14</f>
        <v>3428.7312846665518</v>
      </c>
      <c r="AE32" s="32">
        <f>Workings_risks!AA14</f>
        <v>3428.7312846665518</v>
      </c>
      <c r="AF32" s="32">
        <f>Workings_risks!AB14</f>
        <v>3428.7312846665518</v>
      </c>
      <c r="AG32" s="32">
        <f>Workings_risks!AC14</f>
        <v>3428.7312846665518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Workings_risks!D15</f>
        <v>Enviromental risk</v>
      </c>
      <c r="D33" s="204" t="s">
        <v>208</v>
      </c>
      <c r="E33"/>
      <c r="G33" s="206">
        <f>input_dollars</f>
        <v>45291</v>
      </c>
      <c r="H33"/>
      <c r="I33" s="32">
        <f>Workings_risks!E15</f>
        <v>13512.5</v>
      </c>
      <c r="J33" s="32">
        <f>Workings_risks!F15</f>
        <v>13512.5</v>
      </c>
      <c r="K33" s="32">
        <f>Workings_risks!G15</f>
        <v>13512.5</v>
      </c>
      <c r="L33" s="32">
        <f>Workings_risks!H15</f>
        <v>13512.5</v>
      </c>
      <c r="M33" s="32">
        <f>Workings_risks!I15</f>
        <v>13512.5</v>
      </c>
      <c r="N33" s="32">
        <f>Workings_risks!J15</f>
        <v>13512.5</v>
      </c>
      <c r="O33" s="32">
        <f>Workings_risks!K15</f>
        <v>13512.5</v>
      </c>
      <c r="P33" s="32">
        <f>Workings_risks!L15</f>
        <v>13512.5</v>
      </c>
      <c r="Q33" s="32">
        <f>Workings_risks!M15</f>
        <v>13512.5</v>
      </c>
      <c r="R33" s="32">
        <f>Workings_risks!N15</f>
        <v>13512.5</v>
      </c>
      <c r="S33" s="32">
        <f>Workings_risks!O15</f>
        <v>13512.5</v>
      </c>
      <c r="T33" s="32">
        <f>Workings_risks!P15</f>
        <v>13512.5</v>
      </c>
      <c r="U33" s="32">
        <f>Workings_risks!Q15</f>
        <v>13512.5</v>
      </c>
      <c r="V33" s="32">
        <f>Workings_risks!R15</f>
        <v>13512.5</v>
      </c>
      <c r="W33" s="32">
        <f>Workings_risks!S15</f>
        <v>13512.5</v>
      </c>
      <c r="X33" s="32">
        <f>Workings_risks!T15</f>
        <v>13512.5</v>
      </c>
      <c r="Y33" s="32">
        <f>Workings_risks!U15</f>
        <v>13512.5</v>
      </c>
      <c r="Z33" s="32">
        <f>Workings_risks!V15</f>
        <v>13512.5</v>
      </c>
      <c r="AA33" s="32">
        <f>Workings_risks!W15</f>
        <v>13512.5</v>
      </c>
      <c r="AB33" s="32">
        <f>Workings_risks!X15</f>
        <v>13512.5</v>
      </c>
      <c r="AC33" s="32">
        <f>Workings_risks!Y15</f>
        <v>13512.5</v>
      </c>
      <c r="AD33" s="32">
        <f>Workings_risks!Z15</f>
        <v>13512.5</v>
      </c>
      <c r="AE33" s="32">
        <f>Workings_risks!AA15</f>
        <v>13512.5</v>
      </c>
      <c r="AF33" s="32">
        <f>Workings_risks!AB15</f>
        <v>13512.5</v>
      </c>
      <c r="AG33" s="32">
        <f>Workings_risks!AC15</f>
        <v>13512.5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173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6"/>
      <c r="F36" s="3"/>
      <c r="G36" s="208"/>
      <c r="H36" s="106"/>
      <c r="I36" s="105">
        <f>SUM(I28:I34)</f>
        <v>698980.76760274288</v>
      </c>
      <c r="J36" s="105">
        <f t="shared" ref="J36:AB36" si="3">SUM(J28:J34)</f>
        <v>725961.75553331897</v>
      </c>
      <c r="K36" s="105">
        <f t="shared" si="3"/>
        <v>757263.38968282228</v>
      </c>
      <c r="L36" s="105">
        <f t="shared" si="3"/>
        <v>793668.65710940422</v>
      </c>
      <c r="M36" s="105">
        <f t="shared" si="3"/>
        <v>827399.87498155388</v>
      </c>
      <c r="N36" s="105">
        <f t="shared" si="3"/>
        <v>865928.87081699376</v>
      </c>
      <c r="O36" s="105">
        <f t="shared" si="3"/>
        <v>913628.45705029031</v>
      </c>
      <c r="P36" s="105">
        <f t="shared" si="3"/>
        <v>966770.82364396821</v>
      </c>
      <c r="Q36" s="105">
        <f t="shared" si="3"/>
        <v>1003633.1637585072</v>
      </c>
      <c r="R36" s="105">
        <f t="shared" si="3"/>
        <v>1027558.5200459992</v>
      </c>
      <c r="S36" s="105">
        <f t="shared" si="3"/>
        <v>1051722.4650160084</v>
      </c>
      <c r="T36" s="105">
        <f t="shared" si="3"/>
        <v>1076124.17411551</v>
      </c>
      <c r="U36" s="105">
        <f t="shared" si="3"/>
        <v>1100762.8404172782</v>
      </c>
      <c r="V36" s="105">
        <f t="shared" si="3"/>
        <v>1125637.6740932914</v>
      </c>
      <c r="W36" s="105">
        <f t="shared" si="3"/>
        <v>1150747.9019109653</v>
      </c>
      <c r="X36" s="105">
        <f t="shared" si="3"/>
        <v>1176092.7667509671</v>
      </c>
      <c r="Y36" s="105">
        <f t="shared" si="3"/>
        <v>1201671.5271453969</v>
      </c>
      <c r="Z36" s="105">
        <f t="shared" si="3"/>
        <v>1227483.4568352238</v>
      </c>
      <c r="AA36" s="105">
        <f t="shared" si="3"/>
        <v>1253527.8443459577</v>
      </c>
      <c r="AB36" s="105">
        <f t="shared" si="3"/>
        <v>1279803.9925805605</v>
      </c>
      <c r="AC36" s="105">
        <f>SUM(AC28:AC34)</f>
        <v>1306311.2184287184</v>
      </c>
      <c r="AD36" s="105">
        <f>SUM(AD28:AD34)</f>
        <v>1333048.8523916041</v>
      </c>
      <c r="AE36" s="105">
        <f>SUM(AE28:AE34)</f>
        <v>1359123.1868037852</v>
      </c>
      <c r="AF36" s="105">
        <f>SUM(AF28:AF34)</f>
        <v>1385419.2447203591</v>
      </c>
      <c r="AG36" s="105">
        <f>SUM(AG28:AG34)</f>
        <v>1411936.4212369255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4" t="s">
        <v>104</v>
      </c>
      <c r="I42" s="31">
        <f t="shared" ref="I42:AG42" si="4">I41*I7</f>
        <v>0</v>
      </c>
      <c r="J42" s="31">
        <f t="shared" si="4"/>
        <v>0</v>
      </c>
      <c r="K42" s="31">
        <f t="shared" si="4"/>
        <v>0</v>
      </c>
      <c r="L42" s="31">
        <f t="shared" si="4"/>
        <v>0</v>
      </c>
      <c r="M42" s="31">
        <f t="shared" si="4"/>
        <v>0</v>
      </c>
      <c r="N42" s="31">
        <f t="shared" si="4"/>
        <v>0</v>
      </c>
      <c r="O42" s="31">
        <f t="shared" si="4"/>
        <v>0</v>
      </c>
      <c r="P42" s="31">
        <f t="shared" si="4"/>
        <v>0</v>
      </c>
      <c r="Q42" s="31">
        <f t="shared" si="4"/>
        <v>0</v>
      </c>
      <c r="R42" s="31">
        <f t="shared" si="4"/>
        <v>0</v>
      </c>
      <c r="S42" s="31">
        <f t="shared" si="4"/>
        <v>0</v>
      </c>
      <c r="T42" s="31">
        <f t="shared" si="4"/>
        <v>0</v>
      </c>
      <c r="U42" s="31">
        <f t="shared" si="4"/>
        <v>0</v>
      </c>
      <c r="V42" s="31">
        <f t="shared" si="4"/>
        <v>0</v>
      </c>
      <c r="W42" s="31">
        <f t="shared" si="4"/>
        <v>0</v>
      </c>
      <c r="X42" s="31">
        <f t="shared" si="4"/>
        <v>0</v>
      </c>
      <c r="Y42" s="31">
        <f t="shared" si="4"/>
        <v>0</v>
      </c>
      <c r="Z42" s="31">
        <f t="shared" si="4"/>
        <v>0</v>
      </c>
      <c r="AA42" s="31">
        <f t="shared" si="4"/>
        <v>0</v>
      </c>
      <c r="AB42" s="31">
        <f t="shared" si="4"/>
        <v>0</v>
      </c>
      <c r="AC42" s="31">
        <f t="shared" si="4"/>
        <v>0</v>
      </c>
      <c r="AD42" s="31">
        <f t="shared" si="4"/>
        <v>0</v>
      </c>
      <c r="AE42" s="31">
        <f t="shared" si="4"/>
        <v>0</v>
      </c>
      <c r="AF42" s="31">
        <f t="shared" si="4"/>
        <v>0</v>
      </c>
      <c r="AG42" s="31">
        <f t="shared" si="4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2">
        <f>Assumptions!G94</f>
        <v>0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4" t="s">
        <v>63</v>
      </c>
      <c r="E46" s="112">
        <f>Assumptions!G95</f>
        <v>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4" t="s">
        <v>63</v>
      </c>
      <c r="E47" s="111">
        <f>Assumptions!G96</f>
        <v>4220.9953699573898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4" t="s">
        <v>126</v>
      </c>
      <c r="E48" s="111">
        <f>Assumptions!G97</f>
        <v>0</v>
      </c>
      <c r="G48" s="206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4" t="s">
        <v>206</v>
      </c>
      <c r="E49" s="111">
        <f>Assumptions!G98</f>
        <v>0.54769380678923496</v>
      </c>
      <c r="G49" s="206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4" t="s">
        <v>206</v>
      </c>
      <c r="E50" s="111">
        <f>Assumptions!G99</f>
        <v>0.54769380678923496</v>
      </c>
      <c r="G50" s="206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4" t="s">
        <v>126</v>
      </c>
      <c r="E51" s="111">
        <f>Assumptions!G100</f>
        <v>0</v>
      </c>
      <c r="G51" s="206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1">
        <f>Assumptions!G101</f>
        <v>0</v>
      </c>
      <c r="G52" s="206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6"/>
      <c r="F57" s="3"/>
      <c r="G57" s="209">
        <f>input_dollars</f>
        <v>45291</v>
      </c>
      <c r="H57" s="106"/>
      <c r="I57" s="105" cm="1">
        <f t="array" ref="I57">SUMPRODUCT((I$45:I$52)*($E$45:$E$52))+SUM(I54:I55)+I42</f>
        <v>0</v>
      </c>
      <c r="J57" s="105" cm="1">
        <f t="array" ref="J57">SUMPRODUCT((J$45:J$52)*($E$45:$E$52))+SUM(J54:J55)+J42</f>
        <v>0</v>
      </c>
      <c r="K57" s="105" cm="1">
        <f t="array" ref="K57">SUMPRODUCT((K$45:K$52)*($E$45:$E$52))+SUM(K54:K55)+K42</f>
        <v>0</v>
      </c>
      <c r="L57" s="105" cm="1">
        <f t="array" ref="L57">SUMPRODUCT((L$45:L$52)*($E$45:$E$52))+SUM(L54:L55)+L42</f>
        <v>0</v>
      </c>
      <c r="M57" s="105" cm="1">
        <f t="array" ref="M57">SUMPRODUCT((M$45:M$52)*($E$45:$E$52))+SUM(M54:M55)+M42</f>
        <v>0</v>
      </c>
      <c r="N57" s="105" cm="1">
        <f t="array" ref="N57">SUMPRODUCT((N$45:N$52)*($E$45:$E$52))+SUM(N54:N55)+N42</f>
        <v>0</v>
      </c>
      <c r="O57" s="105" cm="1">
        <f t="array" ref="O57">SUMPRODUCT((O$45:O$52)*($E$45:$E$52))+SUM(O54:O55)+O42</f>
        <v>0</v>
      </c>
      <c r="P57" s="105" cm="1">
        <f t="array" ref="P57">SUMPRODUCT((P$45:P$52)*($E$45:$E$52))+SUM(P54:P55)+P42</f>
        <v>0</v>
      </c>
      <c r="Q57" s="105" cm="1">
        <f t="array" ref="Q57">SUMPRODUCT((Q$45:Q$52)*($E$45:$E$52))+SUM(Q54:Q55)+Q42</f>
        <v>0</v>
      </c>
      <c r="R57" s="105" cm="1">
        <f t="array" ref="R57">SUMPRODUCT((R$45:R$52)*($E$45:$E$52))+SUM(R54:R55)+R42</f>
        <v>0</v>
      </c>
      <c r="S57" s="105" cm="1">
        <f t="array" ref="S57">SUMPRODUCT((S$45:S$52)*($E$45:$E$52))+SUM(S54:S55)+S42</f>
        <v>0</v>
      </c>
      <c r="T57" s="105" cm="1">
        <f t="array" ref="T57">SUMPRODUCT((T$45:T$52)*($E$45:$E$52))+SUM(T54:T55)+T42</f>
        <v>0</v>
      </c>
      <c r="U57" s="105" cm="1">
        <f t="array" ref="U57">SUMPRODUCT((U$45:U$52)*($E$45:$E$52))+SUM(U54:U55)+U42</f>
        <v>0</v>
      </c>
      <c r="V57" s="105" cm="1">
        <f t="array" ref="V57">SUMPRODUCT((V$45:V$52)*($E$45:$E$52))+SUM(V54:V55)+V42</f>
        <v>0</v>
      </c>
      <c r="W57" s="105" cm="1">
        <f t="array" ref="W57">SUMPRODUCT((W$45:W$52)*($E$45:$E$52))+SUM(W54:W55)+W42</f>
        <v>0</v>
      </c>
      <c r="X57" s="105" cm="1">
        <f t="array" ref="X57">SUMPRODUCT((X$45:X$52)*($E$45:$E$52))+SUM(X54:X55)+X42</f>
        <v>0</v>
      </c>
      <c r="Y57" s="105" cm="1">
        <f t="array" ref="Y57">SUMPRODUCT((Y$45:Y$52)*($E$45:$E$52))+SUM(Y54:Y55)+Y42</f>
        <v>0</v>
      </c>
      <c r="Z57" s="105" cm="1">
        <f t="array" ref="Z57">SUMPRODUCT((Z$45:Z$52)*($E$45:$E$52))+SUM(Z54:Z55)+Z42</f>
        <v>0</v>
      </c>
      <c r="AA57" s="105" cm="1">
        <f t="array" ref="AA57">SUMPRODUCT((AA$45:AA$52)*($E$45:$E$52))+SUM(AA54:AA55)+AA42</f>
        <v>0</v>
      </c>
      <c r="AB57" s="105" cm="1">
        <f t="array" ref="AB57">SUMPRODUCT((AB$45:AB$52)*($E$45:$E$52))+SUM(AB54:AB55)+AB42</f>
        <v>0</v>
      </c>
      <c r="AC57" s="105" cm="1">
        <f t="array" ref="AC57">SUMPRODUCT((AC$45:AC$52)*($E$45:$E$52))+SUM(AC54:AC55)+AC42</f>
        <v>0</v>
      </c>
      <c r="AD57" s="105" cm="1">
        <f t="array" ref="AD57">SUMPRODUCT((AD$45:AD$52)*($E$45:$E$52))+SUM(AD54:AD55)+AD42</f>
        <v>0</v>
      </c>
      <c r="AE57" s="105" cm="1">
        <f t="array" ref="AE57">SUMPRODUCT((AE$45:AE$52)*($E$45:$E$52))+SUM(AE54:AE55)+AE42</f>
        <v>0</v>
      </c>
      <c r="AF57" s="105" cm="1">
        <f t="array" ref="AF57">SUMPRODUCT((AF$45:AF$52)*($E$45:$E$52))+SUM(AF54:AF55)+AF42</f>
        <v>0</v>
      </c>
      <c r="AG57" s="105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7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</row>
    <row r="64" spans="1:43" x14ac:dyDescent="0.2">
      <c r="C64" s="4" t="s">
        <v>121</v>
      </c>
      <c r="G64" s="209">
        <f>input_dollars</f>
        <v>45291</v>
      </c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6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6"/>
      <c r="G67" s="209">
        <f>input_dollars</f>
        <v>45291</v>
      </c>
      <c r="H67" s="31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0</v>
      </c>
      <c r="M67" s="118">
        <f t="shared" si="5"/>
        <v>0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6"/>
      <c r="G68" s="209">
        <f>input_dollars</f>
        <v>45291</v>
      </c>
      <c r="H68" s="31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6"/>
      <c r="G69" s="209">
        <f>input_dollars</f>
        <v>45291</v>
      </c>
      <c r="H69" s="31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2">
      <c r="A70" s="8"/>
      <c r="B70" s="8"/>
      <c r="C70" s="4"/>
      <c r="D70" s="38"/>
      <c r="F70" s="96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6" t="s">
        <v>156</v>
      </c>
      <c r="D71" s="38"/>
      <c r="F71" s="96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&lt; Enter description &gt;</v>
      </c>
      <c r="D72" s="38"/>
      <c r="F72" s="96"/>
      <c r="G72" s="209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6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6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6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6" t="s">
        <v>91</v>
      </c>
      <c r="D76" s="38"/>
      <c r="F76" s="96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6"/>
      <c r="G77" s="209">
        <f>input_dollars</f>
        <v>45291</v>
      </c>
      <c r="H77" s="31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0</v>
      </c>
      <c r="N77" s="118">
        <f t="shared" si="8"/>
        <v>0</v>
      </c>
      <c r="O77" s="118">
        <f t="shared" si="8"/>
        <v>0</v>
      </c>
      <c r="P77" s="118">
        <f t="shared" si="8"/>
        <v>0</v>
      </c>
      <c r="Q77" s="118">
        <f t="shared" si="8"/>
        <v>0</v>
      </c>
      <c r="R77" s="118">
        <f t="shared" si="8"/>
        <v>0</v>
      </c>
      <c r="S77" s="118">
        <f t="shared" si="8"/>
        <v>0</v>
      </c>
      <c r="T77" s="118">
        <f t="shared" si="8"/>
        <v>0</v>
      </c>
      <c r="U77" s="118">
        <f t="shared" si="8"/>
        <v>0</v>
      </c>
      <c r="V77" s="118">
        <f t="shared" si="8"/>
        <v>0</v>
      </c>
      <c r="W77" s="118">
        <f t="shared" si="8"/>
        <v>0</v>
      </c>
      <c r="X77" s="118">
        <f t="shared" si="8"/>
        <v>0</v>
      </c>
      <c r="Y77" s="118">
        <f t="shared" si="8"/>
        <v>0</v>
      </c>
      <c r="Z77" s="118">
        <f t="shared" si="8"/>
        <v>0</v>
      </c>
      <c r="AA77" s="118">
        <f t="shared" si="8"/>
        <v>0</v>
      </c>
      <c r="AB77" s="118">
        <f t="shared" si="8"/>
        <v>0</v>
      </c>
      <c r="AC77" s="118">
        <f t="shared" si="8"/>
        <v>0</v>
      </c>
      <c r="AD77" s="118">
        <f t="shared" si="8"/>
        <v>0</v>
      </c>
      <c r="AE77" s="118">
        <f t="shared" si="8"/>
        <v>0</v>
      </c>
      <c r="AF77" s="118">
        <f t="shared" si="8"/>
        <v>0</v>
      </c>
      <c r="AG77" s="118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6"/>
      <c r="G78" s="209">
        <f>input_dollars</f>
        <v>45291</v>
      </c>
      <c r="H78" s="31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6"/>
      <c r="G79" s="209">
        <f>input_dollars</f>
        <v>45291</v>
      </c>
      <c r="H79" s="31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0</v>
      </c>
      <c r="M80" s="175">
        <f t="shared" si="11"/>
        <v>0</v>
      </c>
      <c r="N80" s="175">
        <f t="shared" si="11"/>
        <v>0</v>
      </c>
      <c r="O80" s="175">
        <f t="shared" si="11"/>
        <v>0</v>
      </c>
      <c r="P80" s="175">
        <f t="shared" si="11"/>
        <v>0</v>
      </c>
      <c r="Q80" s="175">
        <f t="shared" si="11"/>
        <v>0</v>
      </c>
      <c r="R80" s="175">
        <f t="shared" si="11"/>
        <v>0</v>
      </c>
      <c r="S80" s="175">
        <f t="shared" si="11"/>
        <v>0</v>
      </c>
      <c r="T80" s="175">
        <f t="shared" si="11"/>
        <v>0</v>
      </c>
      <c r="U80" s="175">
        <f t="shared" si="11"/>
        <v>0</v>
      </c>
      <c r="V80" s="175">
        <f t="shared" si="11"/>
        <v>0</v>
      </c>
      <c r="W80" s="175">
        <f t="shared" si="11"/>
        <v>0</v>
      </c>
      <c r="X80" s="175">
        <f t="shared" si="11"/>
        <v>0</v>
      </c>
      <c r="Y80" s="175">
        <f t="shared" si="11"/>
        <v>0</v>
      </c>
      <c r="Z80" s="175">
        <f t="shared" si="11"/>
        <v>0</v>
      </c>
      <c r="AA80" s="175">
        <f t="shared" si="11"/>
        <v>0</v>
      </c>
      <c r="AB80" s="175">
        <f t="shared" si="11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6"/>
      <c r="G82" s="209">
        <f t="shared" ref="G82:G87" si="12">input_dollars</f>
        <v>45291</v>
      </c>
      <c r="H82" s="31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0</v>
      </c>
      <c r="N82" s="118">
        <f t="shared" si="13"/>
        <v>0</v>
      </c>
      <c r="O82" s="118">
        <f t="shared" si="13"/>
        <v>0</v>
      </c>
      <c r="P82" s="118">
        <f t="shared" si="13"/>
        <v>0</v>
      </c>
      <c r="Q82" s="118">
        <f t="shared" si="13"/>
        <v>0</v>
      </c>
      <c r="R82" s="118">
        <f t="shared" si="13"/>
        <v>0</v>
      </c>
      <c r="S82" s="118">
        <f t="shared" si="13"/>
        <v>0</v>
      </c>
      <c r="T82" s="118">
        <f t="shared" si="13"/>
        <v>0</v>
      </c>
      <c r="U82" s="118">
        <f t="shared" si="13"/>
        <v>0</v>
      </c>
      <c r="V82" s="118">
        <f t="shared" si="13"/>
        <v>0</v>
      </c>
      <c r="W82" s="118">
        <f t="shared" si="13"/>
        <v>0</v>
      </c>
      <c r="X82" s="118">
        <f t="shared" si="13"/>
        <v>0</v>
      </c>
      <c r="Y82" s="118">
        <f t="shared" si="13"/>
        <v>0</v>
      </c>
      <c r="Z82" s="118">
        <f t="shared" si="13"/>
        <v>0</v>
      </c>
      <c r="AA82" s="118">
        <f t="shared" si="13"/>
        <v>0</v>
      </c>
      <c r="AB82" s="118">
        <f t="shared" si="13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2">
      <c r="A83" s="8"/>
      <c r="B83" s="8"/>
      <c r="C83" s="4" t="s">
        <v>31</v>
      </c>
      <c r="D83" s="38"/>
      <c r="F83" s="96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6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6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9" t="s">
        <v>188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0</v>
      </c>
      <c r="M87" s="178">
        <f t="shared" si="17"/>
        <v>0</v>
      </c>
      <c r="N87" s="178">
        <f t="shared" si="17"/>
        <v>0</v>
      </c>
      <c r="O87" s="178">
        <f t="shared" si="17"/>
        <v>0</v>
      </c>
      <c r="P87" s="178">
        <f t="shared" si="17"/>
        <v>0</v>
      </c>
      <c r="Q87" s="178">
        <f t="shared" si="17"/>
        <v>0</v>
      </c>
      <c r="R87" s="178">
        <f t="shared" si="17"/>
        <v>0</v>
      </c>
      <c r="S87" s="178">
        <f t="shared" si="17"/>
        <v>0</v>
      </c>
      <c r="T87" s="178">
        <f t="shared" si="17"/>
        <v>0</v>
      </c>
      <c r="U87" s="178">
        <f t="shared" si="17"/>
        <v>0</v>
      </c>
      <c r="V87" s="178">
        <f t="shared" si="17"/>
        <v>0</v>
      </c>
      <c r="W87" s="178">
        <f t="shared" si="17"/>
        <v>0</v>
      </c>
      <c r="X87" s="178">
        <f t="shared" si="17"/>
        <v>0</v>
      </c>
      <c r="Y87" s="178">
        <f t="shared" si="17"/>
        <v>0</v>
      </c>
      <c r="Z87" s="178">
        <f t="shared" si="17"/>
        <v>0</v>
      </c>
      <c r="AA87" s="178">
        <f t="shared" si="17"/>
        <v>0</v>
      </c>
      <c r="AB87" s="178">
        <f t="shared" si="17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5"/>
      <c r="D88" s="137"/>
      <c r="E88" s="64"/>
      <c r="F88" s="139"/>
      <c r="G88" s="216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5"/>
      <c r="D89" s="137"/>
      <c r="E89" s="64"/>
      <c r="F89" s="139"/>
      <c r="G89" s="21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29"/>
      <c r="D90" s="82"/>
      <c r="E90" s="230"/>
      <c r="F90" s="231"/>
      <c r="G90" s="230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0"/>
      <c r="D91" s="230"/>
      <c r="E91" s="230"/>
      <c r="F91" s="230"/>
      <c r="G91" s="230"/>
    </row>
    <row r="92" spans="1:33" x14ac:dyDescent="0.2">
      <c r="C92" s="230"/>
      <c r="D92" s="230"/>
      <c r="E92" s="230"/>
      <c r="F92" s="230"/>
      <c r="G92" s="230"/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E105"/>
      <c r="F105"/>
      <c r="G105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 s="251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AR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130</v>
      </c>
      <c r="B3" s="5"/>
      <c r="C3" s="199" t="str">
        <f>INDEX(Assumptions!$E$14:$E$18, MATCH(A3,_xlfn.ANCHORARRAY( Assumptions!$C$14),0))</f>
        <v>Replace #2 transformer completed in 2029-2030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59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</row>
    <row r="13" spans="1:43" x14ac:dyDescent="0.2">
      <c r="C13" s="3" t="s">
        <v>17</v>
      </c>
      <c r="D13"/>
      <c r="E13" s="125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325</v>
      </c>
      <c r="D14"/>
      <c r="E14" s="147">
        <v>50</v>
      </c>
      <c r="G14" s="206">
        <f>input_dollars</f>
        <v>45291</v>
      </c>
      <c r="H14" s="148"/>
      <c r="I14" s="32">
        <f>Workings_costs!E20</f>
        <v>0</v>
      </c>
      <c r="J14" s="32">
        <f>Workings_costs!F20</f>
        <v>0</v>
      </c>
      <c r="K14" s="32">
        <f>Workings_costs!G20</f>
        <v>2142006.2666666666</v>
      </c>
      <c r="L14" s="32">
        <f>Workings_costs!H20</f>
        <v>4284012.5333333332</v>
      </c>
      <c r="M14" s="32">
        <f>Workings_costs!I20</f>
        <v>0</v>
      </c>
      <c r="N14" s="32">
        <f>Workings_costs!J20</f>
        <v>0</v>
      </c>
      <c r="O14" s="32">
        <f>Workings_costs!K20</f>
        <v>0</v>
      </c>
      <c r="P14" s="32">
        <f>Workings_costs!L20</f>
        <v>0</v>
      </c>
      <c r="Q14" s="32">
        <f>Workings_costs!M20</f>
        <v>0</v>
      </c>
      <c r="R14" s="32">
        <f>Workings_costs!N20</f>
        <v>0</v>
      </c>
      <c r="S14" s="32">
        <f>Workings_costs!O20</f>
        <v>0</v>
      </c>
      <c r="T14" s="32">
        <f>Workings_costs!P20</f>
        <v>0</v>
      </c>
      <c r="U14" s="32">
        <f>Workings_costs!Q20</f>
        <v>0</v>
      </c>
      <c r="V14" s="32">
        <f>Workings_costs!R20</f>
        <v>0</v>
      </c>
      <c r="W14" s="32">
        <f>Workings_costs!S20</f>
        <v>0</v>
      </c>
      <c r="X14" s="32">
        <f>Workings_costs!T20</f>
        <v>0</v>
      </c>
      <c r="Y14" s="32">
        <f>Workings_costs!U20</f>
        <v>0</v>
      </c>
      <c r="Z14" s="32">
        <f>Workings_costs!V20</f>
        <v>0</v>
      </c>
      <c r="AA14" s="32">
        <f>Workings_costs!W20</f>
        <v>0</v>
      </c>
      <c r="AB14" s="32">
        <f>Workings_costs!X20</f>
        <v>0</v>
      </c>
      <c r="AC14" s="32">
        <f>Workings_costs!Y20</f>
        <v>0</v>
      </c>
      <c r="AD14" s="32">
        <f>Workings_costs!Z20</f>
        <v>0</v>
      </c>
      <c r="AE14" s="32">
        <f>Workings_costs!AA20</f>
        <v>0</v>
      </c>
      <c r="AF14" s="32">
        <f>Workings_costs!AB20</f>
        <v>0</v>
      </c>
      <c r="AG14" s="32">
        <f>Workings_costs!AC20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6">
        <f>input_dollars</f>
        <v>45291</v>
      </c>
      <c r="H17" s="106"/>
      <c r="I17" s="105">
        <f t="shared" ref="I17:Q17" si="0">SUM(I14:I16)</f>
        <v>0</v>
      </c>
      <c r="J17" s="105">
        <f t="shared" si="0"/>
        <v>0</v>
      </c>
      <c r="K17" s="105">
        <f t="shared" si="0"/>
        <v>2142006.2666666666</v>
      </c>
      <c r="L17" s="105">
        <f t="shared" si="0"/>
        <v>4284012.5333333332</v>
      </c>
      <c r="M17" s="105">
        <f t="shared" si="0"/>
        <v>0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G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05">
        <f t="shared" si="1"/>
        <v>0</v>
      </c>
      <c r="AG17" s="105">
        <f t="shared" si="1"/>
        <v>0</v>
      </c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6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4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7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7"/>
      <c r="H24" s="110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7"/>
      <c r="E25" s="110"/>
      <c r="F25" s="110"/>
      <c r="G25" s="207"/>
      <c r="H25" s="110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7"/>
      <c r="E26" s="110"/>
      <c r="F26" s="110"/>
      <c r="G26" s="207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2">
        <f>Assumptions!H41*vcr_esc</f>
        <v>35599.455554362678</v>
      </c>
      <c r="F28" s="237" t="str">
        <f>IF(AND(SUM(I27:AG27)&lt;&gt;0, E28=0), "!", "")</f>
        <v/>
      </c>
      <c r="G28" s="206">
        <f>input_dollars</f>
        <v>45291</v>
      </c>
      <c r="H28"/>
      <c r="I28" s="32">
        <f>Workings_risks!E23</f>
        <v>658521.46054253797</v>
      </c>
      <c r="J28" s="32">
        <f>Workings_risks!F23</f>
        <v>684771.2791440828</v>
      </c>
      <c r="K28" s="32">
        <f>Workings_risks!G23</f>
        <v>715333.70269178669</v>
      </c>
      <c r="L28" s="32">
        <f>Workings_risks!H23</f>
        <v>750991.75556090905</v>
      </c>
      <c r="M28" s="32">
        <f>Workings_risks!I23</f>
        <v>21901.963271019566</v>
      </c>
      <c r="N28" s="32">
        <f>Workings_risks!J23</f>
        <v>40861.842264481784</v>
      </c>
      <c r="O28" s="32">
        <f>Workings_risks!K23</f>
        <v>60217.309184131154</v>
      </c>
      <c r="P28" s="32">
        <f>Workings_risks!L23</f>
        <v>80542.063155789103</v>
      </c>
      <c r="Q28" s="32">
        <f>Workings_risks!M23</f>
        <v>99962.804741500498</v>
      </c>
      <c r="R28" s="32">
        <f>Workings_risks!N23</f>
        <v>118124.84060921417</v>
      </c>
      <c r="S28" s="32">
        <f>Workings_risks!O23</f>
        <v>136261.59670744225</v>
      </c>
      <c r="T28" s="32">
        <f>Workings_risks!P23</f>
        <v>154427.57960244382</v>
      </c>
      <c r="U28" s="32">
        <f>Workings_risks!Q23</f>
        <v>172661.47632264427</v>
      </c>
      <c r="V28" s="32">
        <f>Workings_risks!R23</f>
        <v>190991.83688473838</v>
      </c>
      <c r="W28" s="32">
        <f>Workings_risks!S23</f>
        <v>209440.36337593116</v>
      </c>
      <c r="X28" s="32">
        <f>Workings_risks!T23</f>
        <v>228023.93860086234</v>
      </c>
      <c r="Y28" s="32">
        <f>Workings_risks!U23</f>
        <v>246755.94114255102</v>
      </c>
      <c r="Z28" s="32">
        <f>Workings_risks!V23</f>
        <v>265647.13270104333</v>
      </c>
      <c r="AA28" s="32">
        <f>Workings_risks!W23</f>
        <v>284706.2769134916</v>
      </c>
      <c r="AB28" s="32">
        <f>Workings_risks!X23</f>
        <v>303940.58301590837</v>
      </c>
      <c r="AC28" s="32">
        <f>Workings_risks!Y23</f>
        <v>323356.03149721422</v>
      </c>
      <c r="AD28" s="32">
        <f>Workings_risks!Z23</f>
        <v>342957.61802483012</v>
      </c>
      <c r="AE28" s="32">
        <f>Workings_risks!AA23</f>
        <v>362749.53940090875</v>
      </c>
      <c r="AF28" s="32">
        <f>Workings_risks!AB23</f>
        <v>382735.33753534837</v>
      </c>
      <c r="AG28" s="32">
        <f>Workings_risks!AC23</f>
        <v>402918.0124496842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'Option1 (base case)'!C30</f>
        <v>Safety risk</v>
      </c>
      <c r="D30" s="204" t="s">
        <v>208</v>
      </c>
      <c r="G30" s="206">
        <f>input_dollars</f>
        <v>45291</v>
      </c>
      <c r="H30" s="148"/>
      <c r="I30" s="32">
        <f>Workings_risks!E24</f>
        <v>558.94147449060438</v>
      </c>
      <c r="J30" s="32">
        <f>Workings_risks!F24</f>
        <v>574.10768182484969</v>
      </c>
      <c r="K30" s="32">
        <f>Workings_risks!G24</f>
        <v>589.44068446244296</v>
      </c>
      <c r="L30" s="32">
        <f>Workings_risks!H24</f>
        <v>604.93970835695484</v>
      </c>
      <c r="M30" s="32">
        <f>Workings_risks!I24</f>
        <v>310.54603704853218</v>
      </c>
      <c r="N30" s="32">
        <f>Workings_risks!J24</f>
        <v>319.00928163363108</v>
      </c>
      <c r="O30" s="32">
        <f>Workings_risks!K24</f>
        <v>327.7923566591395</v>
      </c>
      <c r="P30" s="32">
        <f>Workings_risks!L24</f>
        <v>336.86661086063691</v>
      </c>
      <c r="Q30" s="32">
        <f>Workings_risks!M24</f>
        <v>346.21404190895419</v>
      </c>
      <c r="R30" s="32">
        <f>Workings_risks!N24</f>
        <v>355.82173875960825</v>
      </c>
      <c r="S30" s="32">
        <f>Workings_risks!O24</f>
        <v>365.67974398503236</v>
      </c>
      <c r="T30" s="32">
        <f>Workings_risks!P24</f>
        <v>375.78001194856381</v>
      </c>
      <c r="U30" s="32">
        <f>Workings_risks!Q24</f>
        <v>386.11582664761158</v>
      </c>
      <c r="V30" s="32">
        <f>Workings_risks!R24</f>
        <v>396.68144536462353</v>
      </c>
      <c r="W30" s="32">
        <f>Workings_risks!S24</f>
        <v>407.47186572512351</v>
      </c>
      <c r="X30" s="32">
        <f>Workings_risks!T24</f>
        <v>418.48266564454917</v>
      </c>
      <c r="Y30" s="32">
        <f>Workings_risks!U24</f>
        <v>429.70988895982811</v>
      </c>
      <c r="Z30" s="32">
        <f>Workings_risks!V24</f>
        <v>441.14996107387765</v>
      </c>
      <c r="AA30" s="32">
        <f>Workings_risks!W24</f>
        <v>452.79962508611294</v>
      </c>
      <c r="AB30" s="32">
        <f>Workings_risks!X24</f>
        <v>464.65589235733717</v>
      </c>
      <c r="AC30" s="32">
        <f>Workings_risks!Y24</f>
        <v>476.71600352147681</v>
      </c>
      <c r="AD30" s="32">
        <f>Workings_risks!Z24</f>
        <v>488.97739723375309</v>
      </c>
      <c r="AE30" s="32">
        <f>Workings_risks!AA24</f>
        <v>488.97739723375309</v>
      </c>
      <c r="AF30" s="32">
        <f>Workings_risks!AB24</f>
        <v>488.97739723375309</v>
      </c>
      <c r="AG30" s="32">
        <f>Workings_risks!AC24</f>
        <v>488.97739723375309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'Option1 (base case)'!C31</f>
        <v>Unplanned replacement risk</v>
      </c>
      <c r="D31" s="205"/>
      <c r="E31"/>
      <c r="G31" s="206">
        <f>input_dollars</f>
        <v>45291</v>
      </c>
      <c r="H31" s="148"/>
      <c r="I31" s="32">
        <f>Workings_risks!E25</f>
        <v>24285.357871907087</v>
      </c>
      <c r="J31" s="32">
        <f>Workings_risks!F25</f>
        <v>24944.311965459296</v>
      </c>
      <c r="K31" s="32">
        <f>Workings_risks!G25</f>
        <v>25610.513121213942</v>
      </c>
      <c r="L31" s="32">
        <f>Workings_risks!H25</f>
        <v>26283.927707752711</v>
      </c>
      <c r="M31" s="32">
        <f>Workings_risks!I25</f>
        <v>13492.864619322312</v>
      </c>
      <c r="N31" s="32">
        <f>Workings_risks!J25</f>
        <v>13860.582766725705</v>
      </c>
      <c r="O31" s="32">
        <f>Workings_risks!K25</f>
        <v>14242.197175290887</v>
      </c>
      <c r="P31" s="32">
        <f>Workings_risks!L25</f>
        <v>14636.462980856411</v>
      </c>
      <c r="Q31" s="32">
        <f>Workings_risks!M25</f>
        <v>15042.598003129084</v>
      </c>
      <c r="R31" s="32">
        <f>Workings_risks!N25</f>
        <v>15460.041272221921</v>
      </c>
      <c r="S31" s="32">
        <f>Workings_risks!O25</f>
        <v>15888.360149472421</v>
      </c>
      <c r="T31" s="32">
        <f>Workings_risks!P25</f>
        <v>16327.205061312368</v>
      </c>
      <c r="U31" s="32">
        <f>Workings_risks!Q25</f>
        <v>16776.284205229629</v>
      </c>
      <c r="V31" s="32">
        <f>Workings_risks!R25</f>
        <v>17235.348066816568</v>
      </c>
      <c r="W31" s="32">
        <f>Workings_risks!S25</f>
        <v>17704.179298712315</v>
      </c>
      <c r="X31" s="32">
        <f>Workings_risks!T25</f>
        <v>18182.585766478762</v>
      </c>
      <c r="Y31" s="32">
        <f>Workings_risks!U25</f>
        <v>18670.395579425374</v>
      </c>
      <c r="Z31" s="32">
        <f>Workings_risks!V25</f>
        <v>19167.453425460721</v>
      </c>
      <c r="AA31" s="32">
        <f>Workings_risks!W25</f>
        <v>19673.617796037172</v>
      </c>
      <c r="AB31" s="32">
        <f>Workings_risks!X25</f>
        <v>20188.758838252852</v>
      </c>
      <c r="AC31" s="32">
        <f>Workings_risks!Y25</f>
        <v>20712.756660856794</v>
      </c>
      <c r="AD31" s="32">
        <f>Workings_risks!Z25</f>
        <v>21245.499976393286</v>
      </c>
      <c r="AE31" s="32">
        <f>Workings_risks!AA25</f>
        <v>21245.499976393286</v>
      </c>
      <c r="AF31" s="32">
        <f>Workings_risks!AB25</f>
        <v>21245.499976393286</v>
      </c>
      <c r="AG31" s="32">
        <f>Workings_risks!AC25</f>
        <v>21245.499976393286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'Option1 (base case)'!C32</f>
        <v>Unplanned fault risk</v>
      </c>
      <c r="D32" s="204"/>
      <c r="E32"/>
      <c r="G32" s="206">
        <f>input_dollars</f>
        <v>45291</v>
      </c>
      <c r="H32"/>
      <c r="I32" s="32">
        <f>Workings_risks!E26</f>
        <v>2102.5077138073384</v>
      </c>
      <c r="J32" s="32">
        <f>Workings_risks!F26</f>
        <v>2159.5567419520344</v>
      </c>
      <c r="K32" s="32">
        <f>Workings_risks!G26</f>
        <v>2217.2331853591872</v>
      </c>
      <c r="L32" s="32">
        <f>Workings_risks!H26</f>
        <v>2275.534132384802</v>
      </c>
      <c r="M32" s="32">
        <f>Workings_risks!I26</f>
        <v>1168.1463412280991</v>
      </c>
      <c r="N32" s="32">
        <f>Workings_risks!J26</f>
        <v>1199.981583084548</v>
      </c>
      <c r="O32" s="32">
        <f>Workings_risks!K26</f>
        <v>1233.0198953853298</v>
      </c>
      <c r="P32" s="32">
        <f>Workings_risks!L26</f>
        <v>1267.1535038692673</v>
      </c>
      <c r="Q32" s="32">
        <f>Workings_risks!M26</f>
        <v>1302.3146911854892</v>
      </c>
      <c r="R32" s="32">
        <f>Workings_risks!N26</f>
        <v>1338.4548913000579</v>
      </c>
      <c r="S32" s="32">
        <f>Workings_risks!O26</f>
        <v>1375.536648469888</v>
      </c>
      <c r="T32" s="32">
        <f>Workings_risks!P26</f>
        <v>1413.5296983221995</v>
      </c>
      <c r="U32" s="32">
        <f>Workings_risks!Q26</f>
        <v>1452.4087780201874</v>
      </c>
      <c r="V32" s="32">
        <f>Workings_risks!R26</f>
        <v>1492.1522858246672</v>
      </c>
      <c r="W32" s="32">
        <f>Workings_risks!S26</f>
        <v>1532.7414048623104</v>
      </c>
      <c r="X32" s="32">
        <f>Workings_risks!T26</f>
        <v>1574.1595010715423</v>
      </c>
      <c r="Y32" s="32">
        <f>Workings_risks!U26</f>
        <v>1616.3916929956151</v>
      </c>
      <c r="Z32" s="32">
        <f>Workings_risks!V26</f>
        <v>1659.4245344719473</v>
      </c>
      <c r="AA32" s="32">
        <f>Workings_risks!W26</f>
        <v>1703.2457743813864</v>
      </c>
      <c r="AB32" s="32">
        <f>Workings_risks!X26</f>
        <v>1747.844170693681</v>
      </c>
      <c r="AC32" s="32">
        <f>Workings_risks!Y26</f>
        <v>1793.2093438096795</v>
      </c>
      <c r="AD32" s="32">
        <f>Workings_risks!Z26</f>
        <v>1839.3316590048153</v>
      </c>
      <c r="AE32" s="32">
        <f>Workings_risks!AA26</f>
        <v>1839.3316590048153</v>
      </c>
      <c r="AF32" s="32">
        <f>Workings_risks!AB26</f>
        <v>1839.3316590048153</v>
      </c>
      <c r="AG32" s="32">
        <f>Workings_risks!AC26</f>
        <v>1839.3316590048153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'Option1 (base case)'!C33</f>
        <v>Enviromental risk</v>
      </c>
      <c r="D33" s="204" t="s">
        <v>208</v>
      </c>
      <c r="E33"/>
      <c r="G33" s="206">
        <f>input_dollars</f>
        <v>45291</v>
      </c>
      <c r="H33"/>
      <c r="I33" s="32">
        <f>Workings_risks!E27</f>
        <v>13512.5</v>
      </c>
      <c r="J33" s="32">
        <f>Workings_risks!F27</f>
        <v>13512.5</v>
      </c>
      <c r="K33" s="32">
        <f>Workings_risks!G27</f>
        <v>13512.5</v>
      </c>
      <c r="L33" s="32">
        <f>Workings_risks!H27</f>
        <v>13512.5</v>
      </c>
      <c r="M33" s="32">
        <f>Workings_risks!I27</f>
        <v>7050</v>
      </c>
      <c r="N33" s="32">
        <f>Workings_risks!J27</f>
        <v>7050</v>
      </c>
      <c r="O33" s="32">
        <f>Workings_risks!K27</f>
        <v>7050</v>
      </c>
      <c r="P33" s="32">
        <f>Workings_risks!L27</f>
        <v>7050</v>
      </c>
      <c r="Q33" s="32">
        <f>Workings_risks!M27</f>
        <v>7050</v>
      </c>
      <c r="R33" s="32">
        <f>Workings_risks!N27</f>
        <v>7050</v>
      </c>
      <c r="S33" s="32">
        <f>Workings_risks!O27</f>
        <v>7050</v>
      </c>
      <c r="T33" s="32">
        <f>Workings_risks!P27</f>
        <v>7050</v>
      </c>
      <c r="U33" s="32">
        <f>Workings_risks!Q27</f>
        <v>7050</v>
      </c>
      <c r="V33" s="32">
        <f>Workings_risks!R27</f>
        <v>7050</v>
      </c>
      <c r="W33" s="32">
        <f>Workings_risks!S27</f>
        <v>7050</v>
      </c>
      <c r="X33" s="32">
        <f>Workings_risks!T27</f>
        <v>7050</v>
      </c>
      <c r="Y33" s="32">
        <f>Workings_risks!U27</f>
        <v>7050</v>
      </c>
      <c r="Z33" s="32">
        <f>Workings_risks!V27</f>
        <v>7050</v>
      </c>
      <c r="AA33" s="32">
        <f>Workings_risks!W27</f>
        <v>7050</v>
      </c>
      <c r="AB33" s="32">
        <f>Workings_risks!X27</f>
        <v>7050</v>
      </c>
      <c r="AC33" s="32">
        <f>Workings_risks!Y27</f>
        <v>7050</v>
      </c>
      <c r="AD33" s="32">
        <f>Workings_risks!Z27</f>
        <v>7050</v>
      </c>
      <c r="AE33" s="32">
        <f>Workings_risks!AA27</f>
        <v>7050</v>
      </c>
      <c r="AF33" s="32">
        <f>Workings_risks!AB27</f>
        <v>7050</v>
      </c>
      <c r="AG33" s="32">
        <f>Workings_risks!AC27</f>
        <v>7050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173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6"/>
      <c r="F36" s="3"/>
      <c r="G36" s="208"/>
      <c r="H36" s="106"/>
      <c r="I36" s="169">
        <f>SUM(I28:I34)</f>
        <v>698980.76760274288</v>
      </c>
      <c r="J36" s="169">
        <f t="shared" ref="J36:AG36" si="2">SUM(J28:J34)</f>
        <v>725961.75553331897</v>
      </c>
      <c r="K36" s="169">
        <f t="shared" si="2"/>
        <v>757263.38968282228</v>
      </c>
      <c r="L36" s="169">
        <f t="shared" si="2"/>
        <v>793668.65710940352</v>
      </c>
      <c r="M36" s="169">
        <f t="shared" si="2"/>
        <v>43923.520268618508</v>
      </c>
      <c r="N36" s="169">
        <f t="shared" si="2"/>
        <v>63291.415895925667</v>
      </c>
      <c r="O36" s="169">
        <f t="shared" si="2"/>
        <v>83070.318611466515</v>
      </c>
      <c r="P36" s="169">
        <f t="shared" si="2"/>
        <v>103832.54625137542</v>
      </c>
      <c r="Q36" s="169">
        <f t="shared" si="2"/>
        <v>123703.93147772402</v>
      </c>
      <c r="R36" s="169">
        <f t="shared" si="2"/>
        <v>142329.15851149577</v>
      </c>
      <c r="S36" s="169">
        <f t="shared" si="2"/>
        <v>160941.1732493696</v>
      </c>
      <c r="T36" s="169">
        <f t="shared" si="2"/>
        <v>179594.09437402696</v>
      </c>
      <c r="U36" s="169">
        <f t="shared" si="2"/>
        <v>198326.2851325417</v>
      </c>
      <c r="V36" s="169">
        <f t="shared" si="2"/>
        <v>217166.01868274427</v>
      </c>
      <c r="W36" s="169">
        <f t="shared" si="2"/>
        <v>236134.75594523092</v>
      </c>
      <c r="X36" s="169">
        <f t="shared" si="2"/>
        <v>255249.16653405721</v>
      </c>
      <c r="Y36" s="169">
        <f t="shared" si="2"/>
        <v>274522.43830393185</v>
      </c>
      <c r="Z36" s="169">
        <f t="shared" si="2"/>
        <v>293965.16062204988</v>
      </c>
      <c r="AA36" s="169">
        <f t="shared" si="2"/>
        <v>313585.94010899629</v>
      </c>
      <c r="AB36" s="169">
        <f t="shared" si="2"/>
        <v>333391.84191721224</v>
      </c>
      <c r="AC36" s="169">
        <f t="shared" si="2"/>
        <v>353388.71350540215</v>
      </c>
      <c r="AD36" s="169">
        <f t="shared" si="2"/>
        <v>373581.42705746199</v>
      </c>
      <c r="AE36" s="169">
        <f t="shared" si="2"/>
        <v>393373.34843354061</v>
      </c>
      <c r="AF36" s="169">
        <f t="shared" si="2"/>
        <v>413359.14656798023</v>
      </c>
      <c r="AG36" s="169">
        <f t="shared" si="2"/>
        <v>433541.82148231607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4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2">
        <f>Assumptions!G94</f>
        <v>0</v>
      </c>
      <c r="G45" s="206" t="s">
        <v>40</v>
      </c>
      <c r="I45" s="322">
        <v>0</v>
      </c>
      <c r="J45" s="322">
        <v>0</v>
      </c>
      <c r="K45" s="322">
        <v>0</v>
      </c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2">
        <v>0</v>
      </c>
      <c r="R45" s="322">
        <v>0</v>
      </c>
      <c r="S45" s="322">
        <v>0</v>
      </c>
      <c r="T45" s="322">
        <v>0</v>
      </c>
      <c r="U45" s="322">
        <v>0</v>
      </c>
      <c r="V45" s="322">
        <v>0</v>
      </c>
      <c r="W45" s="322">
        <v>0</v>
      </c>
      <c r="X45" s="322">
        <v>0</v>
      </c>
      <c r="Y45" s="322">
        <v>0</v>
      </c>
      <c r="Z45" s="322">
        <v>0</v>
      </c>
      <c r="AA45" s="322">
        <v>0</v>
      </c>
      <c r="AB45" s="322">
        <v>0</v>
      </c>
      <c r="AC45" s="322">
        <v>0</v>
      </c>
      <c r="AD45" s="322">
        <v>0</v>
      </c>
      <c r="AE45" s="322">
        <v>0</v>
      </c>
      <c r="AF45" s="322">
        <v>0</v>
      </c>
      <c r="AG45" s="322">
        <v>0</v>
      </c>
    </row>
    <row r="46" spans="1:16372" x14ac:dyDescent="0.2">
      <c r="C46" s="1" t="s">
        <v>4</v>
      </c>
      <c r="D46" s="204" t="s">
        <v>63</v>
      </c>
      <c r="E46" s="112">
        <f>Assumptions!G95</f>
        <v>0</v>
      </c>
      <c r="G46" s="206" t="s">
        <v>40</v>
      </c>
      <c r="I46" s="322">
        <v>0</v>
      </c>
      <c r="J46" s="322">
        <v>0</v>
      </c>
      <c r="K46" s="322">
        <v>0</v>
      </c>
      <c r="L46" s="322">
        <v>0</v>
      </c>
      <c r="M46" s="322">
        <v>0</v>
      </c>
      <c r="N46" s="322">
        <v>0</v>
      </c>
      <c r="O46" s="322">
        <v>0</v>
      </c>
      <c r="P46" s="322">
        <v>0</v>
      </c>
      <c r="Q46" s="322">
        <v>0</v>
      </c>
      <c r="R46" s="322">
        <v>0</v>
      </c>
      <c r="S46" s="322">
        <v>0</v>
      </c>
      <c r="T46" s="322">
        <v>0</v>
      </c>
      <c r="U46" s="322">
        <v>0</v>
      </c>
      <c r="V46" s="322">
        <v>0</v>
      </c>
      <c r="W46" s="322">
        <v>0</v>
      </c>
      <c r="X46" s="322">
        <v>0</v>
      </c>
      <c r="Y46" s="322">
        <v>0</v>
      </c>
      <c r="Z46" s="322">
        <v>0</v>
      </c>
      <c r="AA46" s="322">
        <v>0</v>
      </c>
      <c r="AB46" s="322">
        <v>0</v>
      </c>
      <c r="AC46" s="322">
        <v>0</v>
      </c>
      <c r="AD46" s="322">
        <v>0</v>
      </c>
      <c r="AE46" s="322">
        <v>0</v>
      </c>
      <c r="AF46" s="322">
        <v>0</v>
      </c>
      <c r="AG46" s="322">
        <v>0</v>
      </c>
    </row>
    <row r="47" spans="1:16372" x14ac:dyDescent="0.2">
      <c r="C47" s="1" t="s">
        <v>5</v>
      </c>
      <c r="D47" s="204" t="s">
        <v>63</v>
      </c>
      <c r="E47" s="112">
        <f>Assumptions!G96</f>
        <v>4220.9953699573898</v>
      </c>
      <c r="G47" s="206" t="s">
        <v>40</v>
      </c>
      <c r="I47" s="322">
        <v>0</v>
      </c>
      <c r="J47" s="322">
        <v>0</v>
      </c>
      <c r="K47" s="322">
        <v>0</v>
      </c>
      <c r="L47" s="322">
        <v>0</v>
      </c>
      <c r="M47" s="322">
        <v>0</v>
      </c>
      <c r="N47" s="322">
        <v>0</v>
      </c>
      <c r="O47" s="322">
        <v>0</v>
      </c>
      <c r="P47" s="322">
        <v>0</v>
      </c>
      <c r="Q47" s="322">
        <v>0</v>
      </c>
      <c r="R47" s="322">
        <v>0</v>
      </c>
      <c r="S47" s="322">
        <v>0</v>
      </c>
      <c r="T47" s="322">
        <v>0</v>
      </c>
      <c r="U47" s="322">
        <v>0</v>
      </c>
      <c r="V47" s="322">
        <v>0</v>
      </c>
      <c r="W47" s="322">
        <v>0</v>
      </c>
      <c r="X47" s="322">
        <v>0</v>
      </c>
      <c r="Y47" s="322">
        <v>0</v>
      </c>
      <c r="Z47" s="322">
        <v>0</v>
      </c>
      <c r="AA47" s="322">
        <v>0</v>
      </c>
      <c r="AB47" s="322">
        <v>0</v>
      </c>
      <c r="AC47" s="322">
        <v>0</v>
      </c>
      <c r="AD47" s="322">
        <v>0</v>
      </c>
      <c r="AE47" s="322">
        <v>0</v>
      </c>
      <c r="AF47" s="322">
        <v>0</v>
      </c>
      <c r="AG47" s="322">
        <v>0</v>
      </c>
    </row>
    <row r="48" spans="1:16372" x14ac:dyDescent="0.2">
      <c r="C48" s="1" t="s">
        <v>15</v>
      </c>
      <c r="D48" s="204" t="s">
        <v>126</v>
      </c>
      <c r="E48" s="111">
        <f>Assumptions!G97</f>
        <v>0</v>
      </c>
      <c r="G48" s="206" t="s">
        <v>205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322">
        <v>0</v>
      </c>
      <c r="O48" s="322">
        <v>0</v>
      </c>
      <c r="P48" s="322">
        <v>0</v>
      </c>
      <c r="Q48" s="322">
        <v>0</v>
      </c>
      <c r="R48" s="322">
        <v>0</v>
      </c>
      <c r="S48" s="322">
        <v>0</v>
      </c>
      <c r="T48" s="322">
        <v>0</v>
      </c>
      <c r="U48" s="322">
        <v>0</v>
      </c>
      <c r="V48" s="322">
        <v>0</v>
      </c>
      <c r="W48" s="322">
        <v>0</v>
      </c>
      <c r="X48" s="322">
        <v>0</v>
      </c>
      <c r="Y48" s="322">
        <v>0</v>
      </c>
      <c r="Z48" s="322">
        <v>0</v>
      </c>
      <c r="AA48" s="322">
        <v>0</v>
      </c>
      <c r="AB48" s="322">
        <v>0</v>
      </c>
      <c r="AC48" s="322">
        <v>0</v>
      </c>
      <c r="AD48" s="322">
        <v>0</v>
      </c>
      <c r="AE48" s="322">
        <v>0</v>
      </c>
      <c r="AF48" s="322">
        <v>0</v>
      </c>
      <c r="AG48" s="322">
        <v>0</v>
      </c>
    </row>
    <row r="49" spans="1:43" x14ac:dyDescent="0.2">
      <c r="C49" s="1" t="s">
        <v>9</v>
      </c>
      <c r="D49" s="204" t="s">
        <v>206</v>
      </c>
      <c r="E49" s="111">
        <f>Assumptions!G98</f>
        <v>0.54769380678923496</v>
      </c>
      <c r="G49" s="206" t="s">
        <v>207</v>
      </c>
      <c r="I49" s="322">
        <v>0</v>
      </c>
      <c r="J49" s="322">
        <v>0</v>
      </c>
      <c r="K49" s="322">
        <v>0</v>
      </c>
      <c r="L49" s="322">
        <v>0</v>
      </c>
      <c r="M49" s="322">
        <v>0</v>
      </c>
      <c r="N49" s="322">
        <v>0</v>
      </c>
      <c r="O49" s="322">
        <v>0</v>
      </c>
      <c r="P49" s="322">
        <v>0</v>
      </c>
      <c r="Q49" s="322">
        <v>0</v>
      </c>
      <c r="R49" s="322">
        <v>0</v>
      </c>
      <c r="S49" s="322">
        <v>0</v>
      </c>
      <c r="T49" s="322">
        <v>0</v>
      </c>
      <c r="U49" s="322">
        <v>0</v>
      </c>
      <c r="V49" s="322">
        <v>0</v>
      </c>
      <c r="W49" s="322">
        <v>0</v>
      </c>
      <c r="X49" s="322">
        <v>0</v>
      </c>
      <c r="Y49" s="322">
        <v>0</v>
      </c>
      <c r="Z49" s="322">
        <v>0</v>
      </c>
      <c r="AA49" s="322">
        <v>0</v>
      </c>
      <c r="AB49" s="322">
        <v>0</v>
      </c>
      <c r="AC49" s="322">
        <v>0</v>
      </c>
      <c r="AD49" s="322">
        <v>0</v>
      </c>
      <c r="AE49" s="322">
        <v>0</v>
      </c>
      <c r="AF49" s="322">
        <v>0</v>
      </c>
      <c r="AG49" s="322">
        <v>0</v>
      </c>
    </row>
    <row r="50" spans="1:43" x14ac:dyDescent="0.2">
      <c r="C50" s="1" t="s">
        <v>10</v>
      </c>
      <c r="D50" s="204" t="s">
        <v>206</v>
      </c>
      <c r="E50" s="111">
        <f>Assumptions!G99</f>
        <v>0.54769380678923496</v>
      </c>
      <c r="G50" s="206" t="s">
        <v>207</v>
      </c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2">
        <v>0</v>
      </c>
      <c r="R50" s="322">
        <v>0</v>
      </c>
      <c r="S50" s="322">
        <v>0</v>
      </c>
      <c r="T50" s="322">
        <v>0</v>
      </c>
      <c r="U50" s="322">
        <v>0</v>
      </c>
      <c r="V50" s="322">
        <v>0</v>
      </c>
      <c r="W50" s="322">
        <v>0</v>
      </c>
      <c r="X50" s="322">
        <v>0</v>
      </c>
      <c r="Y50" s="322">
        <v>0</v>
      </c>
      <c r="Z50" s="322">
        <v>0</v>
      </c>
      <c r="AA50" s="322">
        <v>0</v>
      </c>
      <c r="AB50" s="322">
        <v>0</v>
      </c>
      <c r="AC50" s="322">
        <v>0</v>
      </c>
      <c r="AD50" s="322">
        <v>0</v>
      </c>
      <c r="AE50" s="322">
        <v>0</v>
      </c>
      <c r="AF50" s="322">
        <v>0</v>
      </c>
      <c r="AG50" s="322">
        <v>0</v>
      </c>
    </row>
    <row r="51" spans="1:43" x14ac:dyDescent="0.2">
      <c r="C51" s="1" t="s">
        <v>6</v>
      </c>
      <c r="D51" s="204" t="s">
        <v>126</v>
      </c>
      <c r="E51" s="111">
        <f>Assumptions!G100</f>
        <v>0</v>
      </c>
      <c r="G51" s="206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1">
        <f>Assumptions!G101</f>
        <v>0</v>
      </c>
      <c r="G52" s="206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323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6"/>
      <c r="F57" s="3"/>
      <c r="G57" s="209">
        <f>input_dollars</f>
        <v>45291</v>
      </c>
      <c r="H57" s="106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7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6.9849193096160889E-10</v>
      </c>
      <c r="M64" s="131">
        <f>(1-INDEX(Data!$C$9:$C$13, MATCH($A$3, options,0)))*('Option1 (base case)'!M36-M36)</f>
        <v>783476.3547129354</v>
      </c>
      <c r="N64" s="131">
        <f>(1-INDEX(Data!$C$9:$C$13, MATCH($A$3, options,0)))*('Option1 (base case)'!N36-N36)</f>
        <v>802637.45492106804</v>
      </c>
      <c r="O64" s="131">
        <f>(1-INDEX(Data!$C$9:$C$13, MATCH($A$3, options,0)))*('Option1 (base case)'!O36-O36)</f>
        <v>830558.13843882375</v>
      </c>
      <c r="P64" s="131">
        <f>(1-INDEX(Data!$C$9:$C$13, MATCH($A$3, options,0)))*('Option1 (base case)'!P36-P36)</f>
        <v>862938.27739259275</v>
      </c>
      <c r="Q64" s="131">
        <f>(1-INDEX(Data!$C$9:$C$13, MATCH($A$3, options,0)))*('Option1 (base case)'!Q36-Q36)</f>
        <v>879929.23228078324</v>
      </c>
      <c r="R64" s="131">
        <f>(1-INDEX(Data!$C$9:$C$13, MATCH($A$3, options,0)))*('Option1 (base case)'!R36-R36)</f>
        <v>885229.3615345034</v>
      </c>
      <c r="S64" s="131">
        <f>(1-INDEX(Data!$C$9:$C$13, MATCH($A$3, options,0)))*('Option1 (base case)'!S36-S36)</f>
        <v>890781.29176663875</v>
      </c>
      <c r="T64" s="131">
        <f>(1-INDEX(Data!$C$9:$C$13, MATCH($A$3, options,0)))*('Option1 (base case)'!T36-T36)</f>
        <v>896530.07974148297</v>
      </c>
      <c r="U64" s="131">
        <f>(1-INDEX(Data!$C$9:$C$13, MATCH($A$3, options,0)))*('Option1 (base case)'!U36-U36)</f>
        <v>902436.55528473656</v>
      </c>
      <c r="V64" s="131">
        <f>(1-INDEX(Data!$C$9:$C$13, MATCH($A$3, options,0)))*('Option1 (base case)'!V36-V36)</f>
        <v>908471.65541054716</v>
      </c>
      <c r="W64" s="131">
        <f>(1-INDEX(Data!$C$9:$C$13, MATCH($A$3, options,0)))*('Option1 (base case)'!W36-W36)</f>
        <v>914613.14596573438</v>
      </c>
      <c r="X64" s="131">
        <f>(1-INDEX(Data!$C$9:$C$13, MATCH($A$3, options,0)))*('Option1 (base case)'!X36-X36)</f>
        <v>920843.60021690989</v>
      </c>
      <c r="Y64" s="131">
        <f>(1-INDEX(Data!$C$9:$C$13, MATCH($A$3, options,0)))*('Option1 (base case)'!Y36-Y36)</f>
        <v>927149.08884146507</v>
      </c>
      <c r="Z64" s="131">
        <f>(1-INDEX(Data!$C$9:$C$13, MATCH($A$3, options,0)))*('Option1 (base case)'!Z36-Z36)</f>
        <v>933518.29621317401</v>
      </c>
      <c r="AA64" s="131">
        <f>(1-INDEX(Data!$C$9:$C$13, MATCH($A$3, options,0)))*('Option1 (base case)'!AA36-AA36)</f>
        <v>939941.90423696139</v>
      </c>
      <c r="AB64" s="131">
        <f>(1-INDEX(Data!$C$9:$C$13, MATCH($A$3, options,0)))*('Option1 (base case)'!AB36-AB36)</f>
        <v>946412.15066334826</v>
      </c>
      <c r="AC64" s="131">
        <f>(1-INDEX(Data!$C$9:$C$13, MATCH($A$3, options,0)))*('Option1 (base case)'!AC36-AC36)</f>
        <v>952922.50492331618</v>
      </c>
      <c r="AD64" s="131">
        <f>(1-INDEX(Data!$C$9:$C$13, MATCH($A$3, options,0)))*('Option1 (base case)'!AD36-AD36)</f>
        <v>959467.42533414206</v>
      </c>
      <c r="AE64" s="131">
        <f>(1-INDEX(Data!$C$9:$C$13, MATCH($A$3, options,0)))*('Option1 (base case)'!AE36-AE36)</f>
        <v>965749.83837024448</v>
      </c>
      <c r="AF64" s="131">
        <f>(1-INDEX(Data!$C$9:$C$13, MATCH($A$3, options,0)))*('Option1 (base case)'!AF36-AF36)</f>
        <v>972060.09815237881</v>
      </c>
      <c r="AG64" s="131">
        <f>(1-INDEX(Data!$C$9:$C$13, MATCH($A$3, options,0)))*('Option1 (base case)'!AG36-AG36)</f>
        <v>978394.5997546094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6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Replace 1 transformer</v>
      </c>
      <c r="D67" s="38"/>
      <c r="F67" s="96"/>
      <c r="G67" s="209">
        <f>input_dollars</f>
        <v>45291</v>
      </c>
      <c r="H67" s="31"/>
      <c r="I67" s="118">
        <f t="shared" ref="I67:AG67" si="4">-I14</f>
        <v>0</v>
      </c>
      <c r="J67" s="118">
        <f t="shared" si="4"/>
        <v>0</v>
      </c>
      <c r="K67" s="118">
        <f t="shared" si="4"/>
        <v>-2142006.2666666666</v>
      </c>
      <c r="L67" s="118">
        <f t="shared" si="4"/>
        <v>-4284012.5333333332</v>
      </c>
      <c r="M67" s="118">
        <f t="shared" si="4"/>
        <v>0</v>
      </c>
      <c r="N67" s="118">
        <f t="shared" si="4"/>
        <v>0</v>
      </c>
      <c r="O67" s="118">
        <f t="shared" si="4"/>
        <v>0</v>
      </c>
      <c r="P67" s="118">
        <f t="shared" si="4"/>
        <v>0</v>
      </c>
      <c r="Q67" s="118">
        <f t="shared" si="4"/>
        <v>0</v>
      </c>
      <c r="R67" s="118">
        <f t="shared" si="4"/>
        <v>0</v>
      </c>
      <c r="S67" s="118">
        <f t="shared" si="4"/>
        <v>0</v>
      </c>
      <c r="T67" s="118">
        <f t="shared" si="4"/>
        <v>0</v>
      </c>
      <c r="U67" s="118">
        <f t="shared" si="4"/>
        <v>0</v>
      </c>
      <c r="V67" s="118">
        <f t="shared" si="4"/>
        <v>0</v>
      </c>
      <c r="W67" s="118">
        <f t="shared" si="4"/>
        <v>0</v>
      </c>
      <c r="X67" s="118">
        <f t="shared" si="4"/>
        <v>0</v>
      </c>
      <c r="Y67" s="118">
        <f t="shared" si="4"/>
        <v>0</v>
      </c>
      <c r="Z67" s="118">
        <f t="shared" si="4"/>
        <v>0</v>
      </c>
      <c r="AA67" s="118">
        <f t="shared" si="4"/>
        <v>0</v>
      </c>
      <c r="AB67" s="118">
        <f t="shared" si="4"/>
        <v>0</v>
      </c>
      <c r="AC67" s="118">
        <f t="shared" si="4"/>
        <v>0</v>
      </c>
      <c r="AD67" s="118">
        <f t="shared" si="4"/>
        <v>0</v>
      </c>
      <c r="AE67" s="118">
        <f t="shared" si="4"/>
        <v>0</v>
      </c>
      <c r="AF67" s="118">
        <f t="shared" si="4"/>
        <v>0</v>
      </c>
      <c r="AG67" s="118">
        <f t="shared" si="4"/>
        <v>0</v>
      </c>
    </row>
    <row r="68" spans="1:33" x14ac:dyDescent="0.2">
      <c r="A68" s="8"/>
      <c r="B68" s="8"/>
      <c r="C68" s="4">
        <f>C15</f>
        <v>0</v>
      </c>
      <c r="D68" s="38"/>
      <c r="F68" s="96"/>
      <c r="G68" s="209">
        <f>input_dollars</f>
        <v>45291</v>
      </c>
      <c r="H68" s="31"/>
      <c r="I68" s="118">
        <f t="shared" ref="I68:AG68" si="5">-I15</f>
        <v>0</v>
      </c>
      <c r="J68" s="118">
        <f t="shared" si="5"/>
        <v>0</v>
      </c>
      <c r="K68" s="118">
        <f t="shared" si="5"/>
        <v>0</v>
      </c>
      <c r="L68" s="118">
        <f t="shared" si="5"/>
        <v>0</v>
      </c>
      <c r="M68" s="118">
        <f t="shared" si="5"/>
        <v>0</v>
      </c>
      <c r="N68" s="118">
        <f t="shared" si="5"/>
        <v>0</v>
      </c>
      <c r="O68" s="118">
        <f t="shared" si="5"/>
        <v>0</v>
      </c>
      <c r="P68" s="118">
        <f t="shared" si="5"/>
        <v>0</v>
      </c>
      <c r="Q68" s="118">
        <f t="shared" si="5"/>
        <v>0</v>
      </c>
      <c r="R68" s="118">
        <f t="shared" si="5"/>
        <v>0</v>
      </c>
      <c r="S68" s="118">
        <f t="shared" si="5"/>
        <v>0</v>
      </c>
      <c r="T68" s="118">
        <f t="shared" si="5"/>
        <v>0</v>
      </c>
      <c r="U68" s="118">
        <f t="shared" si="5"/>
        <v>0</v>
      </c>
      <c r="V68" s="118">
        <f t="shared" si="5"/>
        <v>0</v>
      </c>
      <c r="W68" s="118">
        <f t="shared" si="5"/>
        <v>0</v>
      </c>
      <c r="X68" s="118">
        <f t="shared" si="5"/>
        <v>0</v>
      </c>
      <c r="Y68" s="118">
        <f t="shared" si="5"/>
        <v>0</v>
      </c>
      <c r="Z68" s="118">
        <f t="shared" si="5"/>
        <v>0</v>
      </c>
      <c r="AA68" s="118">
        <f t="shared" si="5"/>
        <v>0</v>
      </c>
      <c r="AB68" s="118">
        <f t="shared" si="5"/>
        <v>0</v>
      </c>
      <c r="AC68" s="118">
        <f t="shared" si="5"/>
        <v>0</v>
      </c>
      <c r="AD68" s="118">
        <f t="shared" si="5"/>
        <v>0</v>
      </c>
      <c r="AE68" s="118">
        <f t="shared" si="5"/>
        <v>0</v>
      </c>
      <c r="AF68" s="118">
        <f t="shared" si="5"/>
        <v>0</v>
      </c>
      <c r="AG68" s="118">
        <f t="shared" si="5"/>
        <v>0</v>
      </c>
    </row>
    <row r="69" spans="1:33" x14ac:dyDescent="0.2">
      <c r="A69" s="8"/>
      <c r="B69" s="8"/>
      <c r="C69" s="4">
        <f>C16</f>
        <v>0</v>
      </c>
      <c r="D69" s="38"/>
      <c r="F69" s="96"/>
      <c r="G69" s="209">
        <f>input_dollars</f>
        <v>45291</v>
      </c>
      <c r="H69" s="31"/>
      <c r="I69" s="118">
        <f t="shared" ref="I69:AG69" si="6">-I16</f>
        <v>0</v>
      </c>
      <c r="J69" s="118">
        <f t="shared" si="6"/>
        <v>0</v>
      </c>
      <c r="K69" s="118">
        <f t="shared" si="6"/>
        <v>0</v>
      </c>
      <c r="L69" s="118">
        <f t="shared" si="6"/>
        <v>0</v>
      </c>
      <c r="M69" s="118">
        <f t="shared" si="6"/>
        <v>0</v>
      </c>
      <c r="N69" s="118">
        <f t="shared" si="6"/>
        <v>0</v>
      </c>
      <c r="O69" s="118">
        <f t="shared" si="6"/>
        <v>0</v>
      </c>
      <c r="P69" s="118">
        <f t="shared" si="6"/>
        <v>0</v>
      </c>
      <c r="Q69" s="118">
        <f t="shared" si="6"/>
        <v>0</v>
      </c>
      <c r="R69" s="118">
        <f t="shared" si="6"/>
        <v>0</v>
      </c>
      <c r="S69" s="118">
        <f t="shared" si="6"/>
        <v>0</v>
      </c>
      <c r="T69" s="118">
        <f t="shared" si="6"/>
        <v>0</v>
      </c>
      <c r="U69" s="118">
        <f t="shared" si="6"/>
        <v>0</v>
      </c>
      <c r="V69" s="118">
        <f t="shared" si="6"/>
        <v>0</v>
      </c>
      <c r="W69" s="118">
        <f t="shared" si="6"/>
        <v>0</v>
      </c>
      <c r="X69" s="118">
        <f t="shared" si="6"/>
        <v>0</v>
      </c>
      <c r="Y69" s="118">
        <f t="shared" si="6"/>
        <v>0</v>
      </c>
      <c r="Z69" s="118">
        <f t="shared" si="6"/>
        <v>0</v>
      </c>
      <c r="AA69" s="118">
        <f t="shared" si="6"/>
        <v>0</v>
      </c>
      <c r="AB69" s="118">
        <f t="shared" si="6"/>
        <v>0</v>
      </c>
      <c r="AC69" s="118">
        <f t="shared" si="6"/>
        <v>0</v>
      </c>
      <c r="AD69" s="118">
        <f t="shared" si="6"/>
        <v>0</v>
      </c>
      <c r="AE69" s="118">
        <f t="shared" si="6"/>
        <v>0</v>
      </c>
      <c r="AF69" s="118">
        <f t="shared" si="6"/>
        <v>0</v>
      </c>
      <c r="AG69" s="118">
        <f t="shared" si="6"/>
        <v>0</v>
      </c>
    </row>
    <row r="70" spans="1:33" x14ac:dyDescent="0.2">
      <c r="A70" s="8"/>
      <c r="B70" s="8"/>
      <c r="C70" s="4"/>
      <c r="D70" s="38"/>
      <c r="F70" s="96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6" t="s">
        <v>156</v>
      </c>
      <c r="D71" s="38"/>
      <c r="F71" s="96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Replace 1 transformer</v>
      </c>
      <c r="D72" s="38"/>
      <c r="F72" s="96"/>
      <c r="G72" s="209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-2142006.2666666666</v>
      </c>
      <c r="L72" s="118" cm="1">
        <f t="array" ref="L72">SUMPRODUCT(($I67:L67))-SUMPRODUCT(($I67:L67)*($I$6:L$6&lt;=(L$6-$E14)))</f>
        <v>-6426018.7999999998</v>
      </c>
      <c r="M72" s="118" cm="1">
        <f t="array" ref="M72">SUMPRODUCT(($I67:M67))-SUMPRODUCT(($I67:M67)*($I$6:M$6&lt;=(M$6-$E14)))</f>
        <v>-6426018.7999999998</v>
      </c>
      <c r="N72" s="118" cm="1">
        <f t="array" ref="N72">SUMPRODUCT(($I67:N67))-SUMPRODUCT(($I67:N67)*($I$6:N$6&lt;=(N$6-$E14)))</f>
        <v>-6426018.7999999998</v>
      </c>
      <c r="O72" s="118" cm="1">
        <f t="array" ref="O72">SUMPRODUCT(($I67:O67))-SUMPRODUCT(($I67:O67)*($I$6:O$6&lt;=(O$6-$E14)))</f>
        <v>-6426018.7999999998</v>
      </c>
      <c r="P72" s="118" cm="1">
        <f t="array" ref="P72">SUMPRODUCT(($I67:P67))-SUMPRODUCT(($I67:P67)*($I$6:P$6&lt;=(P$6-$E14)))</f>
        <v>-6426018.7999999998</v>
      </c>
      <c r="Q72" s="118" cm="1">
        <f t="array" ref="Q72">SUMPRODUCT(($I67:Q67))-SUMPRODUCT(($I67:Q67)*($I$6:Q$6&lt;=(Q$6-$E14)))</f>
        <v>-6426018.7999999998</v>
      </c>
      <c r="R72" s="118" cm="1">
        <f t="array" ref="R72">SUMPRODUCT(($I67:R67))-SUMPRODUCT(($I67:R67)*($I$6:R$6&lt;=(R$6-$E14)))</f>
        <v>-6426018.7999999998</v>
      </c>
      <c r="S72" s="118" cm="1">
        <f t="array" ref="S72">SUMPRODUCT(($I67:S67))-SUMPRODUCT(($I67:S67)*($I$6:S$6&lt;=(S$6-$E14)))</f>
        <v>-6426018.7999999998</v>
      </c>
      <c r="T72" s="118" cm="1">
        <f t="array" ref="T72">SUMPRODUCT(($I67:T67))-SUMPRODUCT(($I67:T67)*($I$6:T$6&lt;=(T$6-$E14)))</f>
        <v>-6426018.7999999998</v>
      </c>
      <c r="U72" s="118" cm="1">
        <f t="array" ref="U72">SUMPRODUCT(($I67:U67))-SUMPRODUCT(($I67:U67)*($I$6:U$6&lt;=(U$6-$E14)))</f>
        <v>-6426018.7999999998</v>
      </c>
      <c r="V72" s="118" cm="1">
        <f t="array" ref="V72">SUMPRODUCT(($I67:V67))-SUMPRODUCT(($I67:V67)*($I$6:V$6&lt;=(V$6-$E14)))</f>
        <v>-6426018.7999999998</v>
      </c>
      <c r="W72" s="118" cm="1">
        <f t="array" ref="W72">SUMPRODUCT(($I67:W67))-SUMPRODUCT(($I67:W67)*($I$6:W$6&lt;=(W$6-$E14)))</f>
        <v>-6426018.7999999998</v>
      </c>
      <c r="X72" s="118" cm="1">
        <f t="array" ref="X72">SUMPRODUCT(($I67:X67))-SUMPRODUCT(($I67:X67)*($I$6:X$6&lt;=(X$6-$E14)))</f>
        <v>-6426018.7999999998</v>
      </c>
      <c r="Y72" s="118" cm="1">
        <f t="array" ref="Y72">SUMPRODUCT(($I67:Y67))-SUMPRODUCT(($I67:Y67)*($I$6:Y$6&lt;=(Y$6-$E14)))</f>
        <v>-6426018.7999999998</v>
      </c>
      <c r="Z72" s="118" cm="1">
        <f t="array" ref="Z72">SUMPRODUCT(($I67:Z67))-SUMPRODUCT(($I67:Z67)*($I$6:Z$6&lt;=(Z$6-$E14)))</f>
        <v>-6426018.7999999998</v>
      </c>
      <c r="AA72" s="118" cm="1">
        <f t="array" ref="AA72">SUMPRODUCT(($I67:AA67))-SUMPRODUCT(($I67:AA67)*($I$6:AA$6&lt;=(AA$6-$E14)))</f>
        <v>-6426018.7999999998</v>
      </c>
      <c r="AB72" s="118" cm="1">
        <f t="array" ref="AB72">SUMPRODUCT(($I67:AB67))-SUMPRODUCT(($I67:AB67)*($I$6:AB$6&lt;=(AB$6-$E14)))</f>
        <v>-6426018.7999999998</v>
      </c>
      <c r="AC72" s="118" cm="1">
        <f t="array" ref="AC72">SUMPRODUCT(($I67:AC67))-SUMPRODUCT(($I67:AC67)*($I$6:AC$6&lt;=(AC$6-$E14)))</f>
        <v>-6426018.7999999998</v>
      </c>
      <c r="AD72" s="118" cm="1">
        <f t="array" ref="AD72">SUMPRODUCT(($I67:AD67))-SUMPRODUCT(($I67:AD67)*($I$6:AD$6&lt;=(AD$6-$E14)))</f>
        <v>-6426018.7999999998</v>
      </c>
      <c r="AE72" s="118" cm="1">
        <f t="array" ref="AE72">SUMPRODUCT(($I67:AE67))-SUMPRODUCT(($I67:AE67)*($I$6:AE$6&lt;=(AE$6-$E14)))</f>
        <v>-6426018.7999999998</v>
      </c>
      <c r="AF72" s="118" cm="1">
        <f t="array" ref="AF72">SUMPRODUCT(($I67:AF67))-SUMPRODUCT(($I67:AF67)*($I$6:AF$6&lt;=(AF$6-$E14)))</f>
        <v>-6426018.7999999998</v>
      </c>
      <c r="AG72" s="118" cm="1">
        <f t="array" ref="AG72">SUMPRODUCT(($I67:AG67))-SUMPRODUCT(($I67:AG67)*($I$6:AG$6&lt;=(AG$6-$E14)))</f>
        <v>-6426018.7999999998</v>
      </c>
    </row>
    <row r="73" spans="1:33" x14ac:dyDescent="0.2">
      <c r="A73" s="8"/>
      <c r="B73" s="8"/>
      <c r="C73" s="4">
        <f>C15</f>
        <v>0</v>
      </c>
      <c r="D73" s="38"/>
      <c r="F73" s="96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6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6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6" t="s">
        <v>91</v>
      </c>
      <c r="D76" s="38"/>
      <c r="F76" s="96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Replace 1 transformer</v>
      </c>
      <c r="D77" s="38"/>
      <c r="F77" s="96"/>
      <c r="G77" s="209">
        <f>input_dollars</f>
        <v>45291</v>
      </c>
      <c r="H77" s="31"/>
      <c r="I77" s="118">
        <f t="shared" ref="I77:AG77" si="7">IF($E14=0,0,-PMT(real_disc, $E14,H72,))</f>
        <v>0</v>
      </c>
      <c r="J77" s="118">
        <f t="shared" si="7"/>
        <v>0</v>
      </c>
      <c r="K77" s="118">
        <f t="shared" si="7"/>
        <v>0</v>
      </c>
      <c r="L77" s="118">
        <f t="shared" si="7"/>
        <v>-91321.673062792397</v>
      </c>
      <c r="M77" s="118">
        <f t="shared" si="7"/>
        <v>-273965.01918837719</v>
      </c>
      <c r="N77" s="118">
        <f t="shared" si="7"/>
        <v>-273965.01918837719</v>
      </c>
      <c r="O77" s="118">
        <f t="shared" si="7"/>
        <v>-273965.01918837719</v>
      </c>
      <c r="P77" s="118">
        <f t="shared" si="7"/>
        <v>-273965.01918837719</v>
      </c>
      <c r="Q77" s="118">
        <f t="shared" si="7"/>
        <v>-273965.01918837719</v>
      </c>
      <c r="R77" s="118">
        <f t="shared" si="7"/>
        <v>-273965.01918837719</v>
      </c>
      <c r="S77" s="118">
        <f t="shared" si="7"/>
        <v>-273965.01918837719</v>
      </c>
      <c r="T77" s="118">
        <f t="shared" si="7"/>
        <v>-273965.01918837719</v>
      </c>
      <c r="U77" s="118">
        <f t="shared" si="7"/>
        <v>-273965.01918837719</v>
      </c>
      <c r="V77" s="118">
        <f t="shared" si="7"/>
        <v>-273965.01918837719</v>
      </c>
      <c r="W77" s="118">
        <f t="shared" si="7"/>
        <v>-273965.01918837719</v>
      </c>
      <c r="X77" s="118">
        <f t="shared" si="7"/>
        <v>-273965.01918837719</v>
      </c>
      <c r="Y77" s="118">
        <f t="shared" si="7"/>
        <v>-273965.01918837719</v>
      </c>
      <c r="Z77" s="118">
        <f t="shared" si="7"/>
        <v>-273965.01918837719</v>
      </c>
      <c r="AA77" s="118">
        <f t="shared" si="7"/>
        <v>-273965.01918837719</v>
      </c>
      <c r="AB77" s="118">
        <f t="shared" si="7"/>
        <v>-273965.01918837719</v>
      </c>
      <c r="AC77" s="118">
        <f t="shared" si="7"/>
        <v>-273965.01918837719</v>
      </c>
      <c r="AD77" s="118">
        <f t="shared" si="7"/>
        <v>-273965.01918837719</v>
      </c>
      <c r="AE77" s="118">
        <f t="shared" si="7"/>
        <v>-273965.01918837719</v>
      </c>
      <c r="AF77" s="118">
        <f t="shared" si="7"/>
        <v>-273965.01918837719</v>
      </c>
      <c r="AG77" s="118">
        <f t="shared" si="7"/>
        <v>-273965.01918837719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6"/>
      <c r="G78" s="209">
        <f>input_dollars</f>
        <v>45291</v>
      </c>
      <c r="H78" s="31"/>
      <c r="I78" s="118">
        <f t="shared" ref="I78:AG78" si="8">IF($E15=0,0,-PMT(real_disc, $E15,H73,))</f>
        <v>0</v>
      </c>
      <c r="J78" s="118">
        <f t="shared" si="8"/>
        <v>0</v>
      </c>
      <c r="K78" s="118">
        <f t="shared" si="8"/>
        <v>0</v>
      </c>
      <c r="L78" s="118">
        <f t="shared" si="8"/>
        <v>0</v>
      </c>
      <c r="M78" s="118">
        <f t="shared" si="8"/>
        <v>0</v>
      </c>
      <c r="N78" s="118">
        <f t="shared" si="8"/>
        <v>0</v>
      </c>
      <c r="O78" s="118">
        <f t="shared" si="8"/>
        <v>0</v>
      </c>
      <c r="P78" s="118">
        <f t="shared" si="8"/>
        <v>0</v>
      </c>
      <c r="Q78" s="118">
        <f t="shared" si="8"/>
        <v>0</v>
      </c>
      <c r="R78" s="118">
        <f t="shared" si="8"/>
        <v>0</v>
      </c>
      <c r="S78" s="118">
        <f t="shared" si="8"/>
        <v>0</v>
      </c>
      <c r="T78" s="118">
        <f t="shared" si="8"/>
        <v>0</v>
      </c>
      <c r="U78" s="118">
        <f t="shared" si="8"/>
        <v>0</v>
      </c>
      <c r="V78" s="118">
        <f t="shared" si="8"/>
        <v>0</v>
      </c>
      <c r="W78" s="118">
        <f t="shared" si="8"/>
        <v>0</v>
      </c>
      <c r="X78" s="118">
        <f t="shared" si="8"/>
        <v>0</v>
      </c>
      <c r="Y78" s="118">
        <f t="shared" si="8"/>
        <v>0</v>
      </c>
      <c r="Z78" s="118">
        <f t="shared" si="8"/>
        <v>0</v>
      </c>
      <c r="AA78" s="118">
        <f t="shared" si="8"/>
        <v>0</v>
      </c>
      <c r="AB78" s="118">
        <f t="shared" si="8"/>
        <v>0</v>
      </c>
      <c r="AC78" s="118">
        <f t="shared" si="8"/>
        <v>0</v>
      </c>
      <c r="AD78" s="118">
        <f t="shared" si="8"/>
        <v>0</v>
      </c>
      <c r="AE78" s="118">
        <f t="shared" si="8"/>
        <v>0</v>
      </c>
      <c r="AF78" s="118">
        <f t="shared" si="8"/>
        <v>0</v>
      </c>
      <c r="AG78" s="118">
        <f t="shared" si="8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6"/>
      <c r="G79" s="209">
        <f>input_dollars</f>
        <v>45291</v>
      </c>
      <c r="H79" s="31"/>
      <c r="I79" s="118">
        <f t="shared" ref="I79:AG79" si="9">IF($E16=0,0,-PMT(real_disc, $E16,H74,))</f>
        <v>0</v>
      </c>
      <c r="J79" s="118">
        <f t="shared" si="9"/>
        <v>0</v>
      </c>
      <c r="K79" s="118">
        <f t="shared" si="9"/>
        <v>0</v>
      </c>
      <c r="L79" s="118">
        <f t="shared" si="9"/>
        <v>0</v>
      </c>
      <c r="M79" s="118">
        <f t="shared" si="9"/>
        <v>0</v>
      </c>
      <c r="N79" s="118">
        <f t="shared" si="9"/>
        <v>0</v>
      </c>
      <c r="O79" s="118">
        <f t="shared" si="9"/>
        <v>0</v>
      </c>
      <c r="P79" s="118">
        <f t="shared" si="9"/>
        <v>0</v>
      </c>
      <c r="Q79" s="118">
        <f t="shared" si="9"/>
        <v>0</v>
      </c>
      <c r="R79" s="118">
        <f t="shared" si="9"/>
        <v>0</v>
      </c>
      <c r="S79" s="118">
        <f t="shared" si="9"/>
        <v>0</v>
      </c>
      <c r="T79" s="118">
        <f t="shared" si="9"/>
        <v>0</v>
      </c>
      <c r="U79" s="118">
        <f t="shared" si="9"/>
        <v>0</v>
      </c>
      <c r="V79" s="118">
        <f t="shared" si="9"/>
        <v>0</v>
      </c>
      <c r="W79" s="118">
        <f t="shared" si="9"/>
        <v>0</v>
      </c>
      <c r="X79" s="118">
        <f t="shared" si="9"/>
        <v>0</v>
      </c>
      <c r="Y79" s="118">
        <f t="shared" si="9"/>
        <v>0</v>
      </c>
      <c r="Z79" s="118">
        <f t="shared" si="9"/>
        <v>0</v>
      </c>
      <c r="AA79" s="118">
        <f t="shared" si="9"/>
        <v>0</v>
      </c>
      <c r="AB79" s="118">
        <f t="shared" si="9"/>
        <v>0</v>
      </c>
      <c r="AC79" s="118">
        <f t="shared" si="9"/>
        <v>0</v>
      </c>
      <c r="AD79" s="118">
        <f t="shared" si="9"/>
        <v>0</v>
      </c>
      <c r="AE79" s="118">
        <f t="shared" si="9"/>
        <v>0</v>
      </c>
      <c r="AF79" s="118">
        <f t="shared" si="9"/>
        <v>0</v>
      </c>
      <c r="AG79" s="118">
        <f t="shared" si="9"/>
        <v>0</v>
      </c>
    </row>
    <row r="80" spans="1:33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0">SUM(J77:J79)</f>
        <v>0</v>
      </c>
      <c r="K80" s="175">
        <f t="shared" si="10"/>
        <v>0</v>
      </c>
      <c r="L80" s="175">
        <f t="shared" si="10"/>
        <v>-91321.673062792397</v>
      </c>
      <c r="M80" s="175">
        <f t="shared" si="10"/>
        <v>-273965.01918837719</v>
      </c>
      <c r="N80" s="175">
        <f t="shared" si="10"/>
        <v>-273965.01918837719</v>
      </c>
      <c r="O80" s="175">
        <f t="shared" si="10"/>
        <v>-273965.01918837719</v>
      </c>
      <c r="P80" s="175">
        <f t="shared" si="10"/>
        <v>-273965.01918837719</v>
      </c>
      <c r="Q80" s="175">
        <f t="shared" si="10"/>
        <v>-273965.01918837719</v>
      </c>
      <c r="R80" s="175">
        <f t="shared" si="10"/>
        <v>-273965.01918837719</v>
      </c>
      <c r="S80" s="175">
        <f t="shared" si="10"/>
        <v>-273965.01918837719</v>
      </c>
      <c r="T80" s="175">
        <f t="shared" si="10"/>
        <v>-273965.01918837719</v>
      </c>
      <c r="U80" s="175">
        <f t="shared" si="10"/>
        <v>-273965.01918837719</v>
      </c>
      <c r="V80" s="175">
        <f t="shared" si="10"/>
        <v>-273965.01918837719</v>
      </c>
      <c r="W80" s="175">
        <f t="shared" si="10"/>
        <v>-273965.01918837719</v>
      </c>
      <c r="X80" s="175">
        <f t="shared" si="10"/>
        <v>-273965.01918837719</v>
      </c>
      <c r="Y80" s="175">
        <f t="shared" si="10"/>
        <v>-273965.01918837719</v>
      </c>
      <c r="Z80" s="175">
        <f t="shared" si="10"/>
        <v>-273965.01918837719</v>
      </c>
      <c r="AA80" s="175">
        <f t="shared" si="10"/>
        <v>-273965.01918837719</v>
      </c>
      <c r="AB80" s="175">
        <f t="shared" si="10"/>
        <v>-273965.01918837719</v>
      </c>
      <c r="AC80" s="175">
        <f>SUM(AC77:AC79)</f>
        <v>-273965.01918837719</v>
      </c>
      <c r="AD80" s="175">
        <f>SUM(AD77:AD79)</f>
        <v>-273965.01918837719</v>
      </c>
      <c r="AE80" s="175">
        <f>SUM(AE77:AE79)</f>
        <v>-273965.01918837719</v>
      </c>
      <c r="AF80" s="175">
        <f>SUM(AF77:AF79)</f>
        <v>-273965.01918837719</v>
      </c>
      <c r="AG80" s="175">
        <f>SUM(AG77:AG79)</f>
        <v>-273965.01918837719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6"/>
      <c r="G82" s="209">
        <f t="shared" ref="G82:G87" si="11">input_dollars</f>
        <v>45291</v>
      </c>
      <c r="H82" s="31"/>
      <c r="I82" s="118">
        <f>I80</f>
        <v>0</v>
      </c>
      <c r="J82" s="118">
        <f t="shared" ref="J82:AB82" si="12">J80</f>
        <v>0</v>
      </c>
      <c r="K82" s="118">
        <f t="shared" si="12"/>
        <v>0</v>
      </c>
      <c r="L82" s="118">
        <f t="shared" si="12"/>
        <v>-91321.673062792397</v>
      </c>
      <c r="M82" s="118">
        <f t="shared" si="12"/>
        <v>-273965.01918837719</v>
      </c>
      <c r="N82" s="118">
        <f t="shared" si="12"/>
        <v>-273965.01918837719</v>
      </c>
      <c r="O82" s="118">
        <f t="shared" si="12"/>
        <v>-273965.01918837719</v>
      </c>
      <c r="P82" s="118">
        <f t="shared" si="12"/>
        <v>-273965.01918837719</v>
      </c>
      <c r="Q82" s="118">
        <f t="shared" si="12"/>
        <v>-273965.01918837719</v>
      </c>
      <c r="R82" s="118">
        <f t="shared" si="12"/>
        <v>-273965.01918837719</v>
      </c>
      <c r="S82" s="118">
        <f t="shared" si="12"/>
        <v>-273965.01918837719</v>
      </c>
      <c r="T82" s="118">
        <f t="shared" si="12"/>
        <v>-273965.01918837719</v>
      </c>
      <c r="U82" s="118">
        <f t="shared" si="12"/>
        <v>-273965.01918837719</v>
      </c>
      <c r="V82" s="118">
        <f t="shared" si="12"/>
        <v>-273965.01918837719</v>
      </c>
      <c r="W82" s="118">
        <f t="shared" si="12"/>
        <v>-273965.01918837719</v>
      </c>
      <c r="X82" s="118">
        <f t="shared" si="12"/>
        <v>-273965.01918837719</v>
      </c>
      <c r="Y82" s="118">
        <f t="shared" si="12"/>
        <v>-273965.01918837719</v>
      </c>
      <c r="Z82" s="118">
        <f t="shared" si="12"/>
        <v>-273965.01918837719</v>
      </c>
      <c r="AA82" s="118">
        <f t="shared" si="12"/>
        <v>-273965.01918837719</v>
      </c>
      <c r="AB82" s="118">
        <f t="shared" si="12"/>
        <v>-273965.01918837719</v>
      </c>
      <c r="AC82" s="118">
        <f>AC80</f>
        <v>-273965.01918837719</v>
      </c>
      <c r="AD82" s="118">
        <f>AD80</f>
        <v>-273965.01918837719</v>
      </c>
      <c r="AE82" s="118">
        <f>AE80</f>
        <v>-273965.01918837719</v>
      </c>
      <c r="AF82" s="118">
        <f>AF80</f>
        <v>-273965.01918837719</v>
      </c>
      <c r="AG82" s="118">
        <f>AG80</f>
        <v>-273965.01918837719</v>
      </c>
    </row>
    <row r="83" spans="1:33" x14ac:dyDescent="0.2">
      <c r="A83" s="8"/>
      <c r="B83" s="8"/>
      <c r="C83" s="4" t="s">
        <v>31</v>
      </c>
      <c r="D83" s="38"/>
      <c r="F83" s="96"/>
      <c r="G83" s="209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2">
      <c r="A84" s="8"/>
      <c r="B84" s="8"/>
      <c r="C84" s="4" t="s">
        <v>140</v>
      </c>
      <c r="D84" s="38"/>
      <c r="F84" s="96"/>
      <c r="G84" s="209">
        <f t="shared" si="11"/>
        <v>45291</v>
      </c>
      <c r="H84" s="31"/>
      <c r="I84" s="31">
        <f>I64</f>
        <v>0</v>
      </c>
      <c r="J84" s="31">
        <f t="shared" ref="J84:AB84" si="14">J64</f>
        <v>0</v>
      </c>
      <c r="K84" s="31">
        <f t="shared" si="14"/>
        <v>0</v>
      </c>
      <c r="L84" s="31">
        <f t="shared" si="14"/>
        <v>6.9849193096160889E-10</v>
      </c>
      <c r="M84" s="31">
        <f t="shared" si="14"/>
        <v>783476.3547129354</v>
      </c>
      <c r="N84" s="31">
        <f t="shared" si="14"/>
        <v>802637.45492106804</v>
      </c>
      <c r="O84" s="31">
        <f t="shared" si="14"/>
        <v>830558.13843882375</v>
      </c>
      <c r="P84" s="31">
        <f t="shared" si="14"/>
        <v>862938.27739259275</v>
      </c>
      <c r="Q84" s="31">
        <f t="shared" si="14"/>
        <v>879929.23228078324</v>
      </c>
      <c r="R84" s="31">
        <f t="shared" si="14"/>
        <v>885229.3615345034</v>
      </c>
      <c r="S84" s="31">
        <f t="shared" si="14"/>
        <v>890781.29176663875</v>
      </c>
      <c r="T84" s="31">
        <f t="shared" si="14"/>
        <v>896530.07974148297</v>
      </c>
      <c r="U84" s="31">
        <f t="shared" si="14"/>
        <v>902436.55528473656</v>
      </c>
      <c r="V84" s="31">
        <f t="shared" si="14"/>
        <v>908471.65541054716</v>
      </c>
      <c r="W84" s="31">
        <f t="shared" si="14"/>
        <v>914613.14596573438</v>
      </c>
      <c r="X84" s="31">
        <f t="shared" si="14"/>
        <v>920843.60021690989</v>
      </c>
      <c r="Y84" s="31">
        <f t="shared" si="14"/>
        <v>927149.08884146507</v>
      </c>
      <c r="Z84" s="31">
        <f t="shared" si="14"/>
        <v>933518.29621317401</v>
      </c>
      <c r="AA84" s="31">
        <f t="shared" si="14"/>
        <v>939941.90423696139</v>
      </c>
      <c r="AB84" s="31">
        <f t="shared" si="14"/>
        <v>946412.15066334826</v>
      </c>
      <c r="AC84" s="31">
        <f>AC64</f>
        <v>952922.50492331618</v>
      </c>
      <c r="AD84" s="31">
        <f>AD64</f>
        <v>959467.42533414206</v>
      </c>
      <c r="AE84" s="31">
        <f>AE64</f>
        <v>965749.83837024448</v>
      </c>
      <c r="AF84" s="31">
        <f>AF64</f>
        <v>972060.09815237881</v>
      </c>
      <c r="AG84" s="31">
        <f>AG64</f>
        <v>978394.5997546094</v>
      </c>
    </row>
    <row r="85" spans="1:33" x14ac:dyDescent="0.2">
      <c r="A85" s="8"/>
      <c r="B85" s="8"/>
      <c r="C85" s="4" t="s">
        <v>122</v>
      </c>
      <c r="D85" s="38"/>
      <c r="F85" s="96"/>
      <c r="G85" s="209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188</v>
      </c>
      <c r="D87" s="177"/>
      <c r="E87" s="172"/>
      <c r="F87" s="178"/>
      <c r="G87" s="214">
        <f t="shared" si="11"/>
        <v>45291</v>
      </c>
      <c r="H87" s="178"/>
      <c r="I87" s="178">
        <f t="shared" ref="I87:AB87" si="16">SUM(I82:I86)</f>
        <v>0</v>
      </c>
      <c r="J87" s="178">
        <f t="shared" si="16"/>
        <v>0</v>
      </c>
      <c r="K87" s="178">
        <f t="shared" si="16"/>
        <v>0</v>
      </c>
      <c r="L87" s="178">
        <f t="shared" si="16"/>
        <v>-91321.673062791699</v>
      </c>
      <c r="M87" s="178">
        <f t="shared" si="16"/>
        <v>509511.33552455821</v>
      </c>
      <c r="N87" s="178">
        <f t="shared" si="16"/>
        <v>528672.43573269085</v>
      </c>
      <c r="O87" s="178">
        <f t="shared" si="16"/>
        <v>556593.11925044656</v>
      </c>
      <c r="P87" s="178">
        <f t="shared" si="16"/>
        <v>588973.25820421556</v>
      </c>
      <c r="Q87" s="178">
        <f t="shared" si="16"/>
        <v>605964.21309240605</v>
      </c>
      <c r="R87" s="178">
        <f t="shared" si="16"/>
        <v>611264.34234612621</v>
      </c>
      <c r="S87" s="178">
        <f t="shared" si="16"/>
        <v>616816.27257826156</v>
      </c>
      <c r="T87" s="178">
        <f t="shared" si="16"/>
        <v>622565.06055310578</v>
      </c>
      <c r="U87" s="178">
        <f t="shared" si="16"/>
        <v>628471.53609635937</v>
      </c>
      <c r="V87" s="178">
        <f t="shared" si="16"/>
        <v>634506.63622216997</v>
      </c>
      <c r="W87" s="178">
        <f t="shared" si="16"/>
        <v>640648.12677735719</v>
      </c>
      <c r="X87" s="178">
        <f t="shared" si="16"/>
        <v>646878.5810285327</v>
      </c>
      <c r="Y87" s="178">
        <f t="shared" si="16"/>
        <v>653184.06965308788</v>
      </c>
      <c r="Z87" s="178">
        <f t="shared" si="16"/>
        <v>659553.27702479681</v>
      </c>
      <c r="AA87" s="178">
        <f t="shared" si="16"/>
        <v>665976.8850485842</v>
      </c>
      <c r="AB87" s="178">
        <f t="shared" si="16"/>
        <v>672447.13147497107</v>
      </c>
      <c r="AC87" s="178">
        <f>SUM(AC82:AC86)</f>
        <v>678957.48573493899</v>
      </c>
      <c r="AD87" s="178">
        <f>SUM(AD82:AD86)</f>
        <v>685502.40614576486</v>
      </c>
      <c r="AE87" s="178">
        <f>SUM(AE82:AE86)</f>
        <v>691784.81918186729</v>
      </c>
      <c r="AF87" s="178">
        <f>SUM(AF82:AF86)</f>
        <v>698095.07896400162</v>
      </c>
      <c r="AG87" s="178">
        <f>SUM(AG82:AG86)</f>
        <v>704429.58056623221</v>
      </c>
    </row>
    <row r="88" spans="1:33" x14ac:dyDescent="0.2">
      <c r="A88" s="8"/>
      <c r="B88" s="8"/>
      <c r="C88" s="75"/>
      <c r="D88" s="137"/>
      <c r="F88" s="140"/>
      <c r="G88" s="216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5"/>
      <c r="D89" s="137"/>
      <c r="F89" s="140"/>
      <c r="G89" s="21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29" t="s">
        <v>198</v>
      </c>
      <c r="D90" s="82"/>
      <c r="E90" s="230"/>
      <c r="F90" s="231"/>
      <c r="G90" s="232" cm="1">
        <f t="array" ref="G90">IF(SUM($I17:$AG17)=0,0,(INDEX(I$6:AG$6,MATCH(TRUE,INDEX($I17:$AG17&lt;&gt;0,),0))))</f>
        <v>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3"/>
      <c r="E91" s="230"/>
      <c r="F91" s="231"/>
      <c r="G91" s="232"/>
      <c r="H91" s="35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</row>
    <row r="92" spans="1:33" x14ac:dyDescent="0.2">
      <c r="C92" s="234" t="s">
        <v>193</v>
      </c>
      <c r="D92" s="235"/>
      <c r="E92" s="235"/>
      <c r="F92" s="235"/>
      <c r="G92" s="236">
        <f>IF(_xlfn.MINIFS($G$90:$G$91, $G$90:$G$91, "&gt;"&amp;0)=0, $A$4, _xlfn.MINIFS($G$90:$G$91, $G$90:$G$91, "&gt;"&amp;0))</f>
        <v>3</v>
      </c>
    </row>
    <row r="94" spans="1:33" x14ac:dyDescent="0.2">
      <c r="G94" s="12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</row>
    <row r="96" spans="1:33" x14ac:dyDescent="0.2"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</row>
    <row r="97" spans="1:43" x14ac:dyDescent="0.2"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</row>
    <row r="98" spans="1:43" x14ac:dyDescent="0.2"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</row>
    <row r="99" spans="1:43" x14ac:dyDescent="0.2"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</row>
    <row r="100" spans="1:43" x14ac:dyDescent="0.2"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</row>
    <row r="101" spans="1:43" x14ac:dyDescent="0.2"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D105"/>
      <c r="E105"/>
      <c r="F105"/>
      <c r="G105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7">J87</f>
        <v>0</v>
      </c>
      <c r="K106" s="31">
        <f t="shared" si="17"/>
        <v>0</v>
      </c>
      <c r="L106" s="31">
        <f t="shared" si="17"/>
        <v>-91321.673062791699</v>
      </c>
      <c r="M106" s="31">
        <f t="shared" si="17"/>
        <v>509511.33552455821</v>
      </c>
      <c r="N106" s="31">
        <f t="shared" si="17"/>
        <v>528672.43573269085</v>
      </c>
      <c r="O106" s="31">
        <f t="shared" si="17"/>
        <v>556593.11925044656</v>
      </c>
      <c r="P106" s="31">
        <f t="shared" si="17"/>
        <v>588973.25820421556</v>
      </c>
      <c r="Q106" s="31">
        <f t="shared" si="17"/>
        <v>605964.21309240605</v>
      </c>
      <c r="R106" s="31">
        <f t="shared" si="17"/>
        <v>611264.34234612621</v>
      </c>
      <c r="S106" s="31">
        <f t="shared" si="17"/>
        <v>616816.27257826156</v>
      </c>
      <c r="T106" s="31">
        <f t="shared" si="17"/>
        <v>622565.06055310578</v>
      </c>
      <c r="U106" s="31">
        <f t="shared" si="17"/>
        <v>628471.53609635937</v>
      </c>
      <c r="V106" s="31">
        <f t="shared" si="17"/>
        <v>634506.63622216997</v>
      </c>
      <c r="W106" s="31">
        <f t="shared" si="17"/>
        <v>640648.12677735719</v>
      </c>
      <c r="X106" s="31">
        <f t="shared" si="17"/>
        <v>646878.5810285327</v>
      </c>
      <c r="Y106" s="31">
        <f t="shared" si="17"/>
        <v>653184.06965308788</v>
      </c>
      <c r="Z106" s="31">
        <f t="shared" si="17"/>
        <v>659553.27702479681</v>
      </c>
      <c r="AA106" s="31">
        <f t="shared" si="17"/>
        <v>665976.8850485842</v>
      </c>
      <c r="AB106" s="31">
        <f t="shared" si="17"/>
        <v>672447.13147497107</v>
      </c>
      <c r="AC106" s="31">
        <f t="shared" si="17"/>
        <v>678957.48573493899</v>
      </c>
      <c r="AD106" s="31">
        <f t="shared" si="17"/>
        <v>685502.40614576486</v>
      </c>
      <c r="AE106" s="31">
        <f t="shared" si="17"/>
        <v>691784.81918186729</v>
      </c>
      <c r="AF106" s="31">
        <f t="shared" si="17"/>
        <v>698095.07896400162</v>
      </c>
      <c r="AG106" s="31">
        <f t="shared" si="17"/>
        <v>704429.58056623221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8">J82</f>
        <v>0</v>
      </c>
      <c r="K107" s="31">
        <f t="shared" si="18"/>
        <v>0</v>
      </c>
      <c r="L107" s="31">
        <f t="shared" si="18"/>
        <v>-91321.673062792397</v>
      </c>
      <c r="M107" s="31">
        <f t="shared" si="18"/>
        <v>-273965.01918837719</v>
      </c>
      <c r="N107" s="31">
        <f t="shared" si="18"/>
        <v>-273965.01918837719</v>
      </c>
      <c r="O107" s="31">
        <f t="shared" si="18"/>
        <v>-273965.01918837719</v>
      </c>
      <c r="P107" s="31">
        <f t="shared" si="18"/>
        <v>-273965.01918837719</v>
      </c>
      <c r="Q107" s="31">
        <f t="shared" si="18"/>
        <v>-273965.01918837719</v>
      </c>
      <c r="R107" s="31">
        <f t="shared" si="18"/>
        <v>-273965.01918837719</v>
      </c>
      <c r="S107" s="31">
        <f t="shared" si="18"/>
        <v>-273965.01918837719</v>
      </c>
      <c r="T107" s="31">
        <f t="shared" si="18"/>
        <v>-273965.01918837719</v>
      </c>
      <c r="U107" s="31">
        <f t="shared" si="18"/>
        <v>-273965.01918837719</v>
      </c>
      <c r="V107" s="31">
        <f t="shared" si="18"/>
        <v>-273965.01918837719</v>
      </c>
      <c r="W107" s="31">
        <f t="shared" si="18"/>
        <v>-273965.01918837719</v>
      </c>
      <c r="X107" s="31">
        <f t="shared" si="18"/>
        <v>-273965.01918837719</v>
      </c>
      <c r="Y107" s="31">
        <f t="shared" si="18"/>
        <v>-273965.01918837719</v>
      </c>
      <c r="Z107" s="31">
        <f t="shared" si="18"/>
        <v>-273965.01918837719</v>
      </c>
      <c r="AA107" s="31">
        <f t="shared" si="18"/>
        <v>-273965.01918837719</v>
      </c>
      <c r="AB107" s="31">
        <f t="shared" si="18"/>
        <v>-273965.01918837719</v>
      </c>
      <c r="AC107" s="31">
        <f t="shared" si="18"/>
        <v>-273965.01918837719</v>
      </c>
      <c r="AD107" s="31">
        <f t="shared" si="18"/>
        <v>-273965.01918837719</v>
      </c>
      <c r="AE107" s="31">
        <f t="shared" si="18"/>
        <v>-273965.01918837719</v>
      </c>
      <c r="AF107" s="31">
        <f t="shared" si="18"/>
        <v>-273965.01918837719</v>
      </c>
      <c r="AG107" s="31">
        <f t="shared" si="18"/>
        <v>-273965.01918837719</v>
      </c>
    </row>
    <row r="108" spans="1:43" x14ac:dyDescent="0.2">
      <c r="C108" s="1" t="s">
        <v>241</v>
      </c>
      <c r="D108" s="251"/>
      <c r="E108" s="38"/>
      <c r="I108" s="31">
        <f>SUM(I84:I85)</f>
        <v>0</v>
      </c>
      <c r="J108" s="31">
        <f t="shared" ref="J108:AG108" si="19">SUM(J84:J85)</f>
        <v>0</v>
      </c>
      <c r="K108" s="31">
        <f t="shared" si="19"/>
        <v>0</v>
      </c>
      <c r="L108" s="31">
        <f t="shared" si="19"/>
        <v>6.9849193096160889E-10</v>
      </c>
      <c r="M108" s="31">
        <f t="shared" si="19"/>
        <v>783476.3547129354</v>
      </c>
      <c r="N108" s="31">
        <f t="shared" si="19"/>
        <v>802637.45492106804</v>
      </c>
      <c r="O108" s="31">
        <f t="shared" si="19"/>
        <v>830558.13843882375</v>
      </c>
      <c r="P108" s="31">
        <f t="shared" si="19"/>
        <v>862938.27739259275</v>
      </c>
      <c r="Q108" s="31">
        <f t="shared" si="19"/>
        <v>879929.23228078324</v>
      </c>
      <c r="R108" s="31">
        <f t="shared" si="19"/>
        <v>885229.3615345034</v>
      </c>
      <c r="S108" s="31">
        <f t="shared" si="19"/>
        <v>890781.29176663875</v>
      </c>
      <c r="T108" s="31">
        <f t="shared" si="19"/>
        <v>896530.07974148297</v>
      </c>
      <c r="U108" s="31">
        <f t="shared" si="19"/>
        <v>902436.55528473656</v>
      </c>
      <c r="V108" s="31">
        <f t="shared" si="19"/>
        <v>908471.65541054716</v>
      </c>
      <c r="W108" s="31">
        <f t="shared" si="19"/>
        <v>914613.14596573438</v>
      </c>
      <c r="X108" s="31">
        <f t="shared" si="19"/>
        <v>920843.60021690989</v>
      </c>
      <c r="Y108" s="31">
        <f t="shared" si="19"/>
        <v>927149.08884146507</v>
      </c>
      <c r="Z108" s="31">
        <f t="shared" si="19"/>
        <v>933518.29621317401</v>
      </c>
      <c r="AA108" s="31">
        <f t="shared" si="19"/>
        <v>939941.90423696139</v>
      </c>
      <c r="AB108" s="31">
        <f t="shared" si="19"/>
        <v>946412.15066334826</v>
      </c>
      <c r="AC108" s="31">
        <f t="shared" si="19"/>
        <v>952922.50492331618</v>
      </c>
      <c r="AD108" s="31">
        <f t="shared" si="19"/>
        <v>959467.42533414206</v>
      </c>
      <c r="AE108" s="31">
        <f t="shared" si="19"/>
        <v>965749.83837024448</v>
      </c>
      <c r="AF108" s="31">
        <f t="shared" si="19"/>
        <v>972060.09815237881</v>
      </c>
      <c r="AG108" s="31">
        <f t="shared" si="19"/>
        <v>978394.5997546094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-100453.84036907094</v>
      </c>
      <c r="M110" s="31" cm="1">
        <f t="array" ref="M110">M$106+IF($C110&lt;&gt;0,SUMPRODUCT((M$107:M$108)*TRANSPOSE(($D110:$E110))),0)</f>
        <v>482114.83360572049</v>
      </c>
      <c r="N110" s="31" cm="1">
        <f t="array" ref="N110">N$106+IF($C110&lt;&gt;0,SUMPRODUCT((N$107:N$108)*TRANSPOSE(($D110:$E110))),0)</f>
        <v>501275.93381385313</v>
      </c>
      <c r="O110" s="31" cm="1">
        <f t="array" ref="O110">O$106+IF($C110&lt;&gt;0,SUMPRODUCT((O$107:O$108)*TRANSPOSE(($D110:$E110))),0)</f>
        <v>529196.6173316089</v>
      </c>
      <c r="P110" s="31" cm="1">
        <f t="array" ref="P110">P$106+IF($C110&lt;&gt;0,SUMPRODUCT((P$107:P$108)*TRANSPOSE(($D110:$E110))),0)</f>
        <v>561576.75628537778</v>
      </c>
      <c r="Q110" s="31" cm="1">
        <f t="array" ref="Q110">Q$106+IF($C110&lt;&gt;0,SUMPRODUCT((Q$107:Q$108)*TRANSPOSE(($D110:$E110))),0)</f>
        <v>578567.71117356839</v>
      </c>
      <c r="R110" s="31" cm="1">
        <f t="array" ref="R110">R$106+IF($C110&lt;&gt;0,SUMPRODUCT((R$107:R$108)*TRANSPOSE(($D110:$E110))),0)</f>
        <v>583867.84042728855</v>
      </c>
      <c r="S110" s="31" cm="1">
        <f t="array" ref="S110">S$106+IF($C110&lt;&gt;0,SUMPRODUCT((S$107:S$108)*TRANSPOSE(($D110:$E110))),0)</f>
        <v>589419.7706594239</v>
      </c>
      <c r="T110" s="31" cm="1">
        <f t="array" ref="T110">T$106+IF($C110&lt;&gt;0,SUMPRODUCT((T$107:T$108)*TRANSPOSE(($D110:$E110))),0)</f>
        <v>595168.55863426812</v>
      </c>
      <c r="U110" s="31" cm="1">
        <f t="array" ref="U110">U$106+IF($C110&lt;&gt;0,SUMPRODUCT((U$107:U$108)*TRANSPOSE(($D110:$E110))),0)</f>
        <v>601075.03417752171</v>
      </c>
      <c r="V110" s="31" cm="1">
        <f t="array" ref="V110">V$106+IF($C110&lt;&gt;0,SUMPRODUCT((V$107:V$108)*TRANSPOSE(($D110:$E110))),0)</f>
        <v>607110.13430333231</v>
      </c>
      <c r="W110" s="31" cm="1">
        <f t="array" ref="W110">W$106+IF($C110&lt;&gt;0,SUMPRODUCT((W$107:W$108)*TRANSPOSE(($D110:$E110))),0)</f>
        <v>613251.62485851953</v>
      </c>
      <c r="X110" s="31" cm="1">
        <f t="array" ref="X110">X$106+IF($C110&lt;&gt;0,SUMPRODUCT((X$107:X$108)*TRANSPOSE(($D110:$E110))),0)</f>
        <v>619482.07910969504</v>
      </c>
      <c r="Y110" s="31" cm="1">
        <f t="array" ref="Y110">Y$106+IF($C110&lt;&gt;0,SUMPRODUCT((Y$107:Y$108)*TRANSPOSE(($D110:$E110))),0)</f>
        <v>625787.5677342501</v>
      </c>
      <c r="Z110" s="31" cm="1">
        <f t="array" ref="Z110">Z$106+IF($C110&lt;&gt;0,SUMPRODUCT((Z$107:Z$108)*TRANSPOSE(($D110:$E110))),0)</f>
        <v>632156.77510595904</v>
      </c>
      <c r="AA110" s="31" cm="1">
        <f t="array" ref="AA110">AA$106+IF($C110&lt;&gt;0,SUMPRODUCT((AA$107:AA$108)*TRANSPOSE(($D110:$E110))),0)</f>
        <v>638580.38312974642</v>
      </c>
      <c r="AB110" s="31" cm="1">
        <f t="array" ref="AB110">AB$106+IF($C110&lt;&gt;0,SUMPRODUCT((AB$107:AB$108)*TRANSPOSE(($D110:$E110))),0)</f>
        <v>645050.62955613341</v>
      </c>
      <c r="AC110" s="31" cm="1">
        <f t="array" ref="AC110">AC$106+IF($C110&lt;&gt;0,SUMPRODUCT((AC$107:AC$108)*TRANSPOSE(($D110:$E110))),0)</f>
        <v>651560.98381610122</v>
      </c>
      <c r="AD110" s="31" cm="1">
        <f t="array" ref="AD110">AD$106+IF($C110&lt;&gt;0,SUMPRODUCT((AD$107:AD$108)*TRANSPOSE(($D110:$E110))),0)</f>
        <v>658105.90422692709</v>
      </c>
      <c r="AE110" s="31" cm="1">
        <f t="array" ref="AE110">AE$106+IF($C110&lt;&gt;0,SUMPRODUCT((AE$107:AE$108)*TRANSPOSE(($D110:$E110))),0)</f>
        <v>664388.31726302952</v>
      </c>
      <c r="AF110" s="31" cm="1">
        <f t="array" ref="AF110">AF$106+IF($C110&lt;&gt;0,SUMPRODUCT((AF$107:AF$108)*TRANSPOSE(($D110:$E110))),0)</f>
        <v>670698.57704516384</v>
      </c>
      <c r="AG110" s="31" cm="1">
        <f t="array" ref="AG110">AG$106+IF($C110&lt;&gt;0,SUMPRODUCT((AG$107:AG$108)*TRANSPOSE(($D110:$E110))),0)</f>
        <v>677033.07864739443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0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-82189.505756512459</v>
      </c>
      <c r="M111" s="31" cm="1">
        <f t="array" ref="M111">M$106+IF($C111&lt;&gt;0,SUMPRODUCT((M$107:M$108)*TRANSPOSE(($D111:$E111))),0)</f>
        <v>536907.83744339598</v>
      </c>
      <c r="N111" s="31" cm="1">
        <f t="array" ref="N111">N$106+IF($C111&lt;&gt;0,SUMPRODUCT((N$107:N$108)*TRANSPOSE(($D111:$E111))),0)</f>
        <v>556068.93765152851</v>
      </c>
      <c r="O111" s="31" cm="1">
        <f t="array" ref="O111">O$106+IF($C111&lt;&gt;0,SUMPRODUCT((O$107:O$108)*TRANSPOSE(($D111:$E111))),0)</f>
        <v>583989.62116928422</v>
      </c>
      <c r="P111" s="31" cm="1">
        <f t="array" ref="P111">P$106+IF($C111&lt;&gt;0,SUMPRODUCT((P$107:P$108)*TRANSPOSE(($D111:$E111))),0)</f>
        <v>616369.76012305333</v>
      </c>
      <c r="Q111" s="31" cm="1">
        <f t="array" ref="Q111">Q$106+IF($C111&lt;&gt;0,SUMPRODUCT((Q$107:Q$108)*TRANSPOSE(($D111:$E111))),0)</f>
        <v>633360.71501124371</v>
      </c>
      <c r="R111" s="31" cm="1">
        <f t="array" ref="R111">R$106+IF($C111&lt;&gt;0,SUMPRODUCT((R$107:R$108)*TRANSPOSE(($D111:$E111))),0)</f>
        <v>638660.84426496387</v>
      </c>
      <c r="S111" s="31" cm="1">
        <f t="array" ref="S111">S$106+IF($C111&lt;&gt;0,SUMPRODUCT((S$107:S$108)*TRANSPOSE(($D111:$E111))),0)</f>
        <v>644212.77449709922</v>
      </c>
      <c r="T111" s="31" cm="1">
        <f t="array" ref="T111">T$106+IF($C111&lt;&gt;0,SUMPRODUCT((T$107:T$108)*TRANSPOSE(($D111:$E111))),0)</f>
        <v>649961.56247194344</v>
      </c>
      <c r="U111" s="31" cm="1">
        <f t="array" ref="U111">U$106+IF($C111&lt;&gt;0,SUMPRODUCT((U$107:U$108)*TRANSPOSE(($D111:$E111))),0)</f>
        <v>655868.03801519703</v>
      </c>
      <c r="V111" s="31" cm="1">
        <f t="array" ref="V111">V$106+IF($C111&lt;&gt;0,SUMPRODUCT((V$107:V$108)*TRANSPOSE(($D111:$E111))),0)</f>
        <v>661903.13814100763</v>
      </c>
      <c r="W111" s="31" cm="1">
        <f t="array" ref="W111">W$106+IF($C111&lt;&gt;0,SUMPRODUCT((W$107:W$108)*TRANSPOSE(($D111:$E111))),0)</f>
        <v>668044.62869619485</v>
      </c>
      <c r="X111" s="31" cm="1">
        <f t="array" ref="X111">X$106+IF($C111&lt;&gt;0,SUMPRODUCT((X$107:X$108)*TRANSPOSE(($D111:$E111))),0)</f>
        <v>674275.08294737036</v>
      </c>
      <c r="Y111" s="31" cm="1">
        <f t="array" ref="Y111">Y$106+IF($C111&lt;&gt;0,SUMPRODUCT((Y$107:Y$108)*TRANSPOSE(($D111:$E111))),0)</f>
        <v>680580.57157192566</v>
      </c>
      <c r="Z111" s="31" cm="1">
        <f t="array" ref="Z111">Z$106+IF($C111&lt;&gt;0,SUMPRODUCT((Z$107:Z$108)*TRANSPOSE(($D111:$E111))),0)</f>
        <v>686949.77894363459</v>
      </c>
      <c r="AA111" s="31" cm="1">
        <f t="array" ref="AA111">AA$106+IF($C111&lt;&gt;0,SUMPRODUCT((AA$107:AA$108)*TRANSPOSE(($D111:$E111))),0)</f>
        <v>693373.38696742197</v>
      </c>
      <c r="AB111" s="31" cm="1">
        <f t="array" ref="AB111">AB$106+IF($C111&lt;&gt;0,SUMPRODUCT((AB$107:AB$108)*TRANSPOSE(($D111:$E111))),0)</f>
        <v>699843.63339380873</v>
      </c>
      <c r="AC111" s="31" cm="1">
        <f t="array" ref="AC111">AC$106+IF($C111&lt;&gt;0,SUMPRODUCT((AC$107:AC$108)*TRANSPOSE(($D111:$E111))),0)</f>
        <v>706353.98765377677</v>
      </c>
      <c r="AD111" s="31" cm="1">
        <f t="array" ref="AD111">AD$106+IF($C111&lt;&gt;0,SUMPRODUCT((AD$107:AD$108)*TRANSPOSE(($D111:$E111))),0)</f>
        <v>712898.90806460264</v>
      </c>
      <c r="AE111" s="31" cm="1">
        <f t="array" ref="AE111">AE$106+IF($C111&lt;&gt;0,SUMPRODUCT((AE$107:AE$108)*TRANSPOSE(($D111:$E111))),0)</f>
        <v>719181.32110070507</v>
      </c>
      <c r="AF111" s="31" cm="1">
        <f t="array" ref="AF111">AF$106+IF($C111&lt;&gt;0,SUMPRODUCT((AF$107:AF$108)*TRANSPOSE(($D111:$E111))),0)</f>
        <v>725491.58088283939</v>
      </c>
      <c r="AG111" s="31" cm="1">
        <f t="array" ref="AG111">AG$106+IF($C111&lt;&gt;0,SUMPRODUCT((AG$107:AG$108)*TRANSPOSE(($D111:$E111))),0)</f>
        <v>731826.08248506999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0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-91321.673062791626</v>
      </c>
      <c r="M112" s="31" cm="1">
        <f t="array" ref="M112">M$106+IF($C112&lt;&gt;0,SUMPRODUCT((M$107:M$108)*TRANSPOSE(($D112:$E112))),0)</f>
        <v>587858.97099585179</v>
      </c>
      <c r="N112" s="31" cm="1">
        <f t="array" ref="N112">N$106+IF($C112&lt;&gt;0,SUMPRODUCT((N$107:N$108)*TRANSPOSE(($D112:$E112))),0)</f>
        <v>608936.18122479762</v>
      </c>
      <c r="O112" s="31" cm="1">
        <f t="array" ref="O112">O$106+IF($C112&lt;&gt;0,SUMPRODUCT((O$107:O$108)*TRANSPOSE(($D112:$E112))),0)</f>
        <v>639648.93309432897</v>
      </c>
      <c r="P112" s="31" cm="1">
        <f t="array" ref="P112">P$106+IF($C112&lt;&gt;0,SUMPRODUCT((P$107:P$108)*TRANSPOSE(($D112:$E112))),0)</f>
        <v>675267.0859434749</v>
      </c>
      <c r="Q112" s="31" cm="1">
        <f t="array" ref="Q112">Q$106+IF($C112&lt;&gt;0,SUMPRODUCT((Q$107:Q$108)*TRANSPOSE(($D112:$E112))),0)</f>
        <v>693957.13632048434</v>
      </c>
      <c r="R112" s="31" cm="1">
        <f t="array" ref="R112">R$106+IF($C112&lt;&gt;0,SUMPRODUCT((R$107:R$108)*TRANSPOSE(($D112:$E112))),0)</f>
        <v>699787.2784995765</v>
      </c>
      <c r="S112" s="31" cm="1">
        <f t="array" ref="S112">S$106+IF($C112&lt;&gt;0,SUMPRODUCT((S$107:S$108)*TRANSPOSE(($D112:$E112))),0)</f>
        <v>705894.40175492549</v>
      </c>
      <c r="T112" s="31" cm="1">
        <f t="array" ref="T112">T$106+IF($C112&lt;&gt;0,SUMPRODUCT((T$107:T$108)*TRANSPOSE(($D112:$E112))),0)</f>
        <v>712218.06852725404</v>
      </c>
      <c r="U112" s="31" cm="1">
        <f t="array" ref="U112">U$106+IF($C112&lt;&gt;0,SUMPRODUCT((U$107:U$108)*TRANSPOSE(($D112:$E112))),0)</f>
        <v>718715.19162483304</v>
      </c>
      <c r="V112" s="31" cm="1">
        <f t="array" ref="V112">V$106+IF($C112&lt;&gt;0,SUMPRODUCT((V$107:V$108)*TRANSPOSE(($D112:$E112))),0)</f>
        <v>725353.80176322465</v>
      </c>
      <c r="W112" s="31" cm="1">
        <f t="array" ref="W112">W$106+IF($C112&lt;&gt;0,SUMPRODUCT((W$107:W$108)*TRANSPOSE(($D112:$E112))),0)</f>
        <v>732109.44137393066</v>
      </c>
      <c r="X112" s="31" cm="1">
        <f t="array" ref="X112">X$106+IF($C112&lt;&gt;0,SUMPRODUCT((X$107:X$108)*TRANSPOSE(($D112:$E112))),0)</f>
        <v>738962.94105022366</v>
      </c>
      <c r="Y112" s="31" cm="1">
        <f t="array" ref="Y112">Y$106+IF($C112&lt;&gt;0,SUMPRODUCT((Y$107:Y$108)*TRANSPOSE(($D112:$E112))),0)</f>
        <v>745898.97853723436</v>
      </c>
      <c r="Z112" s="31" cm="1">
        <f t="array" ref="Z112">Z$106+IF($C112&lt;&gt;0,SUMPRODUCT((Z$107:Z$108)*TRANSPOSE(($D112:$E112))),0)</f>
        <v>752905.10664611426</v>
      </c>
      <c r="AA112" s="31" cm="1">
        <f t="array" ref="AA112">AA$106+IF($C112&lt;&gt;0,SUMPRODUCT((AA$107:AA$108)*TRANSPOSE(($D112:$E112))),0)</f>
        <v>759971.07547228038</v>
      </c>
      <c r="AB112" s="31" cm="1">
        <f t="array" ref="AB112">AB$106+IF($C112&lt;&gt;0,SUMPRODUCT((AB$107:AB$108)*TRANSPOSE(($D112:$E112))),0)</f>
        <v>767088.34654130589</v>
      </c>
      <c r="AC112" s="31" cm="1">
        <f t="array" ref="AC112">AC$106+IF($C112&lt;&gt;0,SUMPRODUCT((AC$107:AC$108)*TRANSPOSE(($D112:$E112))),0)</f>
        <v>774249.73622727068</v>
      </c>
      <c r="AD112" s="31" cm="1">
        <f t="array" ref="AD112">AD$106+IF($C112&lt;&gt;0,SUMPRODUCT((AD$107:AD$108)*TRANSPOSE(($D112:$E112))),0)</f>
        <v>781449.14867917914</v>
      </c>
      <c r="AE112" s="31" cm="1">
        <f t="array" ref="AE112">AE$106+IF($C112&lt;&gt;0,SUMPRODUCT((AE$107:AE$108)*TRANSPOSE(($D112:$E112))),0)</f>
        <v>788359.80301889172</v>
      </c>
      <c r="AF112" s="31" cm="1">
        <f t="array" ref="AF112">AF$106+IF($C112&lt;&gt;0,SUMPRODUCT((AF$107:AF$108)*TRANSPOSE(($D112:$E112))),0)</f>
        <v>795301.08877923945</v>
      </c>
      <c r="AG112" s="31" cm="1">
        <f t="array" ref="AG112">AG$106+IF($C112&lt;&gt;0,SUMPRODUCT((AG$107:AG$108)*TRANSPOSE(($D112:$E112))),0)</f>
        <v>802269.0405416931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0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-91321.673062791771</v>
      </c>
      <c r="M113" s="31" cm="1">
        <f t="array" ref="M113">M$106+IF($C113&lt;&gt;0,SUMPRODUCT((M$107:M$108)*TRANSPOSE(($D113:$E113))),0)</f>
        <v>431163.70005326468</v>
      </c>
      <c r="N113" s="31" cm="1">
        <f t="array" ref="N113">N$106+IF($C113&lt;&gt;0,SUMPRODUCT((N$107:N$108)*TRANSPOSE(($D113:$E113))),0)</f>
        <v>448408.69024058402</v>
      </c>
      <c r="O113" s="31" cm="1">
        <f t="array" ref="O113">O$106+IF($C113&lt;&gt;0,SUMPRODUCT((O$107:O$108)*TRANSPOSE(($D113:$E113))),0)</f>
        <v>473537.30540656415</v>
      </c>
      <c r="P113" s="31" cm="1">
        <f t="array" ref="P113">P$106+IF($C113&lt;&gt;0,SUMPRODUCT((P$107:P$108)*TRANSPOSE(($D113:$E113))),0)</f>
        <v>502679.43046495627</v>
      </c>
      <c r="Q113" s="31" cm="1">
        <f t="array" ref="Q113">Q$106+IF($C113&lt;&gt;0,SUMPRODUCT((Q$107:Q$108)*TRANSPOSE(($D113:$E113))),0)</f>
        <v>517971.2898643277</v>
      </c>
      <c r="R113" s="31" cm="1">
        <f t="array" ref="R113">R$106+IF($C113&lt;&gt;0,SUMPRODUCT((R$107:R$108)*TRANSPOSE(($D113:$E113))),0)</f>
        <v>522741.40619267587</v>
      </c>
      <c r="S113" s="31" cm="1">
        <f t="array" ref="S113">S$106+IF($C113&lt;&gt;0,SUMPRODUCT((S$107:S$108)*TRANSPOSE(($D113:$E113))),0)</f>
        <v>527738.14340159763</v>
      </c>
      <c r="T113" s="31" cm="1">
        <f t="array" ref="T113">T$106+IF($C113&lt;&gt;0,SUMPRODUCT((T$107:T$108)*TRANSPOSE(($D113:$E113))),0)</f>
        <v>532912.05257895752</v>
      </c>
      <c r="U113" s="31" cm="1">
        <f t="array" ref="U113">U$106+IF($C113&lt;&gt;0,SUMPRODUCT((U$107:U$108)*TRANSPOSE(($D113:$E113))),0)</f>
        <v>538227.8805678857</v>
      </c>
      <c r="V113" s="31" cm="1">
        <f t="array" ref="V113">V$106+IF($C113&lt;&gt;0,SUMPRODUCT((V$107:V$108)*TRANSPOSE(($D113:$E113))),0)</f>
        <v>543659.47068111529</v>
      </c>
      <c r="W113" s="31" cm="1">
        <f t="array" ref="W113">W$106+IF($C113&lt;&gt;0,SUMPRODUCT((W$107:W$108)*TRANSPOSE(($D113:$E113))),0)</f>
        <v>549186.81218078372</v>
      </c>
      <c r="X113" s="31" cm="1">
        <f t="array" ref="X113">X$106+IF($C113&lt;&gt;0,SUMPRODUCT((X$107:X$108)*TRANSPOSE(($D113:$E113))),0)</f>
        <v>554794.22100684175</v>
      </c>
      <c r="Y113" s="31" cm="1">
        <f t="array" ref="Y113">Y$106+IF($C113&lt;&gt;0,SUMPRODUCT((Y$107:Y$108)*TRANSPOSE(($D113:$E113))),0)</f>
        <v>560469.16076894139</v>
      </c>
      <c r="Z113" s="31" cm="1">
        <f t="array" ref="Z113">Z$106+IF($C113&lt;&gt;0,SUMPRODUCT((Z$107:Z$108)*TRANSPOSE(($D113:$E113))),0)</f>
        <v>566201.44740347937</v>
      </c>
      <c r="AA113" s="31" cm="1">
        <f t="array" ref="AA113">AA$106+IF($C113&lt;&gt;0,SUMPRODUCT((AA$107:AA$108)*TRANSPOSE(($D113:$E113))),0)</f>
        <v>571982.69462488801</v>
      </c>
      <c r="AB113" s="31" cm="1">
        <f t="array" ref="AB113">AB$106+IF($C113&lt;&gt;0,SUMPRODUCT((AB$107:AB$108)*TRANSPOSE(($D113:$E113))),0)</f>
        <v>577805.91640863626</v>
      </c>
      <c r="AC113" s="31" cm="1">
        <f t="array" ref="AC113">AC$106+IF($C113&lt;&gt;0,SUMPRODUCT((AC$107:AC$108)*TRANSPOSE(($D113:$E113))),0)</f>
        <v>583665.2352426073</v>
      </c>
      <c r="AD113" s="31" cm="1">
        <f t="array" ref="AD113">AD$106+IF($C113&lt;&gt;0,SUMPRODUCT((AD$107:AD$108)*TRANSPOSE(($D113:$E113))),0)</f>
        <v>589555.66361235059</v>
      </c>
      <c r="AE113" s="31" cm="1">
        <f t="array" ref="AE113">AE$106+IF($C113&lt;&gt;0,SUMPRODUCT((AE$107:AE$108)*TRANSPOSE(($D113:$E113))),0)</f>
        <v>595209.83534484287</v>
      </c>
      <c r="AF113" s="31" cm="1">
        <f t="array" ref="AF113">AF$106+IF($C113&lt;&gt;0,SUMPRODUCT((AF$107:AF$108)*TRANSPOSE(($D113:$E113))),0)</f>
        <v>600889.06914876378</v>
      </c>
      <c r="AG113" s="31" cm="1">
        <f t="array" ref="AG113">AG$106+IF($C113&lt;&gt;0,SUMPRODUCT((AG$107:AG$108)*TRANSPOSE(($D113:$E113))),0)</f>
        <v>606590.12059077132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0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-100453.84036907101</v>
      </c>
      <c r="M114" s="31" cm="1">
        <f t="array" ref="M114">M$106+IF($C114&lt;&gt;0,SUMPRODUCT((M$107:M$108)*TRANSPOSE(($D114:$E114))),0)</f>
        <v>403767.19813442696</v>
      </c>
      <c r="N114" s="31" cm="1">
        <f t="array" ref="N114">N$106+IF($C114&lt;&gt;0,SUMPRODUCT((N$107:N$108)*TRANSPOSE(($D114:$E114))),0)</f>
        <v>421012.1883217463</v>
      </c>
      <c r="O114" s="31" cm="1">
        <f t="array" ref="O114">O$106+IF($C114&lt;&gt;0,SUMPRODUCT((O$107:O$108)*TRANSPOSE(($D114:$E114))),0)</f>
        <v>446140.80348772649</v>
      </c>
      <c r="P114" s="31" cm="1">
        <f t="array" ref="P114">P$106+IF($C114&lt;&gt;0,SUMPRODUCT((P$107:P$108)*TRANSPOSE(($D114:$E114))),0)</f>
        <v>475282.92854611855</v>
      </c>
      <c r="Q114" s="31" cm="1">
        <f t="array" ref="Q114">Q$106+IF($C114&lt;&gt;0,SUMPRODUCT((Q$107:Q$108)*TRANSPOSE(($D114:$E114))),0)</f>
        <v>490574.78794548998</v>
      </c>
      <c r="R114" s="31" cm="1">
        <f t="array" ref="R114">R$106+IF($C114&lt;&gt;0,SUMPRODUCT((R$107:R$108)*TRANSPOSE(($D114:$E114))),0)</f>
        <v>495344.90427383815</v>
      </c>
      <c r="S114" s="31" cm="1">
        <f t="array" ref="S114">S$106+IF($C114&lt;&gt;0,SUMPRODUCT((S$107:S$108)*TRANSPOSE(($D114:$E114))),0)</f>
        <v>500341.64148275997</v>
      </c>
      <c r="T114" s="31" cm="1">
        <f t="array" ref="T114">T$106+IF($C114&lt;&gt;0,SUMPRODUCT((T$107:T$108)*TRANSPOSE(($D114:$E114))),0)</f>
        <v>505515.55066011974</v>
      </c>
      <c r="U114" s="31" cm="1">
        <f t="array" ref="U114">U$106+IF($C114&lt;&gt;0,SUMPRODUCT((U$107:U$108)*TRANSPOSE(($D114:$E114))),0)</f>
        <v>510831.37864904798</v>
      </c>
      <c r="V114" s="31" cm="1">
        <f t="array" ref="V114">V$106+IF($C114&lt;&gt;0,SUMPRODUCT((V$107:V$108)*TRANSPOSE(($D114:$E114))),0)</f>
        <v>516262.96876227751</v>
      </c>
      <c r="W114" s="31" cm="1">
        <f t="array" ref="W114">W$106+IF($C114&lt;&gt;0,SUMPRODUCT((W$107:W$108)*TRANSPOSE(($D114:$E114))),0)</f>
        <v>521790.31026194606</v>
      </c>
      <c r="X114" s="31" cm="1">
        <f t="array" ref="X114">X$106+IF($C114&lt;&gt;0,SUMPRODUCT((X$107:X$108)*TRANSPOSE(($D114:$E114))),0)</f>
        <v>527397.71908800397</v>
      </c>
      <c r="Y114" s="31" cm="1">
        <f t="array" ref="Y114">Y$106+IF($C114&lt;&gt;0,SUMPRODUCT((Y$107:Y$108)*TRANSPOSE(($D114:$E114))),0)</f>
        <v>533072.65885010362</v>
      </c>
      <c r="Z114" s="31" cm="1">
        <f t="array" ref="Z114">Z$106+IF($C114&lt;&gt;0,SUMPRODUCT((Z$107:Z$108)*TRANSPOSE(($D114:$E114))),0)</f>
        <v>538804.94548464171</v>
      </c>
      <c r="AA114" s="31" cm="1">
        <f t="array" ref="AA114">AA$106+IF($C114&lt;&gt;0,SUMPRODUCT((AA$107:AA$108)*TRANSPOSE(($D114:$E114))),0)</f>
        <v>544586.19270605035</v>
      </c>
      <c r="AB114" s="31" cm="1">
        <f t="array" ref="AB114">AB$106+IF($C114&lt;&gt;0,SUMPRODUCT((AB$107:AB$108)*TRANSPOSE(($D114:$E114))),0)</f>
        <v>550409.41448979848</v>
      </c>
      <c r="AC114" s="31" cm="1">
        <f t="array" ref="AC114">AC$106+IF($C114&lt;&gt;0,SUMPRODUCT((AC$107:AC$108)*TRANSPOSE(($D114:$E114))),0)</f>
        <v>556268.73332376964</v>
      </c>
      <c r="AD114" s="31" cm="1">
        <f t="array" ref="AD114">AD$106+IF($C114&lt;&gt;0,SUMPRODUCT((AD$107:AD$108)*TRANSPOSE(($D114:$E114))),0)</f>
        <v>562159.16169351293</v>
      </c>
      <c r="AE114" s="31" cm="1">
        <f t="array" ref="AE114">AE$106+IF($C114&lt;&gt;0,SUMPRODUCT((AE$107:AE$108)*TRANSPOSE(($D114:$E114))),0)</f>
        <v>567813.33342600509</v>
      </c>
      <c r="AF114" s="31" cm="1">
        <f t="array" ref="AF114">AF$106+IF($C114&lt;&gt;0,SUMPRODUCT((AF$107:AF$108)*TRANSPOSE(($D114:$E114))),0)</f>
        <v>573492.567229926</v>
      </c>
      <c r="AG114" s="31" cm="1">
        <f t="array" ref="AG114">AG$106+IF($C114&lt;&gt;0,SUMPRODUCT((AG$107:AG$108)*TRANSPOSE(($D114:$E114))),0)</f>
        <v>579193.61867193354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0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-91321.673062791699</v>
      </c>
      <c r="M115" s="31" cm="1">
        <f t="array" ref="M115">M$106+IF($C115&lt;&gt;0,SUMPRODUCT((M$107:M$108)*TRANSPOSE(($D115:$E115))),0)</f>
        <v>509511.33552455821</v>
      </c>
      <c r="N115" s="31" cm="1">
        <f t="array" ref="N115">N$106+IF($C115&lt;&gt;0,SUMPRODUCT((N$107:N$108)*TRANSPOSE(($D115:$E115))),0)</f>
        <v>528672.43573269085</v>
      </c>
      <c r="O115" s="31" cm="1">
        <f t="array" ref="O115">O$106+IF($C115&lt;&gt;0,SUMPRODUCT((O$107:O$108)*TRANSPOSE(($D115:$E115))),0)</f>
        <v>556593.11925044656</v>
      </c>
      <c r="P115" s="31" cm="1">
        <f t="array" ref="P115">P$106+IF($C115&lt;&gt;0,SUMPRODUCT((P$107:P$108)*TRANSPOSE(($D115:$E115))),0)</f>
        <v>588973.25820421556</v>
      </c>
      <c r="Q115" s="31" cm="1">
        <f t="array" ref="Q115">Q$106+IF($C115&lt;&gt;0,SUMPRODUCT((Q$107:Q$108)*TRANSPOSE(($D115:$E115))),0)</f>
        <v>605964.21309240605</v>
      </c>
      <c r="R115" s="31" cm="1">
        <f t="array" ref="R115">R$106+IF($C115&lt;&gt;0,SUMPRODUCT((R$107:R$108)*TRANSPOSE(($D115:$E115))),0)</f>
        <v>611264.34234612621</v>
      </c>
      <c r="S115" s="31" cm="1">
        <f t="array" ref="S115">S$106+IF($C115&lt;&gt;0,SUMPRODUCT((S$107:S$108)*TRANSPOSE(($D115:$E115))),0)</f>
        <v>616816.27257826156</v>
      </c>
      <c r="T115" s="31" cm="1">
        <f t="array" ref="T115">T$106+IF($C115&lt;&gt;0,SUMPRODUCT((T$107:T$108)*TRANSPOSE(($D115:$E115))),0)</f>
        <v>622565.06055310578</v>
      </c>
      <c r="U115" s="31" cm="1">
        <f t="array" ref="U115">U$106+IF($C115&lt;&gt;0,SUMPRODUCT((U$107:U$108)*TRANSPOSE(($D115:$E115))),0)</f>
        <v>628471.53609635937</v>
      </c>
      <c r="V115" s="31" cm="1">
        <f t="array" ref="V115">V$106+IF($C115&lt;&gt;0,SUMPRODUCT((V$107:V$108)*TRANSPOSE(($D115:$E115))),0)</f>
        <v>634506.63622216997</v>
      </c>
      <c r="W115" s="31" cm="1">
        <f t="array" ref="W115">W$106+IF($C115&lt;&gt;0,SUMPRODUCT((W$107:W$108)*TRANSPOSE(($D115:$E115))),0)</f>
        <v>640648.12677735719</v>
      </c>
      <c r="X115" s="31" cm="1">
        <f t="array" ref="X115">X$106+IF($C115&lt;&gt;0,SUMPRODUCT((X$107:X$108)*TRANSPOSE(($D115:$E115))),0)</f>
        <v>646878.5810285327</v>
      </c>
      <c r="Y115" s="31" cm="1">
        <f t="array" ref="Y115">Y$106+IF($C115&lt;&gt;0,SUMPRODUCT((Y$107:Y$108)*TRANSPOSE(($D115:$E115))),0)</f>
        <v>653184.06965308788</v>
      </c>
      <c r="Z115" s="31" cm="1">
        <f t="array" ref="Z115">Z$106+IF($C115&lt;&gt;0,SUMPRODUCT((Z$107:Z$108)*TRANSPOSE(($D115:$E115))),0)</f>
        <v>659553.27702479681</v>
      </c>
      <c r="AA115" s="31" cm="1">
        <f t="array" ref="AA115">AA$106+IF($C115&lt;&gt;0,SUMPRODUCT((AA$107:AA$108)*TRANSPOSE(($D115:$E115))),0)</f>
        <v>665976.8850485842</v>
      </c>
      <c r="AB115" s="31" cm="1">
        <f t="array" ref="AB115">AB$106+IF($C115&lt;&gt;0,SUMPRODUCT((AB$107:AB$108)*TRANSPOSE(($D115:$E115))),0)</f>
        <v>672447.13147497107</v>
      </c>
      <c r="AC115" s="31" cm="1">
        <f t="array" ref="AC115">AC$106+IF($C115&lt;&gt;0,SUMPRODUCT((AC$107:AC$108)*TRANSPOSE(($D115:$E115))),0)</f>
        <v>678957.48573493899</v>
      </c>
      <c r="AD115" s="31" cm="1">
        <f t="array" ref="AD115">AD$106+IF($C115&lt;&gt;0,SUMPRODUCT((AD$107:AD$108)*TRANSPOSE(($D115:$E115))),0)</f>
        <v>685502.40614576486</v>
      </c>
      <c r="AE115" s="31" cm="1">
        <f t="array" ref="AE115">AE$106+IF($C115&lt;&gt;0,SUMPRODUCT((AE$107:AE$108)*TRANSPOSE(($D115:$E115))),0)</f>
        <v>691784.81918186729</v>
      </c>
      <c r="AF115" s="31" cm="1">
        <f t="array" ref="AF115">AF$106+IF($C115&lt;&gt;0,SUMPRODUCT((AF$107:AF$108)*TRANSPOSE(($D115:$E115))),0)</f>
        <v>698095.07896400162</v>
      </c>
      <c r="AG115" s="31" cm="1">
        <f t="array" ref="AG115">AG$106+IF($C115&lt;&gt;0,SUMPRODUCT((AG$107:AG$108)*TRANSPOSE(($D115:$E115))),0)</f>
        <v>704429.58056623221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0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-91321.673062791699</v>
      </c>
      <c r="M116" s="31" cm="1">
        <f t="array" ref="M116">M$106+IF($C116&lt;&gt;0,SUMPRODUCT((M$107:M$108)*TRANSPOSE(($D116:$E116))),0)</f>
        <v>509511.33552455821</v>
      </c>
      <c r="N116" s="31" cm="1">
        <f t="array" ref="N116">N$106+IF($C116&lt;&gt;0,SUMPRODUCT((N$107:N$108)*TRANSPOSE(($D116:$E116))),0)</f>
        <v>528672.43573269085</v>
      </c>
      <c r="O116" s="31" cm="1">
        <f t="array" ref="O116">O$106+IF($C116&lt;&gt;0,SUMPRODUCT((O$107:O$108)*TRANSPOSE(($D116:$E116))),0)</f>
        <v>556593.11925044656</v>
      </c>
      <c r="P116" s="31" cm="1">
        <f t="array" ref="P116">P$106+IF($C116&lt;&gt;0,SUMPRODUCT((P$107:P$108)*TRANSPOSE(($D116:$E116))),0)</f>
        <v>588973.25820421556</v>
      </c>
      <c r="Q116" s="31" cm="1">
        <f t="array" ref="Q116">Q$106+IF($C116&lt;&gt;0,SUMPRODUCT((Q$107:Q$108)*TRANSPOSE(($D116:$E116))),0)</f>
        <v>605964.21309240605</v>
      </c>
      <c r="R116" s="31" cm="1">
        <f t="array" ref="R116">R$106+IF($C116&lt;&gt;0,SUMPRODUCT((R$107:R$108)*TRANSPOSE(($D116:$E116))),0)</f>
        <v>611264.34234612621</v>
      </c>
      <c r="S116" s="31" cm="1">
        <f t="array" ref="S116">S$106+IF($C116&lt;&gt;0,SUMPRODUCT((S$107:S$108)*TRANSPOSE(($D116:$E116))),0)</f>
        <v>616816.27257826156</v>
      </c>
      <c r="T116" s="31" cm="1">
        <f t="array" ref="T116">T$106+IF($C116&lt;&gt;0,SUMPRODUCT((T$107:T$108)*TRANSPOSE(($D116:$E116))),0)</f>
        <v>622565.06055310578</v>
      </c>
      <c r="U116" s="31" cm="1">
        <f t="array" ref="U116">U$106+IF($C116&lt;&gt;0,SUMPRODUCT((U$107:U$108)*TRANSPOSE(($D116:$E116))),0)</f>
        <v>628471.53609635937</v>
      </c>
      <c r="V116" s="31" cm="1">
        <f t="array" ref="V116">V$106+IF($C116&lt;&gt;0,SUMPRODUCT((V$107:V$108)*TRANSPOSE(($D116:$E116))),0)</f>
        <v>634506.63622216997</v>
      </c>
      <c r="W116" s="31" cm="1">
        <f t="array" ref="W116">W$106+IF($C116&lt;&gt;0,SUMPRODUCT((W$107:W$108)*TRANSPOSE(($D116:$E116))),0)</f>
        <v>640648.12677735719</v>
      </c>
      <c r="X116" s="31" cm="1">
        <f t="array" ref="X116">X$106+IF($C116&lt;&gt;0,SUMPRODUCT((X$107:X$108)*TRANSPOSE(($D116:$E116))),0)</f>
        <v>646878.5810285327</v>
      </c>
      <c r="Y116" s="31" cm="1">
        <f t="array" ref="Y116">Y$106+IF($C116&lt;&gt;0,SUMPRODUCT((Y$107:Y$108)*TRANSPOSE(($D116:$E116))),0)</f>
        <v>653184.06965308788</v>
      </c>
      <c r="Z116" s="31" cm="1">
        <f t="array" ref="Z116">Z$106+IF($C116&lt;&gt;0,SUMPRODUCT((Z$107:Z$108)*TRANSPOSE(($D116:$E116))),0)</f>
        <v>659553.27702479681</v>
      </c>
      <c r="AA116" s="31" cm="1">
        <f t="array" ref="AA116">AA$106+IF($C116&lt;&gt;0,SUMPRODUCT((AA$107:AA$108)*TRANSPOSE(($D116:$E116))),0)</f>
        <v>665976.8850485842</v>
      </c>
      <c r="AB116" s="31" cm="1">
        <f t="array" ref="AB116">AB$106+IF($C116&lt;&gt;0,SUMPRODUCT((AB$107:AB$108)*TRANSPOSE(($D116:$E116))),0)</f>
        <v>672447.13147497107</v>
      </c>
      <c r="AC116" s="31" cm="1">
        <f t="array" ref="AC116">AC$106+IF($C116&lt;&gt;0,SUMPRODUCT((AC$107:AC$108)*TRANSPOSE(($D116:$E116))),0)</f>
        <v>678957.48573493899</v>
      </c>
      <c r="AD116" s="31" cm="1">
        <f t="array" ref="AD116">AD$106+IF($C116&lt;&gt;0,SUMPRODUCT((AD$107:AD$108)*TRANSPOSE(($D116:$E116))),0)</f>
        <v>685502.40614576486</v>
      </c>
      <c r="AE116" s="31" cm="1">
        <f t="array" ref="AE116">AE$106+IF($C116&lt;&gt;0,SUMPRODUCT((AE$107:AE$108)*TRANSPOSE(($D116:$E116))),0)</f>
        <v>691784.81918186729</v>
      </c>
      <c r="AF116" s="31" cm="1">
        <f t="array" ref="AF116">AF$106+IF($C116&lt;&gt;0,SUMPRODUCT((AF$107:AF$108)*TRANSPOSE(($D116:$E116))),0)</f>
        <v>698095.07896400162</v>
      </c>
      <c r="AG116" s="31" cm="1">
        <f t="array" ref="AG116">AG$106+IF($C116&lt;&gt;0,SUMPRODUCT((AG$107:AG$108)*TRANSPOSE(($D116:$E116))),0)</f>
        <v>704429.58056623221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0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-91321.673062791699</v>
      </c>
      <c r="M117" s="31" cm="1">
        <f t="array" ref="M117">M$106+IF($C117&lt;&gt;0,SUMPRODUCT((M$107:M$108)*TRANSPOSE(($D117:$E117))),0)</f>
        <v>509511.33552455821</v>
      </c>
      <c r="N117" s="31" cm="1">
        <f t="array" ref="N117">N$106+IF($C117&lt;&gt;0,SUMPRODUCT((N$107:N$108)*TRANSPOSE(($D117:$E117))),0)</f>
        <v>528672.43573269085</v>
      </c>
      <c r="O117" s="31" cm="1">
        <f t="array" ref="O117">O$106+IF($C117&lt;&gt;0,SUMPRODUCT((O$107:O$108)*TRANSPOSE(($D117:$E117))),0)</f>
        <v>556593.11925044656</v>
      </c>
      <c r="P117" s="31" cm="1">
        <f t="array" ref="P117">P$106+IF($C117&lt;&gt;0,SUMPRODUCT((P$107:P$108)*TRANSPOSE(($D117:$E117))),0)</f>
        <v>588973.25820421556</v>
      </c>
      <c r="Q117" s="31" cm="1">
        <f t="array" ref="Q117">Q$106+IF($C117&lt;&gt;0,SUMPRODUCT((Q$107:Q$108)*TRANSPOSE(($D117:$E117))),0)</f>
        <v>605964.21309240605</v>
      </c>
      <c r="R117" s="31" cm="1">
        <f t="array" ref="R117">R$106+IF($C117&lt;&gt;0,SUMPRODUCT((R$107:R$108)*TRANSPOSE(($D117:$E117))),0)</f>
        <v>611264.34234612621</v>
      </c>
      <c r="S117" s="31" cm="1">
        <f t="array" ref="S117">S$106+IF($C117&lt;&gt;0,SUMPRODUCT((S$107:S$108)*TRANSPOSE(($D117:$E117))),0)</f>
        <v>616816.27257826156</v>
      </c>
      <c r="T117" s="31" cm="1">
        <f t="array" ref="T117">T$106+IF($C117&lt;&gt;0,SUMPRODUCT((T$107:T$108)*TRANSPOSE(($D117:$E117))),0)</f>
        <v>622565.06055310578</v>
      </c>
      <c r="U117" s="31" cm="1">
        <f t="array" ref="U117">U$106+IF($C117&lt;&gt;0,SUMPRODUCT((U$107:U$108)*TRANSPOSE(($D117:$E117))),0)</f>
        <v>628471.53609635937</v>
      </c>
      <c r="V117" s="31" cm="1">
        <f t="array" ref="V117">V$106+IF($C117&lt;&gt;0,SUMPRODUCT((V$107:V$108)*TRANSPOSE(($D117:$E117))),0)</f>
        <v>634506.63622216997</v>
      </c>
      <c r="W117" s="31" cm="1">
        <f t="array" ref="W117">W$106+IF($C117&lt;&gt;0,SUMPRODUCT((W$107:W$108)*TRANSPOSE(($D117:$E117))),0)</f>
        <v>640648.12677735719</v>
      </c>
      <c r="X117" s="31" cm="1">
        <f t="array" ref="X117">X$106+IF($C117&lt;&gt;0,SUMPRODUCT((X$107:X$108)*TRANSPOSE(($D117:$E117))),0)</f>
        <v>646878.5810285327</v>
      </c>
      <c r="Y117" s="31" cm="1">
        <f t="array" ref="Y117">Y$106+IF($C117&lt;&gt;0,SUMPRODUCT((Y$107:Y$108)*TRANSPOSE(($D117:$E117))),0)</f>
        <v>653184.06965308788</v>
      </c>
      <c r="Z117" s="31" cm="1">
        <f t="array" ref="Z117">Z$106+IF($C117&lt;&gt;0,SUMPRODUCT((Z$107:Z$108)*TRANSPOSE(($D117:$E117))),0)</f>
        <v>659553.27702479681</v>
      </c>
      <c r="AA117" s="31" cm="1">
        <f t="array" ref="AA117">AA$106+IF($C117&lt;&gt;0,SUMPRODUCT((AA$107:AA$108)*TRANSPOSE(($D117:$E117))),0)</f>
        <v>665976.8850485842</v>
      </c>
      <c r="AB117" s="31" cm="1">
        <f t="array" ref="AB117">AB$106+IF($C117&lt;&gt;0,SUMPRODUCT((AB$107:AB$108)*TRANSPOSE(($D117:$E117))),0)</f>
        <v>672447.13147497107</v>
      </c>
      <c r="AC117" s="31" cm="1">
        <f t="array" ref="AC117">AC$106+IF($C117&lt;&gt;0,SUMPRODUCT((AC$107:AC$108)*TRANSPOSE(($D117:$E117))),0)</f>
        <v>678957.48573493899</v>
      </c>
      <c r="AD117" s="31" cm="1">
        <f t="array" ref="AD117">AD$106+IF($C117&lt;&gt;0,SUMPRODUCT((AD$107:AD$108)*TRANSPOSE(($D117:$E117))),0)</f>
        <v>685502.40614576486</v>
      </c>
      <c r="AE117" s="31" cm="1">
        <f t="array" ref="AE117">AE$106+IF($C117&lt;&gt;0,SUMPRODUCT((AE$107:AE$108)*TRANSPOSE(($D117:$E117))),0)</f>
        <v>691784.81918186729</v>
      </c>
      <c r="AF117" s="31" cm="1">
        <f t="array" ref="AF117">AF$106+IF($C117&lt;&gt;0,SUMPRODUCT((AF$107:AF$108)*TRANSPOSE(($D117:$E117))),0)</f>
        <v>698095.07896400162</v>
      </c>
      <c r="AG117" s="31" cm="1">
        <f t="array" ref="AG117">AG$106+IF($C117&lt;&gt;0,SUMPRODUCT((AG$107:AG$108)*TRANSPOSE(($D117:$E117))),0)</f>
        <v>704429.58056623221</v>
      </c>
    </row>
    <row r="118" spans="1:33" x14ac:dyDescent="0.2">
      <c r="E118" s="242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7"/>
      <c r="J129" s="247"/>
      <c r="K129" s="247"/>
      <c r="L129" s="247"/>
    </row>
    <row r="130" spans="9:12" x14ac:dyDescent="0.2">
      <c r="I130" s="247"/>
      <c r="J130" s="247"/>
      <c r="K130" s="247"/>
      <c r="L130" s="247"/>
    </row>
    <row r="131" spans="9:12" x14ac:dyDescent="0.2">
      <c r="I131" s="247"/>
      <c r="J131" s="247"/>
      <c r="K131" s="247"/>
      <c r="L131" s="247"/>
    </row>
    <row r="132" spans="9:12" x14ac:dyDescent="0.2">
      <c r="I132" s="247"/>
      <c r="J132" s="247"/>
      <c r="K132" s="247"/>
      <c r="L132" s="247"/>
    </row>
    <row r="133" spans="9:12" x14ac:dyDescent="0.2">
      <c r="I133" s="247"/>
      <c r="J133" s="247"/>
      <c r="K133" s="247"/>
      <c r="L133" s="247"/>
    </row>
    <row r="134" spans="9:12" x14ac:dyDescent="0.2">
      <c r="I134" s="247"/>
      <c r="J134" s="247"/>
      <c r="K134" s="247"/>
      <c r="L134" s="247"/>
    </row>
    <row r="135" spans="9:12" x14ac:dyDescent="0.2">
      <c r="I135" s="247"/>
      <c r="J135" s="247"/>
      <c r="K135" s="247"/>
      <c r="L135" s="247"/>
    </row>
    <row r="136" spans="9:12" x14ac:dyDescent="0.2">
      <c r="I136" s="247"/>
      <c r="J136" s="247"/>
      <c r="K136" s="247"/>
      <c r="L136" s="247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85" zoomScaleNormal="85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C14" sqref="C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AR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135</v>
      </c>
      <c r="B3" s="5"/>
      <c r="C3" s="199">
        <f>INDEX(Assumptions!$E$14:$E$18, MATCH(A3,_xlfn.ANCHORARRAY( Assumptions!$C$14),0))</f>
        <v>0</v>
      </c>
    </row>
    <row r="4" spans="1:43" x14ac:dyDescent="0.2">
      <c r="A4" s="200" t="str">
        <f>(INDEX(Data!$D$9:$D$13, MATCH(A3, options,0)))</f>
        <v>Not used</v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59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  <c r="AH12"/>
    </row>
    <row r="13" spans="1:43" x14ac:dyDescent="0.2">
      <c r="C13" s="3" t="s">
        <v>17</v>
      </c>
      <c r="D13"/>
      <c r="E13" s="125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7">
        <v>10</v>
      </c>
      <c r="G14" s="206">
        <f>input_dollars</f>
        <v>45291</v>
      </c>
      <c r="H14" s="148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6"/>
      <c r="I17" s="105">
        <f t="shared" ref="I17:Q17" si="0">SUM(I14:I16)</f>
        <v>0</v>
      </c>
      <c r="J17" s="105">
        <f t="shared" si="0"/>
        <v>0</v>
      </c>
      <c r="K17" s="105">
        <f t="shared" si="0"/>
        <v>0</v>
      </c>
      <c r="L17" s="105">
        <f t="shared" si="0"/>
        <v>0</v>
      </c>
      <c r="M17" s="105">
        <f t="shared" si="0"/>
        <v>0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B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>SUM(AC14:AC16)</f>
        <v>0</v>
      </c>
      <c r="AD17" s="105">
        <f>SUM(AD14:AD16)</f>
        <v>0</v>
      </c>
      <c r="AE17" s="105">
        <f>SUM(AE14:AE16)</f>
        <v>0</v>
      </c>
      <c r="AF17" s="105">
        <f>SUM(AF14:AF16)</f>
        <v>0</v>
      </c>
      <c r="AG17" s="105">
        <f>SUM(AG14:AG16)</f>
        <v>0</v>
      </c>
      <c r="AH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6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4"/>
      <c r="AH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7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7"/>
      <c r="H24" s="110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7"/>
      <c r="E25" s="110"/>
      <c r="F25" s="110"/>
      <c r="G25" s="207"/>
      <c r="H25" s="110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7"/>
      <c r="E26" s="110"/>
      <c r="F26" s="110"/>
      <c r="G26" s="207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2">
        <f>Assumptions!H41*vcr_esc</f>
        <v>35599.455554362678</v>
      </c>
      <c r="F28" s="237" t="str">
        <f>IF(AND(SUM(I27:AG27)&lt;&gt;0, E28=0), "!", "")</f>
        <v/>
      </c>
      <c r="G28" s="206">
        <f>input_dollars</f>
        <v>45291</v>
      </c>
      <c r="H28"/>
      <c r="I28" s="167">
        <v>0</v>
      </c>
      <c r="J28" s="167">
        <v>0</v>
      </c>
      <c r="K28" s="167">
        <v>0</v>
      </c>
      <c r="L28" s="167">
        <v>0</v>
      </c>
      <c r="M28" s="167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7">
        <v>0</v>
      </c>
      <c r="W28" s="167">
        <v>0</v>
      </c>
      <c r="X28" s="167">
        <v>0</v>
      </c>
      <c r="Y28" s="167">
        <v>0</v>
      </c>
      <c r="Z28" s="167">
        <v>0</v>
      </c>
      <c r="AA28" s="167">
        <v>0</v>
      </c>
      <c r="AB28" s="167">
        <v>0</v>
      </c>
      <c r="AC28" s="167">
        <v>0</v>
      </c>
      <c r="AD28" s="167">
        <v>0</v>
      </c>
      <c r="AE28" s="167">
        <v>0</v>
      </c>
      <c r="AF28" s="167">
        <v>0</v>
      </c>
      <c r="AG28" s="167"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'Option1 (base case)'!C30</f>
        <v>Safety risk</v>
      </c>
      <c r="D30" s="204" t="s">
        <v>208</v>
      </c>
      <c r="G30" s="206">
        <f>input_dollars</f>
        <v>45291</v>
      </c>
      <c r="H30" s="148"/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167">
        <v>0</v>
      </c>
      <c r="P30" s="167">
        <v>0</v>
      </c>
      <c r="Q30" s="167">
        <v>0</v>
      </c>
      <c r="R30" s="167">
        <v>0</v>
      </c>
      <c r="S30" s="167">
        <v>0</v>
      </c>
      <c r="T30" s="167">
        <v>0</v>
      </c>
      <c r="U30" s="167">
        <v>0</v>
      </c>
      <c r="V30" s="167">
        <v>0</v>
      </c>
      <c r="W30" s="167">
        <v>0</v>
      </c>
      <c r="X30" s="167">
        <v>0</v>
      </c>
      <c r="Y30" s="167">
        <v>0</v>
      </c>
      <c r="Z30" s="167">
        <v>0</v>
      </c>
      <c r="AA30" s="167">
        <v>0</v>
      </c>
      <c r="AB30" s="167">
        <v>0</v>
      </c>
      <c r="AC30" s="167">
        <v>0</v>
      </c>
      <c r="AD30" s="167">
        <v>0</v>
      </c>
      <c r="AE30" s="167">
        <v>0</v>
      </c>
      <c r="AF30" s="167">
        <v>0</v>
      </c>
      <c r="AG30" s="167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'Option1 (base case)'!C31</f>
        <v>Unplanned replacement risk</v>
      </c>
      <c r="D31" s="205"/>
      <c r="E31"/>
      <c r="G31" s="206">
        <f>input_dollars</f>
        <v>45291</v>
      </c>
      <c r="H31" s="148"/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0</v>
      </c>
      <c r="R31" s="167">
        <v>0</v>
      </c>
      <c r="S31" s="167">
        <v>0</v>
      </c>
      <c r="T31" s="167">
        <v>0</v>
      </c>
      <c r="U31" s="167">
        <v>0</v>
      </c>
      <c r="V31" s="167">
        <v>0</v>
      </c>
      <c r="W31" s="167">
        <v>0</v>
      </c>
      <c r="X31" s="167">
        <v>0</v>
      </c>
      <c r="Y31" s="167">
        <v>0</v>
      </c>
      <c r="Z31" s="167">
        <v>0</v>
      </c>
      <c r="AA31" s="167">
        <v>0</v>
      </c>
      <c r="AB31" s="167">
        <v>0</v>
      </c>
      <c r="AC31" s="167">
        <v>0</v>
      </c>
      <c r="AD31" s="167">
        <v>0</v>
      </c>
      <c r="AE31" s="167">
        <v>0</v>
      </c>
      <c r="AF31" s="167">
        <v>0</v>
      </c>
      <c r="AG31" s="167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'Option1 (base case)'!C32</f>
        <v>Unplanned fault risk</v>
      </c>
      <c r="D32" s="204"/>
      <c r="E32"/>
      <c r="G32" s="206">
        <f>input_dollars</f>
        <v>45291</v>
      </c>
      <c r="H32"/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7">
        <v>0</v>
      </c>
      <c r="O32" s="167">
        <v>0</v>
      </c>
      <c r="P32" s="167">
        <v>0</v>
      </c>
      <c r="Q32" s="167">
        <v>0</v>
      </c>
      <c r="R32" s="167">
        <v>0</v>
      </c>
      <c r="S32" s="167">
        <v>0</v>
      </c>
      <c r="T32" s="167">
        <v>0</v>
      </c>
      <c r="U32" s="167">
        <v>0</v>
      </c>
      <c r="V32" s="167">
        <v>0</v>
      </c>
      <c r="W32" s="167">
        <v>0</v>
      </c>
      <c r="X32" s="167">
        <v>0</v>
      </c>
      <c r="Y32" s="167">
        <v>0</v>
      </c>
      <c r="Z32" s="167">
        <v>0</v>
      </c>
      <c r="AA32" s="167">
        <v>0</v>
      </c>
      <c r="AB32" s="167">
        <v>0</v>
      </c>
      <c r="AC32" s="167">
        <v>0</v>
      </c>
      <c r="AD32" s="167">
        <v>0</v>
      </c>
      <c r="AE32" s="167">
        <v>0</v>
      </c>
      <c r="AF32" s="167">
        <v>0</v>
      </c>
      <c r="AG32" s="167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'Option1 (base case)'!C33</f>
        <v>Enviromental risk</v>
      </c>
      <c r="D33" s="204" t="s">
        <v>208</v>
      </c>
      <c r="E33"/>
      <c r="G33" s="206">
        <f>input_dollars</f>
        <v>45291</v>
      </c>
      <c r="H33"/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v>0</v>
      </c>
      <c r="P33" s="167">
        <v>0</v>
      </c>
      <c r="Q33" s="167">
        <v>0</v>
      </c>
      <c r="R33" s="167">
        <v>0</v>
      </c>
      <c r="S33" s="167">
        <v>0</v>
      </c>
      <c r="T33" s="167">
        <v>0</v>
      </c>
      <c r="U33" s="167">
        <v>0</v>
      </c>
      <c r="V33" s="167">
        <v>0</v>
      </c>
      <c r="W33" s="167">
        <v>0</v>
      </c>
      <c r="X33" s="167">
        <v>0</v>
      </c>
      <c r="Y33" s="167">
        <v>0</v>
      </c>
      <c r="Z33" s="167">
        <v>0</v>
      </c>
      <c r="AA33" s="167">
        <v>0</v>
      </c>
      <c r="AB33" s="167">
        <v>0</v>
      </c>
      <c r="AC33" s="167">
        <v>0</v>
      </c>
      <c r="AD33" s="167">
        <v>0</v>
      </c>
      <c r="AE33" s="167">
        <v>0</v>
      </c>
      <c r="AF33" s="167">
        <v>0</v>
      </c>
      <c r="AG33" s="167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173</v>
      </c>
      <c r="D34" s="205"/>
      <c r="E34"/>
      <c r="G34" s="206">
        <f>input_dollars</f>
        <v>45291</v>
      </c>
      <c r="H34"/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v>0</v>
      </c>
      <c r="P34" s="167">
        <v>0</v>
      </c>
      <c r="Q34" s="167">
        <v>0</v>
      </c>
      <c r="R34" s="167">
        <v>0</v>
      </c>
      <c r="S34" s="167">
        <v>0</v>
      </c>
      <c r="T34" s="167">
        <v>0</v>
      </c>
      <c r="U34" s="167">
        <v>0</v>
      </c>
      <c r="V34" s="167">
        <v>0</v>
      </c>
      <c r="W34" s="167">
        <v>0</v>
      </c>
      <c r="X34" s="167">
        <v>0</v>
      </c>
      <c r="Y34" s="167">
        <v>0</v>
      </c>
      <c r="Z34" s="167">
        <v>0</v>
      </c>
      <c r="AA34" s="167">
        <v>0</v>
      </c>
      <c r="AB34" s="167">
        <v>0</v>
      </c>
      <c r="AC34" s="167">
        <v>0</v>
      </c>
      <c r="AD34" s="167">
        <v>0</v>
      </c>
      <c r="AE34" s="167">
        <v>0</v>
      </c>
      <c r="AF34" s="167">
        <v>0</v>
      </c>
      <c r="AG34" s="167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6"/>
      <c r="F36" s="3"/>
      <c r="G36" s="208"/>
      <c r="H36" s="106"/>
      <c r="I36" s="169">
        <f>SUM(I28:I34)</f>
        <v>0</v>
      </c>
      <c r="J36" s="169">
        <f t="shared" ref="J36:AB36" si="2">SUM(J28:J34)</f>
        <v>0</v>
      </c>
      <c r="K36" s="169">
        <f t="shared" si="2"/>
        <v>0</v>
      </c>
      <c r="L36" s="169">
        <f t="shared" si="2"/>
        <v>0</v>
      </c>
      <c r="M36" s="169">
        <f t="shared" si="2"/>
        <v>0</v>
      </c>
      <c r="N36" s="169">
        <f t="shared" si="2"/>
        <v>0</v>
      </c>
      <c r="O36" s="169">
        <f t="shared" si="2"/>
        <v>0</v>
      </c>
      <c r="P36" s="169">
        <f t="shared" si="2"/>
        <v>0</v>
      </c>
      <c r="Q36" s="169">
        <f t="shared" si="2"/>
        <v>0</v>
      </c>
      <c r="R36" s="169">
        <f t="shared" si="2"/>
        <v>0</v>
      </c>
      <c r="S36" s="169">
        <f t="shared" si="2"/>
        <v>0</v>
      </c>
      <c r="T36" s="169">
        <f t="shared" si="2"/>
        <v>0</v>
      </c>
      <c r="U36" s="169">
        <f t="shared" si="2"/>
        <v>0</v>
      </c>
      <c r="V36" s="169">
        <f t="shared" si="2"/>
        <v>0</v>
      </c>
      <c r="W36" s="169">
        <f t="shared" si="2"/>
        <v>0</v>
      </c>
      <c r="X36" s="169">
        <f t="shared" si="2"/>
        <v>0</v>
      </c>
      <c r="Y36" s="169">
        <f t="shared" si="2"/>
        <v>0</v>
      </c>
      <c r="Z36" s="169">
        <f t="shared" si="2"/>
        <v>0</v>
      </c>
      <c r="AA36" s="169">
        <f t="shared" si="2"/>
        <v>0</v>
      </c>
      <c r="AB36" s="169">
        <f t="shared" si="2"/>
        <v>0</v>
      </c>
      <c r="AC36" s="169">
        <f>SUM(AC28:AC34)</f>
        <v>0</v>
      </c>
      <c r="AD36" s="169">
        <f>SUM(AD28:AD34)</f>
        <v>0</v>
      </c>
      <c r="AE36" s="169">
        <f>SUM(AE28:AE34)</f>
        <v>0</v>
      </c>
      <c r="AF36" s="169">
        <f>SUM(AF28:AF34)</f>
        <v>0</v>
      </c>
      <c r="AG36" s="169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4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  <c r="AH42"/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2">
        <f>Assumptions!G94</f>
        <v>0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4" t="s">
        <v>63</v>
      </c>
      <c r="E46" s="112">
        <f>Assumptions!G95</f>
        <v>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4" t="s">
        <v>63</v>
      </c>
      <c r="E47" s="111">
        <f>Assumptions!G96</f>
        <v>4220.9953699573898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4" t="s">
        <v>126</v>
      </c>
      <c r="E48" s="111">
        <f>Assumptions!G97</f>
        <v>0</v>
      </c>
      <c r="G48" s="206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203</v>
      </c>
      <c r="D49" s="204" t="s">
        <v>206</v>
      </c>
      <c r="E49" s="111">
        <f>Assumptions!G98</f>
        <v>0.54769380678923496</v>
      </c>
      <c r="G49" s="206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204</v>
      </c>
      <c r="D50" s="204" t="s">
        <v>206</v>
      </c>
      <c r="E50" s="111">
        <f>Assumptions!G99</f>
        <v>0.54769380678923496</v>
      </c>
      <c r="G50" s="206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4" t="s">
        <v>126</v>
      </c>
      <c r="E51" s="111">
        <f>Assumptions!G100</f>
        <v>0</v>
      </c>
      <c r="G51" s="206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4" t="s">
        <v>126</v>
      </c>
      <c r="E52" s="111">
        <f>Assumptions!G101</f>
        <v>0</v>
      </c>
      <c r="G52" s="206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4"/>
      <c r="G56" s="204"/>
      <c r="AH56"/>
    </row>
    <row r="57" spans="1:43" x14ac:dyDescent="0.2">
      <c r="C57" s="3" t="s">
        <v>125</v>
      </c>
      <c r="D57" s="217"/>
      <c r="E57" s="106"/>
      <c r="F57" s="3"/>
      <c r="G57" s="209">
        <f>input_dollars</f>
        <v>45291</v>
      </c>
      <c r="H57" s="106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  <c r="AH57"/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7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0</v>
      </c>
      <c r="N64" s="131">
        <f>(1-INDEX(Data!$C$9:$C$13, MATCH($A$3, options,0)))*('Option1 (base case)'!N36-N36)</f>
        <v>0</v>
      </c>
      <c r="O64" s="131">
        <f>(1-INDEX(Data!$C$9:$C$13, MATCH($A$3, options,0)))*('Option1 (base case)'!O36-O36)</f>
        <v>0</v>
      </c>
      <c r="P64" s="131">
        <f>(1-INDEX(Data!$C$9:$C$13, MATCH($A$3, options,0)))*('Option1 (base case)'!P36-P36)</f>
        <v>0</v>
      </c>
      <c r="Q64" s="131">
        <f>(1-INDEX(Data!$C$9:$C$13, MATCH($A$3, options,0)))*('Option1 (base case)'!Q36-Q36)</f>
        <v>0</v>
      </c>
      <c r="R64" s="131">
        <f>(1-INDEX(Data!$C$9:$C$13, MATCH($A$3, options,0)))*('Option1 (base case)'!R36-R36)</f>
        <v>0</v>
      </c>
      <c r="S64" s="131">
        <f>(1-INDEX(Data!$C$9:$C$13, MATCH($A$3, options,0)))*('Option1 (base case)'!S36-S36)</f>
        <v>0</v>
      </c>
      <c r="T64" s="131">
        <f>(1-INDEX(Data!$C$9:$C$13, MATCH($A$3, options,0)))*('Option1 (base case)'!T36-T36)</f>
        <v>0</v>
      </c>
      <c r="U64" s="131">
        <f>(1-INDEX(Data!$C$9:$C$13, MATCH($A$3, options,0)))*('Option1 (base case)'!U36-U36)</f>
        <v>0</v>
      </c>
      <c r="V64" s="131">
        <f>(1-INDEX(Data!$C$9:$C$13, MATCH($A$3, options,0)))*('Option1 (base case)'!V36-V36)</f>
        <v>0</v>
      </c>
      <c r="W64" s="131">
        <f>(1-INDEX(Data!$C$9:$C$13, MATCH($A$3, options,0)))*('Option1 (base case)'!W36-W36)</f>
        <v>0</v>
      </c>
      <c r="X64" s="131">
        <f>(1-INDEX(Data!$C$9:$C$13, MATCH($A$3, options,0)))*('Option1 (base case)'!X36-X36)</f>
        <v>0</v>
      </c>
      <c r="Y64" s="131">
        <f>(1-INDEX(Data!$C$9:$C$13, MATCH($A$3, options,0)))*('Option1 (base case)'!Y36-Y36)</f>
        <v>0</v>
      </c>
      <c r="Z64" s="131">
        <f>(1-INDEX(Data!$C$9:$C$13, MATCH($A$3, options,0)))*('Option1 (base case)'!Z36-Z36)</f>
        <v>0</v>
      </c>
      <c r="AA64" s="131">
        <f>(1-INDEX(Data!$C$9:$C$13, MATCH($A$3, options,0)))*('Option1 (base case)'!AA36-AA36)</f>
        <v>0</v>
      </c>
      <c r="AB64" s="131">
        <f>(1-INDEX(Data!$C$9:$C$13, MATCH($A$3, options,0)))*('Option1 (base case)'!AB36-AB36)</f>
        <v>0</v>
      </c>
      <c r="AC64" s="131">
        <f>(1-INDEX(Data!$C$9:$C$13, MATCH($A$3, options,0)))*('Option1 (base case)'!AC36-AC36)</f>
        <v>0</v>
      </c>
      <c r="AD64" s="131">
        <f>(1-INDEX(Data!$C$9:$C$13, MATCH($A$3, options,0)))*('Option1 (base case)'!AD36-AD36)</f>
        <v>0</v>
      </c>
      <c r="AE64" s="131">
        <f>(1-INDEX(Data!$C$9:$C$13, MATCH($A$3, options,0)))*('Option1 (base case)'!AE36-AE36)</f>
        <v>0</v>
      </c>
      <c r="AF64" s="131">
        <f>(1-INDEX(Data!$C$9:$C$13, MATCH($A$3, options,0)))*('Option1 (base case)'!AF36-AF36)</f>
        <v>0</v>
      </c>
      <c r="AG64" s="131">
        <f>(1-INDEX(Data!$C$9:$C$13, MATCH($A$3, options,0)))*('Option1 (base case)'!AG36-AG36)</f>
        <v>0</v>
      </c>
      <c r="AH64"/>
    </row>
    <row r="65" spans="1:34" x14ac:dyDescent="0.2">
      <c r="G65" s="211"/>
      <c r="AH65"/>
    </row>
    <row r="66" spans="1:34" x14ac:dyDescent="0.2">
      <c r="A66" s="8"/>
      <c r="B66" s="8"/>
      <c r="C66" s="146" t="s">
        <v>30</v>
      </c>
      <c r="D66" s="38"/>
      <c r="F66" s="96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&lt; Enter description &gt;</v>
      </c>
      <c r="D67" s="38"/>
      <c r="F67" s="96"/>
      <c r="G67" s="209">
        <f>input_dollars</f>
        <v>45291</v>
      </c>
      <c r="H67" s="31"/>
      <c r="I67" s="118">
        <f t="shared" ref="I67:AG67" si="4">-I14</f>
        <v>0</v>
      </c>
      <c r="J67" s="118">
        <f t="shared" si="4"/>
        <v>0</v>
      </c>
      <c r="K67" s="118">
        <f t="shared" si="4"/>
        <v>0</v>
      </c>
      <c r="L67" s="118">
        <f t="shared" si="4"/>
        <v>0</v>
      </c>
      <c r="M67" s="118">
        <f t="shared" si="4"/>
        <v>0</v>
      </c>
      <c r="N67" s="118">
        <f t="shared" si="4"/>
        <v>0</v>
      </c>
      <c r="O67" s="118">
        <f t="shared" si="4"/>
        <v>0</v>
      </c>
      <c r="P67" s="118">
        <f t="shared" si="4"/>
        <v>0</v>
      </c>
      <c r="Q67" s="118">
        <f t="shared" si="4"/>
        <v>0</v>
      </c>
      <c r="R67" s="118">
        <f t="shared" si="4"/>
        <v>0</v>
      </c>
      <c r="S67" s="118">
        <f t="shared" si="4"/>
        <v>0</v>
      </c>
      <c r="T67" s="118">
        <f t="shared" si="4"/>
        <v>0</v>
      </c>
      <c r="U67" s="118">
        <f t="shared" si="4"/>
        <v>0</v>
      </c>
      <c r="V67" s="118">
        <f t="shared" si="4"/>
        <v>0</v>
      </c>
      <c r="W67" s="118">
        <f t="shared" si="4"/>
        <v>0</v>
      </c>
      <c r="X67" s="118">
        <f t="shared" si="4"/>
        <v>0</v>
      </c>
      <c r="Y67" s="118">
        <f t="shared" si="4"/>
        <v>0</v>
      </c>
      <c r="Z67" s="118">
        <f t="shared" si="4"/>
        <v>0</v>
      </c>
      <c r="AA67" s="118">
        <f t="shared" si="4"/>
        <v>0</v>
      </c>
      <c r="AB67" s="118">
        <f t="shared" si="4"/>
        <v>0</v>
      </c>
      <c r="AC67" s="118">
        <f t="shared" si="4"/>
        <v>0</v>
      </c>
      <c r="AD67" s="118">
        <f t="shared" si="4"/>
        <v>0</v>
      </c>
      <c r="AE67" s="118">
        <f t="shared" si="4"/>
        <v>0</v>
      </c>
      <c r="AF67" s="118">
        <f t="shared" si="4"/>
        <v>0</v>
      </c>
      <c r="AG67" s="118">
        <f t="shared" si="4"/>
        <v>0</v>
      </c>
      <c r="AH67"/>
    </row>
    <row r="68" spans="1:34" x14ac:dyDescent="0.2">
      <c r="A68" s="8"/>
      <c r="B68" s="8"/>
      <c r="C68" s="4" t="str">
        <f>C15</f>
        <v>&lt; Enter description &gt;</v>
      </c>
      <c r="D68" s="38"/>
      <c r="F68" s="96"/>
      <c r="G68" s="209">
        <f>input_dollars</f>
        <v>45291</v>
      </c>
      <c r="H68" s="31"/>
      <c r="I68" s="118">
        <f t="shared" ref="I68:AG68" si="5">-I15</f>
        <v>0</v>
      </c>
      <c r="J68" s="118">
        <f t="shared" si="5"/>
        <v>0</v>
      </c>
      <c r="K68" s="118">
        <f t="shared" si="5"/>
        <v>0</v>
      </c>
      <c r="L68" s="118">
        <f t="shared" si="5"/>
        <v>0</v>
      </c>
      <c r="M68" s="118">
        <f t="shared" si="5"/>
        <v>0</v>
      </c>
      <c r="N68" s="118">
        <f t="shared" si="5"/>
        <v>0</v>
      </c>
      <c r="O68" s="118">
        <f t="shared" si="5"/>
        <v>0</v>
      </c>
      <c r="P68" s="118">
        <f t="shared" si="5"/>
        <v>0</v>
      </c>
      <c r="Q68" s="118">
        <f t="shared" si="5"/>
        <v>0</v>
      </c>
      <c r="R68" s="118">
        <f t="shared" si="5"/>
        <v>0</v>
      </c>
      <c r="S68" s="118">
        <f t="shared" si="5"/>
        <v>0</v>
      </c>
      <c r="T68" s="118">
        <f t="shared" si="5"/>
        <v>0</v>
      </c>
      <c r="U68" s="118">
        <f t="shared" si="5"/>
        <v>0</v>
      </c>
      <c r="V68" s="118">
        <f t="shared" si="5"/>
        <v>0</v>
      </c>
      <c r="W68" s="118">
        <f t="shared" si="5"/>
        <v>0</v>
      </c>
      <c r="X68" s="118">
        <f t="shared" si="5"/>
        <v>0</v>
      </c>
      <c r="Y68" s="118">
        <f t="shared" si="5"/>
        <v>0</v>
      </c>
      <c r="Z68" s="118">
        <f t="shared" si="5"/>
        <v>0</v>
      </c>
      <c r="AA68" s="118">
        <f t="shared" si="5"/>
        <v>0</v>
      </c>
      <c r="AB68" s="118">
        <f t="shared" si="5"/>
        <v>0</v>
      </c>
      <c r="AC68" s="118">
        <f t="shared" si="5"/>
        <v>0</v>
      </c>
      <c r="AD68" s="118">
        <f t="shared" si="5"/>
        <v>0</v>
      </c>
      <c r="AE68" s="118">
        <f t="shared" si="5"/>
        <v>0</v>
      </c>
      <c r="AF68" s="118">
        <f t="shared" si="5"/>
        <v>0</v>
      </c>
      <c r="AG68" s="118">
        <f t="shared" si="5"/>
        <v>0</v>
      </c>
      <c r="AH68"/>
    </row>
    <row r="69" spans="1:34" x14ac:dyDescent="0.2">
      <c r="A69" s="8"/>
      <c r="B69" s="8"/>
      <c r="C69" s="4" t="str">
        <f>C16</f>
        <v>&lt; Enter description &gt;</v>
      </c>
      <c r="D69" s="38"/>
      <c r="F69" s="96"/>
      <c r="G69" s="209">
        <f>input_dollars</f>
        <v>45291</v>
      </c>
      <c r="H69" s="31"/>
      <c r="I69" s="118">
        <f t="shared" ref="I69:AG69" si="6">-I16</f>
        <v>0</v>
      </c>
      <c r="J69" s="118">
        <f t="shared" si="6"/>
        <v>0</v>
      </c>
      <c r="K69" s="118">
        <f t="shared" si="6"/>
        <v>0</v>
      </c>
      <c r="L69" s="118">
        <f t="shared" si="6"/>
        <v>0</v>
      </c>
      <c r="M69" s="118">
        <f t="shared" si="6"/>
        <v>0</v>
      </c>
      <c r="N69" s="118">
        <f t="shared" si="6"/>
        <v>0</v>
      </c>
      <c r="O69" s="118">
        <f t="shared" si="6"/>
        <v>0</v>
      </c>
      <c r="P69" s="118">
        <f t="shared" si="6"/>
        <v>0</v>
      </c>
      <c r="Q69" s="118">
        <f t="shared" si="6"/>
        <v>0</v>
      </c>
      <c r="R69" s="118">
        <f t="shared" si="6"/>
        <v>0</v>
      </c>
      <c r="S69" s="118">
        <f t="shared" si="6"/>
        <v>0</v>
      </c>
      <c r="T69" s="118">
        <f t="shared" si="6"/>
        <v>0</v>
      </c>
      <c r="U69" s="118">
        <f t="shared" si="6"/>
        <v>0</v>
      </c>
      <c r="V69" s="118">
        <f t="shared" si="6"/>
        <v>0</v>
      </c>
      <c r="W69" s="118">
        <f t="shared" si="6"/>
        <v>0</v>
      </c>
      <c r="X69" s="118">
        <f t="shared" si="6"/>
        <v>0</v>
      </c>
      <c r="Y69" s="118">
        <f t="shared" si="6"/>
        <v>0</v>
      </c>
      <c r="Z69" s="118">
        <f t="shared" si="6"/>
        <v>0</v>
      </c>
      <c r="AA69" s="118">
        <f t="shared" si="6"/>
        <v>0</v>
      </c>
      <c r="AB69" s="118">
        <f t="shared" si="6"/>
        <v>0</v>
      </c>
      <c r="AC69" s="118">
        <f t="shared" si="6"/>
        <v>0</v>
      </c>
      <c r="AD69" s="118">
        <f t="shared" si="6"/>
        <v>0</v>
      </c>
      <c r="AE69" s="118">
        <f t="shared" si="6"/>
        <v>0</v>
      </c>
      <c r="AF69" s="118">
        <f t="shared" si="6"/>
        <v>0</v>
      </c>
      <c r="AG69" s="118">
        <f t="shared" si="6"/>
        <v>0</v>
      </c>
      <c r="AH69"/>
    </row>
    <row r="70" spans="1:34" x14ac:dyDescent="0.2">
      <c r="A70" s="8"/>
      <c r="B70" s="8"/>
      <c r="C70" s="4"/>
      <c r="D70" s="38"/>
      <c r="F70" s="96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/>
    </row>
    <row r="71" spans="1:34" x14ac:dyDescent="0.2">
      <c r="A71" s="8"/>
      <c r="B71" s="8"/>
      <c r="C71" s="146" t="s">
        <v>156</v>
      </c>
      <c r="D71" s="38"/>
      <c r="F71" s="96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/>
    </row>
    <row r="72" spans="1:34" x14ac:dyDescent="0.2">
      <c r="A72" s="8"/>
      <c r="B72" s="8"/>
      <c r="C72" s="4" t="str">
        <f>C14</f>
        <v>&lt; Enter description &gt;</v>
      </c>
      <c r="D72" s="38"/>
      <c r="F72" s="96"/>
      <c r="G72" s="209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  <c r="AH72"/>
    </row>
    <row r="73" spans="1:34" x14ac:dyDescent="0.2">
      <c r="A73" s="8"/>
      <c r="B73" s="8"/>
      <c r="C73" s="4" t="str">
        <f>C15</f>
        <v>&lt; Enter description &gt;</v>
      </c>
      <c r="D73" s="38"/>
      <c r="F73" s="96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 t="str">
        <f>C16</f>
        <v>&lt; Enter description &gt;</v>
      </c>
      <c r="D74" s="38"/>
      <c r="F74" s="96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6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/>
    </row>
    <row r="76" spans="1:34" x14ac:dyDescent="0.2">
      <c r="A76" s="8"/>
      <c r="B76" s="8"/>
      <c r="C76" s="146" t="s">
        <v>91</v>
      </c>
      <c r="D76" s="38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/>
    </row>
    <row r="77" spans="1:34" x14ac:dyDescent="0.2">
      <c r="A77" s="8"/>
      <c r="B77" s="8"/>
      <c r="C77" s="4" t="str">
        <f>$C$76&amp;" - "&amp;C14</f>
        <v>Annualised capex - &lt; Enter description &gt;</v>
      </c>
      <c r="D77" s="38"/>
      <c r="G77" s="209">
        <f>input_dollars</f>
        <v>45291</v>
      </c>
      <c r="H77" s="31"/>
      <c r="I77" s="118">
        <f t="shared" ref="I77:AG77" si="7">IF($E14=0,0,-PMT(real_disc, $E14,H72,))</f>
        <v>0</v>
      </c>
      <c r="J77" s="118">
        <f t="shared" si="7"/>
        <v>0</v>
      </c>
      <c r="K77" s="118">
        <f t="shared" si="7"/>
        <v>0</v>
      </c>
      <c r="L77" s="118">
        <f t="shared" si="7"/>
        <v>0</v>
      </c>
      <c r="M77" s="118">
        <f t="shared" si="7"/>
        <v>0</v>
      </c>
      <c r="N77" s="118">
        <f t="shared" si="7"/>
        <v>0</v>
      </c>
      <c r="O77" s="118">
        <f t="shared" si="7"/>
        <v>0</v>
      </c>
      <c r="P77" s="118">
        <f t="shared" si="7"/>
        <v>0</v>
      </c>
      <c r="Q77" s="118">
        <f t="shared" si="7"/>
        <v>0</v>
      </c>
      <c r="R77" s="118">
        <f t="shared" si="7"/>
        <v>0</v>
      </c>
      <c r="S77" s="118">
        <f t="shared" si="7"/>
        <v>0</v>
      </c>
      <c r="T77" s="118">
        <f t="shared" si="7"/>
        <v>0</v>
      </c>
      <c r="U77" s="118">
        <f t="shared" si="7"/>
        <v>0</v>
      </c>
      <c r="V77" s="118">
        <f t="shared" si="7"/>
        <v>0</v>
      </c>
      <c r="W77" s="118">
        <f t="shared" si="7"/>
        <v>0</v>
      </c>
      <c r="X77" s="118">
        <f t="shared" si="7"/>
        <v>0</v>
      </c>
      <c r="Y77" s="118">
        <f t="shared" si="7"/>
        <v>0</v>
      </c>
      <c r="Z77" s="118">
        <f t="shared" si="7"/>
        <v>0</v>
      </c>
      <c r="AA77" s="118">
        <f t="shared" si="7"/>
        <v>0</v>
      </c>
      <c r="AB77" s="118">
        <f t="shared" si="7"/>
        <v>0</v>
      </c>
      <c r="AC77" s="118">
        <f t="shared" si="7"/>
        <v>0</v>
      </c>
      <c r="AD77" s="118">
        <f t="shared" si="7"/>
        <v>0</v>
      </c>
      <c r="AE77" s="118">
        <f t="shared" si="7"/>
        <v>0</v>
      </c>
      <c r="AF77" s="118">
        <f t="shared" si="7"/>
        <v>0</v>
      </c>
      <c r="AG77" s="118">
        <f t="shared" si="7"/>
        <v>0</v>
      </c>
      <c r="AH77"/>
    </row>
    <row r="78" spans="1:34" x14ac:dyDescent="0.2">
      <c r="A78" s="8"/>
      <c r="B78" s="8"/>
      <c r="C78" s="4" t="str">
        <f>$C$76&amp;" - "&amp;C15</f>
        <v>Annualised capex - &lt; Enter description &gt;</v>
      </c>
      <c r="D78" s="38"/>
      <c r="G78" s="209">
        <f>input_dollars</f>
        <v>45291</v>
      </c>
      <c r="H78" s="31"/>
      <c r="I78" s="118">
        <f t="shared" ref="I78:AG78" si="8">IF($E15=0,0,-PMT(real_disc, $E15,H73,))</f>
        <v>0</v>
      </c>
      <c r="J78" s="118">
        <f t="shared" si="8"/>
        <v>0</v>
      </c>
      <c r="K78" s="118">
        <f t="shared" si="8"/>
        <v>0</v>
      </c>
      <c r="L78" s="118">
        <f t="shared" si="8"/>
        <v>0</v>
      </c>
      <c r="M78" s="118">
        <f t="shared" si="8"/>
        <v>0</v>
      </c>
      <c r="N78" s="118">
        <f t="shared" si="8"/>
        <v>0</v>
      </c>
      <c r="O78" s="118">
        <f t="shared" si="8"/>
        <v>0</v>
      </c>
      <c r="P78" s="118">
        <f t="shared" si="8"/>
        <v>0</v>
      </c>
      <c r="Q78" s="118">
        <f t="shared" si="8"/>
        <v>0</v>
      </c>
      <c r="R78" s="118">
        <f t="shared" si="8"/>
        <v>0</v>
      </c>
      <c r="S78" s="118">
        <f t="shared" si="8"/>
        <v>0</v>
      </c>
      <c r="T78" s="118">
        <f t="shared" si="8"/>
        <v>0</v>
      </c>
      <c r="U78" s="118">
        <f t="shared" si="8"/>
        <v>0</v>
      </c>
      <c r="V78" s="118">
        <f t="shared" si="8"/>
        <v>0</v>
      </c>
      <c r="W78" s="118">
        <f t="shared" si="8"/>
        <v>0</v>
      </c>
      <c r="X78" s="118">
        <f t="shared" si="8"/>
        <v>0</v>
      </c>
      <c r="Y78" s="118">
        <f t="shared" si="8"/>
        <v>0</v>
      </c>
      <c r="Z78" s="118">
        <f t="shared" si="8"/>
        <v>0</v>
      </c>
      <c r="AA78" s="118">
        <f t="shared" si="8"/>
        <v>0</v>
      </c>
      <c r="AB78" s="118">
        <f t="shared" si="8"/>
        <v>0</v>
      </c>
      <c r="AC78" s="118">
        <f t="shared" si="8"/>
        <v>0</v>
      </c>
      <c r="AD78" s="118">
        <f t="shared" si="8"/>
        <v>0</v>
      </c>
      <c r="AE78" s="118">
        <f t="shared" si="8"/>
        <v>0</v>
      </c>
      <c r="AF78" s="118">
        <f t="shared" si="8"/>
        <v>0</v>
      </c>
      <c r="AG78" s="118">
        <f t="shared" si="8"/>
        <v>0</v>
      </c>
      <c r="AH78"/>
    </row>
    <row r="79" spans="1:34" x14ac:dyDescent="0.2">
      <c r="A79" s="8"/>
      <c r="B79" s="8"/>
      <c r="C79" s="4" t="str">
        <f>$C$76&amp;" - "&amp;C16</f>
        <v>Annualised capex - &lt; Enter description &gt;</v>
      </c>
      <c r="D79" s="38"/>
      <c r="G79" s="209">
        <f>input_dollars</f>
        <v>45291</v>
      </c>
      <c r="H79" s="31"/>
      <c r="I79" s="118">
        <f t="shared" ref="I79:AG79" si="9">IF($E16=0,0,-PMT(real_disc, $E16,H74,))</f>
        <v>0</v>
      </c>
      <c r="J79" s="118">
        <f t="shared" si="9"/>
        <v>0</v>
      </c>
      <c r="K79" s="118">
        <f t="shared" si="9"/>
        <v>0</v>
      </c>
      <c r="L79" s="118">
        <f t="shared" si="9"/>
        <v>0</v>
      </c>
      <c r="M79" s="118">
        <f t="shared" si="9"/>
        <v>0</v>
      </c>
      <c r="N79" s="118">
        <f t="shared" si="9"/>
        <v>0</v>
      </c>
      <c r="O79" s="118">
        <f t="shared" si="9"/>
        <v>0</v>
      </c>
      <c r="P79" s="118">
        <f t="shared" si="9"/>
        <v>0</v>
      </c>
      <c r="Q79" s="118">
        <f t="shared" si="9"/>
        <v>0</v>
      </c>
      <c r="R79" s="118">
        <f t="shared" si="9"/>
        <v>0</v>
      </c>
      <c r="S79" s="118">
        <f t="shared" si="9"/>
        <v>0</v>
      </c>
      <c r="T79" s="118">
        <f t="shared" si="9"/>
        <v>0</v>
      </c>
      <c r="U79" s="118">
        <f t="shared" si="9"/>
        <v>0</v>
      </c>
      <c r="V79" s="118">
        <f t="shared" si="9"/>
        <v>0</v>
      </c>
      <c r="W79" s="118">
        <f t="shared" si="9"/>
        <v>0</v>
      </c>
      <c r="X79" s="118">
        <f t="shared" si="9"/>
        <v>0</v>
      </c>
      <c r="Y79" s="118">
        <f t="shared" si="9"/>
        <v>0</v>
      </c>
      <c r="Z79" s="118">
        <f t="shared" si="9"/>
        <v>0</v>
      </c>
      <c r="AA79" s="118">
        <f t="shared" si="9"/>
        <v>0</v>
      </c>
      <c r="AB79" s="118">
        <f t="shared" si="9"/>
        <v>0</v>
      </c>
      <c r="AC79" s="118">
        <f t="shared" si="9"/>
        <v>0</v>
      </c>
      <c r="AD79" s="118">
        <f t="shared" si="9"/>
        <v>0</v>
      </c>
      <c r="AE79" s="118">
        <f t="shared" si="9"/>
        <v>0</v>
      </c>
      <c r="AF79" s="118">
        <f t="shared" si="9"/>
        <v>0</v>
      </c>
      <c r="AG79" s="118">
        <f t="shared" si="9"/>
        <v>0</v>
      </c>
      <c r="AH79"/>
    </row>
    <row r="80" spans="1:34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0">SUM(J77:J79)</f>
        <v>0</v>
      </c>
      <c r="K80" s="175">
        <f t="shared" si="10"/>
        <v>0</v>
      </c>
      <c r="L80" s="175">
        <f t="shared" si="10"/>
        <v>0</v>
      </c>
      <c r="M80" s="175">
        <f t="shared" si="10"/>
        <v>0</v>
      </c>
      <c r="N80" s="175">
        <f t="shared" si="10"/>
        <v>0</v>
      </c>
      <c r="O80" s="175">
        <f t="shared" si="10"/>
        <v>0</v>
      </c>
      <c r="P80" s="175">
        <f t="shared" si="10"/>
        <v>0</v>
      </c>
      <c r="Q80" s="175">
        <f t="shared" si="10"/>
        <v>0</v>
      </c>
      <c r="R80" s="175">
        <f t="shared" si="10"/>
        <v>0</v>
      </c>
      <c r="S80" s="175">
        <f t="shared" si="10"/>
        <v>0</v>
      </c>
      <c r="T80" s="175">
        <f t="shared" si="10"/>
        <v>0</v>
      </c>
      <c r="U80" s="175">
        <f t="shared" si="10"/>
        <v>0</v>
      </c>
      <c r="V80" s="175">
        <f t="shared" si="10"/>
        <v>0</v>
      </c>
      <c r="W80" s="175">
        <f t="shared" si="10"/>
        <v>0</v>
      </c>
      <c r="X80" s="175">
        <f t="shared" si="10"/>
        <v>0</v>
      </c>
      <c r="Y80" s="175">
        <f t="shared" si="10"/>
        <v>0</v>
      </c>
      <c r="Z80" s="175">
        <f t="shared" si="10"/>
        <v>0</v>
      </c>
      <c r="AA80" s="175">
        <f t="shared" si="10"/>
        <v>0</v>
      </c>
      <c r="AB80" s="175">
        <f t="shared" si="10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  <c r="AH80"/>
    </row>
    <row r="81" spans="1:34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6"/>
      <c r="G82" s="209">
        <f t="shared" ref="G82:G87" si="11">input_dollars</f>
        <v>45291</v>
      </c>
      <c r="H82" s="31"/>
      <c r="I82" s="118">
        <f>I80</f>
        <v>0</v>
      </c>
      <c r="J82" s="118">
        <f t="shared" ref="J82:AB82" si="12">J80</f>
        <v>0</v>
      </c>
      <c r="K82" s="118">
        <f t="shared" si="12"/>
        <v>0</v>
      </c>
      <c r="L82" s="118">
        <f t="shared" si="12"/>
        <v>0</v>
      </c>
      <c r="M82" s="118">
        <f t="shared" si="12"/>
        <v>0</v>
      </c>
      <c r="N82" s="118">
        <f t="shared" si="12"/>
        <v>0</v>
      </c>
      <c r="O82" s="118">
        <f t="shared" si="12"/>
        <v>0</v>
      </c>
      <c r="P82" s="118">
        <f t="shared" si="12"/>
        <v>0</v>
      </c>
      <c r="Q82" s="118">
        <f t="shared" si="12"/>
        <v>0</v>
      </c>
      <c r="R82" s="118">
        <f t="shared" si="12"/>
        <v>0</v>
      </c>
      <c r="S82" s="118">
        <f t="shared" si="12"/>
        <v>0</v>
      </c>
      <c r="T82" s="118">
        <f t="shared" si="12"/>
        <v>0</v>
      </c>
      <c r="U82" s="118">
        <f t="shared" si="12"/>
        <v>0</v>
      </c>
      <c r="V82" s="118">
        <f t="shared" si="12"/>
        <v>0</v>
      </c>
      <c r="W82" s="118">
        <f t="shared" si="12"/>
        <v>0</v>
      </c>
      <c r="X82" s="118">
        <f t="shared" si="12"/>
        <v>0</v>
      </c>
      <c r="Y82" s="118">
        <f t="shared" si="12"/>
        <v>0</v>
      </c>
      <c r="Z82" s="118">
        <f t="shared" si="12"/>
        <v>0</v>
      </c>
      <c r="AA82" s="118">
        <f t="shared" si="12"/>
        <v>0</v>
      </c>
      <c r="AB82" s="118">
        <f t="shared" si="12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  <c r="AH82"/>
    </row>
    <row r="83" spans="1:34" x14ac:dyDescent="0.2">
      <c r="A83" s="8"/>
      <c r="B83" s="8"/>
      <c r="C83" s="4" t="s">
        <v>31</v>
      </c>
      <c r="D83" s="38"/>
      <c r="F83" s="96"/>
      <c r="G83" s="209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  <c r="AH83"/>
    </row>
    <row r="84" spans="1:34" x14ac:dyDescent="0.2">
      <c r="A84" s="8"/>
      <c r="B84" s="8"/>
      <c r="C84" s="4" t="s">
        <v>140</v>
      </c>
      <c r="D84" s="38"/>
      <c r="F84" s="96"/>
      <c r="G84" s="209">
        <f t="shared" si="11"/>
        <v>45291</v>
      </c>
      <c r="H84" s="31"/>
      <c r="I84" s="31">
        <f t="shared" ref="I84:AG84" si="14">I64</f>
        <v>0</v>
      </c>
      <c r="J84" s="31">
        <f t="shared" si="14"/>
        <v>0</v>
      </c>
      <c r="K84" s="31">
        <f t="shared" si="14"/>
        <v>0</v>
      </c>
      <c r="L84" s="31">
        <f t="shared" si="14"/>
        <v>0</v>
      </c>
      <c r="M84" s="31">
        <f t="shared" si="14"/>
        <v>0</v>
      </c>
      <c r="N84" s="31">
        <f t="shared" si="14"/>
        <v>0</v>
      </c>
      <c r="O84" s="31">
        <f t="shared" si="14"/>
        <v>0</v>
      </c>
      <c r="P84" s="31">
        <f t="shared" si="14"/>
        <v>0</v>
      </c>
      <c r="Q84" s="31">
        <f t="shared" si="14"/>
        <v>0</v>
      </c>
      <c r="R84" s="31">
        <f t="shared" si="14"/>
        <v>0</v>
      </c>
      <c r="S84" s="31">
        <f t="shared" si="14"/>
        <v>0</v>
      </c>
      <c r="T84" s="31">
        <f t="shared" si="14"/>
        <v>0</v>
      </c>
      <c r="U84" s="31">
        <f t="shared" si="14"/>
        <v>0</v>
      </c>
      <c r="V84" s="31">
        <f t="shared" si="14"/>
        <v>0</v>
      </c>
      <c r="W84" s="31">
        <f t="shared" si="14"/>
        <v>0</v>
      </c>
      <c r="X84" s="31">
        <f t="shared" si="14"/>
        <v>0</v>
      </c>
      <c r="Y84" s="31">
        <f t="shared" si="14"/>
        <v>0</v>
      </c>
      <c r="Z84" s="31">
        <f t="shared" si="14"/>
        <v>0</v>
      </c>
      <c r="AA84" s="31">
        <f t="shared" si="14"/>
        <v>0</v>
      </c>
      <c r="AB84" s="31">
        <f t="shared" si="14"/>
        <v>0</v>
      </c>
      <c r="AC84" s="31">
        <f t="shared" si="14"/>
        <v>0</v>
      </c>
      <c r="AD84" s="31">
        <f t="shared" si="14"/>
        <v>0</v>
      </c>
      <c r="AE84" s="31">
        <f t="shared" si="14"/>
        <v>0</v>
      </c>
      <c r="AF84" s="31">
        <f t="shared" si="14"/>
        <v>0</v>
      </c>
      <c r="AG84" s="31">
        <f t="shared" si="14"/>
        <v>0</v>
      </c>
      <c r="AH84"/>
    </row>
    <row r="85" spans="1:34" x14ac:dyDescent="0.2">
      <c r="A85" s="8"/>
      <c r="B85" s="8"/>
      <c r="C85" s="4" t="s">
        <v>122</v>
      </c>
      <c r="D85" s="38"/>
      <c r="F85" s="96"/>
      <c r="G85" s="209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  <c r="AH85"/>
    </row>
    <row r="86" spans="1:34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6" t="s">
        <v>188</v>
      </c>
      <c r="D87" s="177"/>
      <c r="E87" s="172"/>
      <c r="F87" s="178"/>
      <c r="G87" s="214">
        <f t="shared" si="11"/>
        <v>45291</v>
      </c>
      <c r="H87" s="178"/>
      <c r="I87" s="178">
        <f t="shared" ref="I87:AB87" si="16">SUM(I82:I86)</f>
        <v>0</v>
      </c>
      <c r="J87" s="178">
        <f t="shared" si="16"/>
        <v>0</v>
      </c>
      <c r="K87" s="178">
        <f t="shared" si="16"/>
        <v>0</v>
      </c>
      <c r="L87" s="178">
        <f t="shared" si="16"/>
        <v>0</v>
      </c>
      <c r="M87" s="178">
        <f t="shared" si="16"/>
        <v>0</v>
      </c>
      <c r="N87" s="178">
        <f t="shared" si="16"/>
        <v>0</v>
      </c>
      <c r="O87" s="178">
        <f t="shared" si="16"/>
        <v>0</v>
      </c>
      <c r="P87" s="178">
        <f t="shared" si="16"/>
        <v>0</v>
      </c>
      <c r="Q87" s="178">
        <f t="shared" si="16"/>
        <v>0</v>
      </c>
      <c r="R87" s="178">
        <f t="shared" si="16"/>
        <v>0</v>
      </c>
      <c r="S87" s="178">
        <f t="shared" si="16"/>
        <v>0</v>
      </c>
      <c r="T87" s="178">
        <f t="shared" si="16"/>
        <v>0</v>
      </c>
      <c r="U87" s="178">
        <f t="shared" si="16"/>
        <v>0</v>
      </c>
      <c r="V87" s="178">
        <f t="shared" si="16"/>
        <v>0</v>
      </c>
      <c r="W87" s="178">
        <f t="shared" si="16"/>
        <v>0</v>
      </c>
      <c r="X87" s="178">
        <f t="shared" si="16"/>
        <v>0</v>
      </c>
      <c r="Y87" s="178">
        <f t="shared" si="16"/>
        <v>0</v>
      </c>
      <c r="Z87" s="178">
        <f t="shared" si="16"/>
        <v>0</v>
      </c>
      <c r="AA87" s="178">
        <f t="shared" si="16"/>
        <v>0</v>
      </c>
      <c r="AB87" s="178">
        <f t="shared" si="16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  <c r="AH87"/>
    </row>
    <row r="88" spans="1:34" x14ac:dyDescent="0.2">
      <c r="A88" s="8"/>
      <c r="B88" s="8"/>
      <c r="C88" s="75"/>
      <c r="D88" s="137"/>
      <c r="E88" s="64"/>
      <c r="F88" s="140"/>
      <c r="G88" s="216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/>
    </row>
    <row r="89" spans="1:34" x14ac:dyDescent="0.2">
      <c r="A89" s="8"/>
      <c r="B89" s="8"/>
      <c r="C89" s="75"/>
      <c r="D89" s="137"/>
      <c r="E89" s="64"/>
      <c r="F89" s="140"/>
      <c r="G89" s="21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/>
    </row>
    <row r="90" spans="1:34" x14ac:dyDescent="0.2">
      <c r="A90" s="8"/>
      <c r="B90" s="8"/>
      <c r="C90" s="229" t="s">
        <v>198</v>
      </c>
      <c r="D90" s="82"/>
      <c r="E90" s="230"/>
      <c r="F90" s="231"/>
      <c r="G90" s="232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3"/>
      <c r="E91" s="230"/>
      <c r="F91" s="230"/>
      <c r="G91" s="232"/>
    </row>
    <row r="92" spans="1:34" x14ac:dyDescent="0.2">
      <c r="C92" s="234" t="s">
        <v>193</v>
      </c>
      <c r="D92" s="235"/>
      <c r="E92" s="235"/>
      <c r="F92" s="235"/>
      <c r="G92" s="236" t="str">
        <f>IF(_xlfn.MINIFS($G$90:$G$91, $G$90:$G$91, "&gt;"&amp;0)=0, $A$4, _xlfn.MINIFS($G$90:$G$91, $G$90:$G$91, "&gt;"&amp;0))</f>
        <v>Not used</v>
      </c>
    </row>
    <row r="94" spans="1:34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7">J87</f>
        <v>0</v>
      </c>
      <c r="K106" s="31">
        <f t="shared" si="17"/>
        <v>0</v>
      </c>
      <c r="L106" s="31">
        <f t="shared" si="17"/>
        <v>0</v>
      </c>
      <c r="M106" s="31">
        <f t="shared" si="17"/>
        <v>0</v>
      </c>
      <c r="N106" s="31">
        <f t="shared" si="17"/>
        <v>0</v>
      </c>
      <c r="O106" s="31">
        <f t="shared" si="17"/>
        <v>0</v>
      </c>
      <c r="P106" s="31">
        <f t="shared" si="17"/>
        <v>0</v>
      </c>
      <c r="Q106" s="31">
        <f t="shared" si="17"/>
        <v>0</v>
      </c>
      <c r="R106" s="31">
        <f t="shared" si="17"/>
        <v>0</v>
      </c>
      <c r="S106" s="31">
        <f t="shared" si="17"/>
        <v>0</v>
      </c>
      <c r="T106" s="31">
        <f t="shared" si="17"/>
        <v>0</v>
      </c>
      <c r="U106" s="31">
        <f t="shared" si="17"/>
        <v>0</v>
      </c>
      <c r="V106" s="31">
        <f t="shared" si="17"/>
        <v>0</v>
      </c>
      <c r="W106" s="31">
        <f t="shared" si="17"/>
        <v>0</v>
      </c>
      <c r="X106" s="31">
        <f t="shared" si="17"/>
        <v>0</v>
      </c>
      <c r="Y106" s="31">
        <f t="shared" si="17"/>
        <v>0</v>
      </c>
      <c r="Z106" s="31">
        <f t="shared" si="17"/>
        <v>0</v>
      </c>
      <c r="AA106" s="31">
        <f t="shared" si="17"/>
        <v>0</v>
      </c>
      <c r="AB106" s="31">
        <f t="shared" si="17"/>
        <v>0</v>
      </c>
      <c r="AC106" s="31">
        <f t="shared" si="17"/>
        <v>0</v>
      </c>
      <c r="AD106" s="31">
        <f t="shared" si="17"/>
        <v>0</v>
      </c>
      <c r="AE106" s="31">
        <f t="shared" si="17"/>
        <v>0</v>
      </c>
      <c r="AF106" s="31">
        <f t="shared" si="17"/>
        <v>0</v>
      </c>
      <c r="AG106" s="31">
        <f t="shared" si="17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8">J82</f>
        <v>0</v>
      </c>
      <c r="K107" s="31">
        <f t="shared" si="18"/>
        <v>0</v>
      </c>
      <c r="L107" s="31">
        <f t="shared" si="18"/>
        <v>0</v>
      </c>
      <c r="M107" s="31">
        <f t="shared" si="18"/>
        <v>0</v>
      </c>
      <c r="N107" s="31">
        <f t="shared" si="18"/>
        <v>0</v>
      </c>
      <c r="O107" s="31">
        <f t="shared" si="18"/>
        <v>0</v>
      </c>
      <c r="P107" s="31">
        <f t="shared" si="18"/>
        <v>0</v>
      </c>
      <c r="Q107" s="31">
        <f t="shared" si="18"/>
        <v>0</v>
      </c>
      <c r="R107" s="31">
        <f t="shared" si="18"/>
        <v>0</v>
      </c>
      <c r="S107" s="31">
        <f t="shared" si="18"/>
        <v>0</v>
      </c>
      <c r="T107" s="31">
        <f t="shared" si="18"/>
        <v>0</v>
      </c>
      <c r="U107" s="31">
        <f t="shared" si="18"/>
        <v>0</v>
      </c>
      <c r="V107" s="31">
        <f t="shared" si="18"/>
        <v>0</v>
      </c>
      <c r="W107" s="31">
        <f t="shared" si="18"/>
        <v>0</v>
      </c>
      <c r="X107" s="31">
        <f t="shared" si="18"/>
        <v>0</v>
      </c>
      <c r="Y107" s="31">
        <f t="shared" si="18"/>
        <v>0</v>
      </c>
      <c r="Z107" s="31">
        <f t="shared" si="18"/>
        <v>0</v>
      </c>
      <c r="AA107" s="31">
        <f t="shared" si="18"/>
        <v>0</v>
      </c>
      <c r="AB107" s="31">
        <f t="shared" si="18"/>
        <v>0</v>
      </c>
      <c r="AC107" s="31">
        <f t="shared" si="18"/>
        <v>0</v>
      </c>
      <c r="AD107" s="31">
        <f t="shared" si="18"/>
        <v>0</v>
      </c>
      <c r="AE107" s="31">
        <f t="shared" si="18"/>
        <v>0</v>
      </c>
      <c r="AF107" s="31">
        <f t="shared" si="18"/>
        <v>0</v>
      </c>
      <c r="AG107" s="31">
        <f t="shared" si="18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19">SUM(J84:J85)</f>
        <v>0</v>
      </c>
      <c r="K108" s="31">
        <f t="shared" si="19"/>
        <v>0</v>
      </c>
      <c r="L108" s="31">
        <f t="shared" si="19"/>
        <v>0</v>
      </c>
      <c r="M108" s="31">
        <f t="shared" si="19"/>
        <v>0</v>
      </c>
      <c r="N108" s="31">
        <f t="shared" si="19"/>
        <v>0</v>
      </c>
      <c r="O108" s="31">
        <f t="shared" si="19"/>
        <v>0</v>
      </c>
      <c r="P108" s="31">
        <f t="shared" si="19"/>
        <v>0</v>
      </c>
      <c r="Q108" s="31">
        <f t="shared" si="19"/>
        <v>0</v>
      </c>
      <c r="R108" s="31">
        <f t="shared" si="19"/>
        <v>0</v>
      </c>
      <c r="S108" s="31">
        <f t="shared" si="19"/>
        <v>0</v>
      </c>
      <c r="T108" s="31">
        <f t="shared" si="19"/>
        <v>0</v>
      </c>
      <c r="U108" s="31">
        <f t="shared" si="19"/>
        <v>0</v>
      </c>
      <c r="V108" s="31">
        <f t="shared" si="19"/>
        <v>0</v>
      </c>
      <c r="W108" s="31">
        <f t="shared" si="19"/>
        <v>0</v>
      </c>
      <c r="X108" s="31">
        <f t="shared" si="19"/>
        <v>0</v>
      </c>
      <c r="Y108" s="31">
        <f t="shared" si="19"/>
        <v>0</v>
      </c>
      <c r="Z108" s="31">
        <f t="shared" si="19"/>
        <v>0</v>
      </c>
      <c r="AA108" s="31">
        <f t="shared" si="19"/>
        <v>0</v>
      </c>
      <c r="AB108" s="31">
        <f t="shared" si="19"/>
        <v>0</v>
      </c>
      <c r="AC108" s="31">
        <f t="shared" si="19"/>
        <v>0</v>
      </c>
      <c r="AD108" s="31">
        <f t="shared" si="19"/>
        <v>0</v>
      </c>
      <c r="AE108" s="31">
        <f t="shared" si="19"/>
        <v>0</v>
      </c>
      <c r="AF108" s="31">
        <f t="shared" si="19"/>
        <v>0</v>
      </c>
      <c r="AG108" s="31">
        <f t="shared" si="19"/>
        <v>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0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0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0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0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0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0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0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I36:AG3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C14" sqref="C14:C16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AR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134</v>
      </c>
      <c r="B3" s="5"/>
      <c r="C3" s="199">
        <f>INDEX(Assumptions!$E$14:$E$18, MATCH(A3,_xlfn.ANCHORARRAY( Assumptions!$C$14),0))</f>
        <v>0</v>
      </c>
    </row>
    <row r="4" spans="1:43" x14ac:dyDescent="0.2">
      <c r="A4" s="200" t="str">
        <f>(INDEX(Data!$D$9:$D$13, MATCH(A3, options,0)))</f>
        <v>Not used</v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59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4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5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7">
        <v>0</v>
      </c>
      <c r="G14" s="206">
        <f>input_dollars</f>
        <v>45291</v>
      </c>
      <c r="H14" s="148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6"/>
      <c r="I17" s="105">
        <f t="shared" ref="I17:Q17" si="0">SUM(I14:I16)</f>
        <v>0</v>
      </c>
      <c r="J17" s="105">
        <f t="shared" si="0"/>
        <v>0</v>
      </c>
      <c r="K17" s="105">
        <f t="shared" si="0"/>
        <v>0</v>
      </c>
      <c r="L17" s="105">
        <f t="shared" si="0"/>
        <v>0</v>
      </c>
      <c r="M17" s="105">
        <f t="shared" si="0"/>
        <v>0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G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05">
        <f t="shared" si="1"/>
        <v>0</v>
      </c>
      <c r="AG17" s="105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6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/>
      <c r="AI19"/>
      <c r="AJ19"/>
      <c r="AK19"/>
      <c r="AL19"/>
      <c r="AM19"/>
    </row>
    <row r="20" spans="1:43" x14ac:dyDescent="0.2">
      <c r="G20" s="204"/>
      <c r="AH20"/>
      <c r="AI20"/>
      <c r="AJ20"/>
      <c r="AK20"/>
      <c r="AL20"/>
      <c r="AM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7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7"/>
      <c r="H24" s="110"/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7"/>
      <c r="E25" s="110"/>
      <c r="F25" s="110"/>
      <c r="G25" s="207"/>
      <c r="H25" s="110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7"/>
      <c r="E26" s="110"/>
      <c r="F26" s="110"/>
      <c r="G26" s="207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2">
        <f>Assumptions!H41*vcr_esc</f>
        <v>35599.455554362678</v>
      </c>
      <c r="F28" s="237" t="str">
        <f>IF(AND(SUM(I27:AG27)&lt;&gt;0, E28=0), "!", "")</f>
        <v/>
      </c>
      <c r="G28" s="206">
        <f>input_dollars</f>
        <v>45291</v>
      </c>
      <c r="H28"/>
      <c r="I28" s="118">
        <f>I27*$E$28</f>
        <v>0</v>
      </c>
      <c r="J28" s="118">
        <f t="shared" ref="J28:AG28" si="2">J27*$E$28</f>
        <v>0</v>
      </c>
      <c r="K28" s="118">
        <f t="shared" si="2"/>
        <v>0</v>
      </c>
      <c r="L28" s="118">
        <f t="shared" si="2"/>
        <v>0</v>
      </c>
      <c r="M28" s="118">
        <f t="shared" si="2"/>
        <v>0</v>
      </c>
      <c r="N28" s="118">
        <f t="shared" si="2"/>
        <v>0</v>
      </c>
      <c r="O28" s="118">
        <f t="shared" si="2"/>
        <v>0</v>
      </c>
      <c r="P28" s="118">
        <f t="shared" si="2"/>
        <v>0</v>
      </c>
      <c r="Q28" s="118">
        <f t="shared" si="2"/>
        <v>0</v>
      </c>
      <c r="R28" s="118">
        <f t="shared" si="2"/>
        <v>0</v>
      </c>
      <c r="S28" s="118">
        <f t="shared" si="2"/>
        <v>0</v>
      </c>
      <c r="T28" s="118">
        <f t="shared" si="2"/>
        <v>0</v>
      </c>
      <c r="U28" s="118">
        <f t="shared" si="2"/>
        <v>0</v>
      </c>
      <c r="V28" s="118">
        <f t="shared" si="2"/>
        <v>0</v>
      </c>
      <c r="W28" s="118">
        <f t="shared" si="2"/>
        <v>0</v>
      </c>
      <c r="X28" s="118">
        <f t="shared" si="2"/>
        <v>0</v>
      </c>
      <c r="Y28" s="118">
        <f t="shared" si="2"/>
        <v>0</v>
      </c>
      <c r="Z28" s="118">
        <f t="shared" si="2"/>
        <v>0</v>
      </c>
      <c r="AA28" s="118">
        <f t="shared" si="2"/>
        <v>0</v>
      </c>
      <c r="AB28" s="118">
        <f t="shared" si="2"/>
        <v>0</v>
      </c>
      <c r="AC28" s="118">
        <f t="shared" si="2"/>
        <v>0</v>
      </c>
      <c r="AD28" s="118">
        <f t="shared" si="2"/>
        <v>0</v>
      </c>
      <c r="AE28" s="118">
        <f t="shared" si="2"/>
        <v>0</v>
      </c>
      <c r="AF28" s="118">
        <f t="shared" si="2"/>
        <v>0</v>
      </c>
      <c r="AG28" s="11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208</v>
      </c>
      <c r="G30" s="206">
        <f>input_dollars</f>
        <v>45291</v>
      </c>
      <c r="H30" s="148"/>
      <c r="I30" s="169" cm="1">
        <f t="array" ref="I30">SUMPRODUCT((Assumptions!$H$70:$H$71)*(Assumptions!$G$70:$G$71)*(Assumptions!$I$70:$I$71)*(I$24:I$25))</f>
        <v>0</v>
      </c>
      <c r="J30" s="169" cm="1">
        <f t="array" ref="J30">SUMPRODUCT((Assumptions!$H$70:$H$71)*(Assumptions!$G$70:$G$71)*(Assumptions!$I$70:$I$71)*(J$24:J$25))</f>
        <v>0</v>
      </c>
      <c r="K30" s="169" cm="1">
        <f t="array" ref="K30">SUMPRODUCT((Assumptions!$H$70:$H$71)*(Assumptions!$G$70:$G$71)*(Assumptions!$I$70:$I$71)*(K$24:K$25))</f>
        <v>0</v>
      </c>
      <c r="L30" s="169" cm="1">
        <f t="array" ref="L30">SUMPRODUCT((Assumptions!$H$70:$H$71)*(Assumptions!$G$70:$G$71)*(Assumptions!$I$70:$I$71)*(L$24:L$25))</f>
        <v>0</v>
      </c>
      <c r="M30" s="169" cm="1">
        <f t="array" ref="M30">SUMPRODUCT((Assumptions!$H$70:$H$71)*(Assumptions!$G$70:$G$71)*(Assumptions!$I$70:$I$71)*(M$24:M$25))</f>
        <v>0</v>
      </c>
      <c r="N30" s="169" cm="1">
        <f t="array" ref="N30">SUMPRODUCT((Assumptions!$H$70:$H$71)*(Assumptions!$G$70:$G$71)*(Assumptions!$I$70:$I$71)*(N$24:N$25))</f>
        <v>0</v>
      </c>
      <c r="O30" s="169" cm="1">
        <f t="array" ref="O30">SUMPRODUCT((Assumptions!$H$70:$H$71)*(Assumptions!$G$70:$G$71)*(Assumptions!$I$70:$I$71)*(O$24:O$25))</f>
        <v>0</v>
      </c>
      <c r="P30" s="169" cm="1">
        <f t="array" ref="P30">SUMPRODUCT((Assumptions!$H$70:$H$71)*(Assumptions!$G$70:$G$71)*(Assumptions!$I$70:$I$71)*(P$24:P$25))</f>
        <v>0</v>
      </c>
      <c r="Q30" s="169" cm="1">
        <f t="array" ref="Q30">SUMPRODUCT((Assumptions!$H$70:$H$71)*(Assumptions!$G$70:$G$71)*(Assumptions!$I$70:$I$71)*(Q$24:Q$25))</f>
        <v>0</v>
      </c>
      <c r="R30" s="169" cm="1">
        <f t="array" ref="R30">SUMPRODUCT((Assumptions!$H$70:$H$71)*(Assumptions!$G$70:$G$71)*(Assumptions!$I$70:$I$71)*(R$24:R$25))</f>
        <v>0</v>
      </c>
      <c r="S30" s="169" cm="1">
        <f t="array" ref="S30">SUMPRODUCT((Assumptions!$H$70:$H$71)*(Assumptions!$G$70:$G$71)*(Assumptions!$I$70:$I$71)*(S$24:S$25))</f>
        <v>0</v>
      </c>
      <c r="T30" s="169" cm="1">
        <f t="array" ref="T30">SUMPRODUCT((Assumptions!$H$70:$H$71)*(Assumptions!$G$70:$G$71)*(Assumptions!$I$70:$I$71)*(T$24:T$25))</f>
        <v>0</v>
      </c>
      <c r="U30" s="169" cm="1">
        <f t="array" ref="U30">SUMPRODUCT((Assumptions!$H$70:$H$71)*(Assumptions!$G$70:$G$71)*(Assumptions!$I$70:$I$71)*(U$24:U$25))</f>
        <v>0</v>
      </c>
      <c r="V30" s="169" cm="1">
        <f t="array" ref="V30">SUMPRODUCT((Assumptions!$H$70:$H$71)*(Assumptions!$G$70:$G$71)*(Assumptions!$I$70:$I$71)*(V$24:V$25))</f>
        <v>0</v>
      </c>
      <c r="W30" s="169" cm="1">
        <f t="array" ref="W30">SUMPRODUCT((Assumptions!$H$70:$H$71)*(Assumptions!$G$70:$G$71)*(Assumptions!$I$70:$I$71)*(W$24:W$25))</f>
        <v>0</v>
      </c>
      <c r="X30" s="169" cm="1">
        <f t="array" ref="X30">SUMPRODUCT((Assumptions!$H$70:$H$71)*(Assumptions!$G$70:$G$71)*(Assumptions!$I$70:$I$71)*(X$24:X$25))</f>
        <v>0</v>
      </c>
      <c r="Y30" s="169" cm="1">
        <f t="array" ref="Y30">SUMPRODUCT((Assumptions!$H$70:$H$71)*(Assumptions!$G$70:$G$71)*(Assumptions!$I$70:$I$71)*(Y$24:Y$25))</f>
        <v>0</v>
      </c>
      <c r="Z30" s="169" cm="1">
        <f t="array" ref="Z30">SUMPRODUCT((Assumptions!$H$70:$H$71)*(Assumptions!$G$70:$G$71)*(Assumptions!$I$70:$I$71)*(Z$24:Z$25))</f>
        <v>0</v>
      </c>
      <c r="AA30" s="169" cm="1">
        <f t="array" ref="AA30">SUMPRODUCT((Assumptions!$H$70:$H$71)*(Assumptions!$G$70:$G$71)*(Assumptions!$I$70:$I$71)*(AA$24:AA$25))</f>
        <v>0</v>
      </c>
      <c r="AB30" s="169" cm="1">
        <f t="array" ref="AB30">SUMPRODUCT((Assumptions!$H$70:$H$71)*(Assumptions!$G$70:$G$71)*(Assumptions!$I$70:$I$71)*(AB$24:AB$25))</f>
        <v>0</v>
      </c>
      <c r="AC30" s="169" cm="1">
        <f t="array" ref="AC30">SUMPRODUCT((Assumptions!$H$70:$H$71)*(Assumptions!$G$70:$G$71)*(Assumptions!$I$70:$I$71)*(AC$24:AC$25))</f>
        <v>0</v>
      </c>
      <c r="AD30" s="169" cm="1">
        <f t="array" ref="AD30">SUMPRODUCT((Assumptions!$H$70:$H$71)*(Assumptions!$G$70:$G$71)*(Assumptions!$I$70:$I$71)*(AD$24:AD$25))</f>
        <v>0</v>
      </c>
      <c r="AE30" s="169" cm="1">
        <f t="array" ref="AE30">SUMPRODUCT((Assumptions!$H$70:$H$71)*(Assumptions!$G$70:$G$71)*(Assumptions!$I$70:$I$71)*(AE$24:AE$25))</f>
        <v>0</v>
      </c>
      <c r="AF30" s="169" cm="1">
        <f t="array" ref="AF30">SUMPRODUCT((Assumptions!$H$70:$H$71)*(Assumptions!$G$70:$G$71)*(Assumptions!$I$70:$I$71)*(AF$24:AF$25))</f>
        <v>0</v>
      </c>
      <c r="AG30" s="169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169" cm="1">
        <f t="array" ref="I31">(1+Assumptions!$G$81)*SUMPRODUCT((Assumptions!$G$78:$G$79)*(I$24:I$25))</f>
        <v>0</v>
      </c>
      <c r="J31" s="169" cm="1">
        <f t="array" ref="J31">(1+Assumptions!$G$81)*SUMPRODUCT((Assumptions!$G$78:$G$79)*(J$24:J$25))</f>
        <v>0</v>
      </c>
      <c r="K31" s="169" cm="1">
        <f t="array" ref="K31">(1+Assumptions!$G$81)*SUMPRODUCT((Assumptions!$G$78:$G$79)*(K$24:K$25))</f>
        <v>0</v>
      </c>
      <c r="L31" s="169" cm="1">
        <f t="array" ref="L31">(1+Assumptions!$G$81)*SUMPRODUCT((Assumptions!$G$78:$G$79)*(L$24:L$25))</f>
        <v>0</v>
      </c>
      <c r="M31" s="169" cm="1">
        <f t="array" ref="M31">(1+Assumptions!$G$81)*SUMPRODUCT((Assumptions!$G$78:$G$79)*(M$24:M$25))</f>
        <v>0</v>
      </c>
      <c r="N31" s="169" cm="1">
        <f t="array" ref="N31">(1+Assumptions!$G$81)*SUMPRODUCT((Assumptions!$G$78:$G$79)*(N$24:N$25))</f>
        <v>0</v>
      </c>
      <c r="O31" s="169" cm="1">
        <f t="array" ref="O31">(1+Assumptions!$G$81)*SUMPRODUCT((Assumptions!$G$78:$G$79)*(O$24:O$25))</f>
        <v>0</v>
      </c>
      <c r="P31" s="169" cm="1">
        <f t="array" ref="P31">(1+Assumptions!$G$81)*SUMPRODUCT((Assumptions!$G$78:$G$79)*(P$24:P$25))</f>
        <v>0</v>
      </c>
      <c r="Q31" s="169" cm="1">
        <f t="array" ref="Q31">(1+Assumptions!$G$81)*SUMPRODUCT((Assumptions!$G$78:$G$79)*(Q$24:Q$25))</f>
        <v>0</v>
      </c>
      <c r="R31" s="169" cm="1">
        <f t="array" ref="R31">(1+Assumptions!$G$81)*SUMPRODUCT((Assumptions!$G$78:$G$79)*(R$24:R$25))</f>
        <v>0</v>
      </c>
      <c r="S31" s="169" cm="1">
        <f t="array" ref="S31">(1+Assumptions!$G$81)*SUMPRODUCT((Assumptions!$G$78:$G$79)*(S$24:S$25))</f>
        <v>0</v>
      </c>
      <c r="T31" s="169" cm="1">
        <f t="array" ref="T31">(1+Assumptions!$G$81)*SUMPRODUCT((Assumptions!$G$78:$G$79)*(T$24:T$25))</f>
        <v>0</v>
      </c>
      <c r="U31" s="169" cm="1">
        <f t="array" ref="U31">(1+Assumptions!$G$81)*SUMPRODUCT((Assumptions!$G$78:$G$79)*(U$24:U$25))</f>
        <v>0</v>
      </c>
      <c r="V31" s="169" cm="1">
        <f t="array" ref="V31">(1+Assumptions!$G$81)*SUMPRODUCT((Assumptions!$G$78:$G$79)*(V$24:V$25))</f>
        <v>0</v>
      </c>
      <c r="W31" s="169" cm="1">
        <f t="array" ref="W31">(1+Assumptions!$G$81)*SUMPRODUCT((Assumptions!$G$78:$G$79)*(W$24:W$25))</f>
        <v>0</v>
      </c>
      <c r="X31" s="169" cm="1">
        <f t="array" ref="X31">(1+Assumptions!$G$81)*SUMPRODUCT((Assumptions!$G$78:$G$79)*(X$24:X$25))</f>
        <v>0</v>
      </c>
      <c r="Y31" s="169" cm="1">
        <f t="array" ref="Y31">(1+Assumptions!$G$81)*SUMPRODUCT((Assumptions!$G$78:$G$79)*(Y$24:Y$25))</f>
        <v>0</v>
      </c>
      <c r="Z31" s="169" cm="1">
        <f t="array" ref="Z31">(1+Assumptions!$G$81)*SUMPRODUCT((Assumptions!$G$78:$G$79)*(Z$24:Z$25))</f>
        <v>0</v>
      </c>
      <c r="AA31" s="169" cm="1">
        <f t="array" ref="AA31">(1+Assumptions!$G$81)*SUMPRODUCT((Assumptions!$G$78:$G$79)*(AA$24:AA$25))</f>
        <v>0</v>
      </c>
      <c r="AB31" s="169" cm="1">
        <f t="array" ref="AB31">(1+Assumptions!$G$81)*SUMPRODUCT((Assumptions!$G$78:$G$79)*(AB$24:AB$25))</f>
        <v>0</v>
      </c>
      <c r="AC31" s="169" cm="1">
        <f t="array" ref="AC31">(1+Assumptions!$G$81)*SUMPRODUCT((Assumptions!$G$78:$G$79)*(AC$24:AC$25))</f>
        <v>0</v>
      </c>
      <c r="AD31" s="169" cm="1">
        <f t="array" ref="AD31">(1+Assumptions!$G$81)*SUMPRODUCT((Assumptions!$G$78:$G$79)*(AD$24:AD$25))</f>
        <v>0</v>
      </c>
      <c r="AE31" s="169" cm="1">
        <f t="array" ref="AE31">(1+Assumptions!$G$81)*SUMPRODUCT((Assumptions!$G$78:$G$79)*(AE$24:AE$25))</f>
        <v>0</v>
      </c>
      <c r="AF31" s="169" cm="1">
        <f t="array" ref="AF31">(1+Assumptions!$G$81)*SUMPRODUCT((Assumptions!$G$78:$G$79)*(AF$24:AF$25))</f>
        <v>0</v>
      </c>
      <c r="AG31" s="169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208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173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173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6"/>
      <c r="F36" s="3"/>
      <c r="G36" s="208"/>
      <c r="H36" s="106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4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2">
        <f>Assumptions!G94</f>
        <v>0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4" t="s">
        <v>63</v>
      </c>
      <c r="E46" s="112">
        <f>Assumptions!G95</f>
        <v>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4" t="s">
        <v>63</v>
      </c>
      <c r="E47" s="111">
        <f>Assumptions!G96</f>
        <v>4220.9953699573898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4" t="s">
        <v>126</v>
      </c>
      <c r="E48" s="111">
        <f>Assumptions!G97</f>
        <v>0</v>
      </c>
      <c r="G48" s="206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4" t="s">
        <v>206</v>
      </c>
      <c r="E49" s="111">
        <f>Assumptions!G98</f>
        <v>0.54769380678923496</v>
      </c>
      <c r="G49" s="206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4" t="s">
        <v>206</v>
      </c>
      <c r="E50" s="111">
        <f>Assumptions!G99</f>
        <v>0.54769380678923496</v>
      </c>
      <c r="G50" s="206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4" t="s">
        <v>126</v>
      </c>
      <c r="E51" s="111">
        <f>Assumptions!G100</f>
        <v>0</v>
      </c>
      <c r="G51" s="206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1">
        <f>Assumptions!G101</f>
        <v>0</v>
      </c>
      <c r="G52" s="206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6"/>
      <c r="F57" s="3"/>
      <c r="G57" s="206">
        <f>input_dollars</f>
        <v>45291</v>
      </c>
      <c r="H57" s="106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7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1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0</v>
      </c>
      <c r="N64" s="131">
        <f>(1-INDEX(Data!$C$9:$C$13, MATCH($A$3, options,0)))*('Option1 (base case)'!N36-N36)</f>
        <v>0</v>
      </c>
      <c r="O64" s="131">
        <f>(1-INDEX(Data!$C$9:$C$13, MATCH($A$3, options,0)))*('Option1 (base case)'!O36-O36)</f>
        <v>0</v>
      </c>
      <c r="P64" s="131">
        <f>(1-INDEX(Data!$C$9:$C$13, MATCH($A$3, options,0)))*('Option1 (base case)'!P36-P36)</f>
        <v>0</v>
      </c>
      <c r="Q64" s="131">
        <f>(1-INDEX(Data!$C$9:$C$13, MATCH($A$3, options,0)))*('Option1 (base case)'!Q36-Q36)</f>
        <v>0</v>
      </c>
      <c r="R64" s="131">
        <f>(1-INDEX(Data!$C$9:$C$13, MATCH($A$3, options,0)))*('Option1 (base case)'!R36-R36)</f>
        <v>0</v>
      </c>
      <c r="S64" s="131">
        <f>(1-INDEX(Data!$C$9:$C$13, MATCH($A$3, options,0)))*('Option1 (base case)'!S36-S36)</f>
        <v>0</v>
      </c>
      <c r="T64" s="131">
        <f>(1-INDEX(Data!$C$9:$C$13, MATCH($A$3, options,0)))*('Option1 (base case)'!T36-T36)</f>
        <v>0</v>
      </c>
      <c r="U64" s="131">
        <f>(1-INDEX(Data!$C$9:$C$13, MATCH($A$3, options,0)))*('Option1 (base case)'!U36-U36)</f>
        <v>0</v>
      </c>
      <c r="V64" s="131">
        <f>(1-INDEX(Data!$C$9:$C$13, MATCH($A$3, options,0)))*('Option1 (base case)'!V36-V36)</f>
        <v>0</v>
      </c>
      <c r="W64" s="131">
        <f>(1-INDEX(Data!$C$9:$C$13, MATCH($A$3, options,0)))*('Option1 (base case)'!W36-W36)</f>
        <v>0</v>
      </c>
      <c r="X64" s="131">
        <f>(1-INDEX(Data!$C$9:$C$13, MATCH($A$3, options,0)))*('Option1 (base case)'!X36-X36)</f>
        <v>0</v>
      </c>
      <c r="Y64" s="131">
        <f>(1-INDEX(Data!$C$9:$C$13, MATCH($A$3, options,0)))*('Option1 (base case)'!Y36-Y36)</f>
        <v>0</v>
      </c>
      <c r="Z64" s="131">
        <f>(1-INDEX(Data!$C$9:$C$13, MATCH($A$3, options,0)))*('Option1 (base case)'!Z36-Z36)</f>
        <v>0</v>
      </c>
      <c r="AA64" s="131">
        <f>(1-INDEX(Data!$C$9:$C$13, MATCH($A$3, options,0)))*('Option1 (base case)'!AA36-AA36)</f>
        <v>0</v>
      </c>
      <c r="AB64" s="131">
        <f>(1-INDEX(Data!$C$9:$C$13, MATCH($A$3, options,0)))*('Option1 (base case)'!AB36-AB36)</f>
        <v>0</v>
      </c>
      <c r="AC64" s="131">
        <f>(1-INDEX(Data!$C$9:$C$13, MATCH($A$3, options,0)))*('Option1 (base case)'!AC36-AC36)</f>
        <v>0</v>
      </c>
      <c r="AD64" s="131">
        <f>(1-INDEX(Data!$C$9:$C$13, MATCH($A$3, options,0)))*('Option1 (base case)'!AD36-AD36)</f>
        <v>0</v>
      </c>
      <c r="AE64" s="131">
        <f>(1-INDEX(Data!$C$9:$C$13, MATCH($A$3, options,0)))*('Option1 (base case)'!AE36-AE36)</f>
        <v>0</v>
      </c>
      <c r="AF64" s="131">
        <f>(1-INDEX(Data!$C$9:$C$13, MATCH($A$3, options,0)))*('Option1 (base case)'!AF36-AF36)</f>
        <v>0</v>
      </c>
      <c r="AG64" s="131">
        <f>(1-INDEX(Data!$C$9:$C$13, MATCH($A$3, options,0)))*('Option1 (base case)'!AG36-AG36)</f>
        <v>0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6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6"/>
      <c r="G67" s="209">
        <f>input_dollars</f>
        <v>45291</v>
      </c>
      <c r="H67" s="31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0</v>
      </c>
      <c r="M67" s="118">
        <f t="shared" si="5"/>
        <v>0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6"/>
      <c r="G68" s="209">
        <f>input_dollars</f>
        <v>45291</v>
      </c>
      <c r="H68" s="31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6"/>
      <c r="G69" s="209">
        <f>input_dollars</f>
        <v>45291</v>
      </c>
      <c r="H69" s="31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2">
      <c r="A70" s="8"/>
      <c r="B70" s="8"/>
      <c r="C70" s="4"/>
      <c r="D70" s="38"/>
      <c r="F70" s="96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6" t="s">
        <v>156</v>
      </c>
      <c r="D71" s="38"/>
      <c r="F71" s="96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&lt; Enter description &gt;</v>
      </c>
      <c r="D72" s="38"/>
      <c r="F72" s="96"/>
      <c r="G72" s="209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6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6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6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6" t="s">
        <v>91</v>
      </c>
      <c r="D76" s="38"/>
      <c r="F76" s="96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6"/>
      <c r="G77" s="209">
        <f>input_dollars</f>
        <v>45291</v>
      </c>
      <c r="H77" s="31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0</v>
      </c>
      <c r="N77" s="118">
        <f t="shared" si="8"/>
        <v>0</v>
      </c>
      <c r="O77" s="118">
        <f t="shared" si="8"/>
        <v>0</v>
      </c>
      <c r="P77" s="118">
        <f t="shared" si="8"/>
        <v>0</v>
      </c>
      <c r="Q77" s="118">
        <f t="shared" si="8"/>
        <v>0</v>
      </c>
      <c r="R77" s="118">
        <f t="shared" si="8"/>
        <v>0</v>
      </c>
      <c r="S77" s="118">
        <f t="shared" si="8"/>
        <v>0</v>
      </c>
      <c r="T77" s="118">
        <f t="shared" si="8"/>
        <v>0</v>
      </c>
      <c r="U77" s="118">
        <f t="shared" si="8"/>
        <v>0</v>
      </c>
      <c r="V77" s="118">
        <f t="shared" si="8"/>
        <v>0</v>
      </c>
      <c r="W77" s="118">
        <f t="shared" si="8"/>
        <v>0</v>
      </c>
      <c r="X77" s="118">
        <f t="shared" si="8"/>
        <v>0</v>
      </c>
      <c r="Y77" s="118">
        <f t="shared" si="8"/>
        <v>0</v>
      </c>
      <c r="Z77" s="118">
        <f t="shared" si="8"/>
        <v>0</v>
      </c>
      <c r="AA77" s="118">
        <f t="shared" si="8"/>
        <v>0</v>
      </c>
      <c r="AB77" s="118">
        <f t="shared" si="8"/>
        <v>0</v>
      </c>
      <c r="AC77" s="118">
        <f t="shared" si="8"/>
        <v>0</v>
      </c>
      <c r="AD77" s="118">
        <f t="shared" si="8"/>
        <v>0</v>
      </c>
      <c r="AE77" s="118">
        <f t="shared" si="8"/>
        <v>0</v>
      </c>
      <c r="AF77" s="118">
        <f t="shared" si="8"/>
        <v>0</v>
      </c>
      <c r="AG77" s="118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6"/>
      <c r="G78" s="209">
        <f>input_dollars</f>
        <v>45291</v>
      </c>
      <c r="H78" s="31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6"/>
      <c r="G79" s="209">
        <f>input_dollars</f>
        <v>45291</v>
      </c>
      <c r="H79" s="31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0</v>
      </c>
      <c r="M80" s="175">
        <f t="shared" si="11"/>
        <v>0</v>
      </c>
      <c r="N80" s="175">
        <f t="shared" si="11"/>
        <v>0</v>
      </c>
      <c r="O80" s="175">
        <f t="shared" si="11"/>
        <v>0</v>
      </c>
      <c r="P80" s="175">
        <f t="shared" si="11"/>
        <v>0</v>
      </c>
      <c r="Q80" s="175">
        <f t="shared" si="11"/>
        <v>0</v>
      </c>
      <c r="R80" s="175">
        <f t="shared" si="11"/>
        <v>0</v>
      </c>
      <c r="S80" s="175">
        <f t="shared" si="11"/>
        <v>0</v>
      </c>
      <c r="T80" s="175">
        <f t="shared" si="11"/>
        <v>0</v>
      </c>
      <c r="U80" s="175">
        <f t="shared" si="11"/>
        <v>0</v>
      </c>
      <c r="V80" s="175">
        <f t="shared" si="11"/>
        <v>0</v>
      </c>
      <c r="W80" s="175">
        <f t="shared" si="11"/>
        <v>0</v>
      </c>
      <c r="X80" s="175">
        <f t="shared" si="11"/>
        <v>0</v>
      </c>
      <c r="Y80" s="175">
        <f t="shared" si="11"/>
        <v>0</v>
      </c>
      <c r="Z80" s="175">
        <f t="shared" si="11"/>
        <v>0</v>
      </c>
      <c r="AA80" s="175">
        <f t="shared" si="11"/>
        <v>0</v>
      </c>
      <c r="AB80" s="175">
        <f t="shared" si="11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6"/>
      <c r="G82" s="209">
        <f t="shared" ref="G82:G87" si="12">input_dollars</f>
        <v>45291</v>
      </c>
      <c r="H82" s="31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0</v>
      </c>
      <c r="N82" s="118">
        <f t="shared" si="13"/>
        <v>0</v>
      </c>
      <c r="O82" s="118">
        <f t="shared" si="13"/>
        <v>0</v>
      </c>
      <c r="P82" s="118">
        <f t="shared" si="13"/>
        <v>0</v>
      </c>
      <c r="Q82" s="118">
        <f t="shared" si="13"/>
        <v>0</v>
      </c>
      <c r="R82" s="118">
        <f t="shared" si="13"/>
        <v>0</v>
      </c>
      <c r="S82" s="118">
        <f t="shared" si="13"/>
        <v>0</v>
      </c>
      <c r="T82" s="118">
        <f t="shared" si="13"/>
        <v>0</v>
      </c>
      <c r="U82" s="118">
        <f t="shared" si="13"/>
        <v>0</v>
      </c>
      <c r="V82" s="118">
        <f t="shared" si="13"/>
        <v>0</v>
      </c>
      <c r="W82" s="118">
        <f t="shared" si="13"/>
        <v>0</v>
      </c>
      <c r="X82" s="118">
        <f t="shared" si="13"/>
        <v>0</v>
      </c>
      <c r="Y82" s="118">
        <f t="shared" si="13"/>
        <v>0</v>
      </c>
      <c r="Z82" s="118">
        <f t="shared" si="13"/>
        <v>0</v>
      </c>
      <c r="AA82" s="118">
        <f t="shared" si="13"/>
        <v>0</v>
      </c>
      <c r="AB82" s="118">
        <f t="shared" si="13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2">
      <c r="A83" s="8"/>
      <c r="B83" s="8"/>
      <c r="C83" s="4" t="s">
        <v>31</v>
      </c>
      <c r="D83" s="38"/>
      <c r="F83" s="96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6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6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188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0</v>
      </c>
      <c r="M87" s="178">
        <f t="shared" si="17"/>
        <v>0</v>
      </c>
      <c r="N87" s="178">
        <f t="shared" si="17"/>
        <v>0</v>
      </c>
      <c r="O87" s="178">
        <f t="shared" si="17"/>
        <v>0</v>
      </c>
      <c r="P87" s="178">
        <f t="shared" si="17"/>
        <v>0</v>
      </c>
      <c r="Q87" s="178">
        <f t="shared" si="17"/>
        <v>0</v>
      </c>
      <c r="R87" s="178">
        <f t="shared" si="17"/>
        <v>0</v>
      </c>
      <c r="S87" s="178">
        <f t="shared" si="17"/>
        <v>0</v>
      </c>
      <c r="T87" s="178">
        <f t="shared" si="17"/>
        <v>0</v>
      </c>
      <c r="U87" s="178">
        <f t="shared" si="17"/>
        <v>0</v>
      </c>
      <c r="V87" s="178">
        <f t="shared" si="17"/>
        <v>0</v>
      </c>
      <c r="W87" s="178">
        <f t="shared" si="17"/>
        <v>0</v>
      </c>
      <c r="X87" s="178">
        <f t="shared" si="17"/>
        <v>0</v>
      </c>
      <c r="Y87" s="178">
        <f t="shared" si="17"/>
        <v>0</v>
      </c>
      <c r="Z87" s="178">
        <f t="shared" si="17"/>
        <v>0</v>
      </c>
      <c r="AA87" s="178">
        <f t="shared" si="17"/>
        <v>0</v>
      </c>
      <c r="AB87" s="178">
        <f t="shared" si="17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5"/>
      <c r="D88" s="137"/>
      <c r="E88" s="64"/>
      <c r="F88" s="140"/>
      <c r="G88" s="216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5"/>
      <c r="D89" s="137"/>
      <c r="E89" s="64"/>
      <c r="F89" s="140"/>
      <c r="G89" s="21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29" t="s">
        <v>198</v>
      </c>
      <c r="D90" s="82"/>
      <c r="E90" s="230"/>
      <c r="F90" s="231"/>
      <c r="G90" s="232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3"/>
      <c r="E91" s="230"/>
      <c r="F91" s="230"/>
      <c r="G91" s="232"/>
    </row>
    <row r="92" spans="1:33" x14ac:dyDescent="0.2">
      <c r="C92" s="234" t="s">
        <v>193</v>
      </c>
      <c r="D92" s="235"/>
      <c r="E92" s="235"/>
      <c r="F92" s="235"/>
      <c r="G92" s="236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AR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185</v>
      </c>
      <c r="B3" s="5"/>
      <c r="C3" s="199">
        <f>INDEX(Assumptions!$E$14:$E$18, MATCH(A3,_xlfn.ANCHORARRAY( Assumptions!$C$14),0))</f>
        <v>0</v>
      </c>
    </row>
    <row r="4" spans="1:43" x14ac:dyDescent="0.2">
      <c r="A4" s="200" t="str">
        <f>(INDEX(Data!$D$9:$D$13, MATCH(A3, options,0)))</f>
        <v>Not used</v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59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  <c r="AH12"/>
      <c r="AI12"/>
      <c r="AJ12"/>
      <c r="AK12"/>
    </row>
    <row r="13" spans="1:43" x14ac:dyDescent="0.2">
      <c r="C13" s="3" t="s">
        <v>17</v>
      </c>
      <c r="D13"/>
      <c r="E13" s="125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7">
        <v>0</v>
      </c>
      <c r="G14" s="206">
        <f>input_dollars</f>
        <v>45291</v>
      </c>
      <c r="H14" s="148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6"/>
      <c r="I17" s="105">
        <f t="shared" ref="I17:Q17" si="0">SUM(I14:I16)</f>
        <v>0</v>
      </c>
      <c r="J17" s="105">
        <f t="shared" si="0"/>
        <v>0</v>
      </c>
      <c r="K17" s="105">
        <f>SUM(K14:K16)</f>
        <v>0</v>
      </c>
      <c r="L17" s="105">
        <f t="shared" si="0"/>
        <v>0</v>
      </c>
      <c r="M17" s="105">
        <f t="shared" si="0"/>
        <v>0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G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05">
        <f t="shared" si="1"/>
        <v>0</v>
      </c>
      <c r="AG17" s="105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6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/>
      <c r="AI19"/>
      <c r="AJ19"/>
      <c r="AK19"/>
    </row>
    <row r="20" spans="1:43" x14ac:dyDescent="0.2">
      <c r="G20" s="204"/>
      <c r="AH20"/>
      <c r="AI20"/>
      <c r="AJ20"/>
      <c r="AK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7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7"/>
      <c r="H24" s="110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7"/>
      <c r="E25" s="110"/>
      <c r="F25" s="110"/>
      <c r="G25" s="207"/>
      <c r="H25" s="110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7"/>
      <c r="E26" s="110"/>
      <c r="F26" s="110"/>
      <c r="G26" s="207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2">
        <f>Assumptions!H41*vcr_esc</f>
        <v>35599.455554362678</v>
      </c>
      <c r="F28" s="237" t="str">
        <f>IF(AND(SUM(I27:AG27)&lt;&gt;0, E28=0), "!", "")</f>
        <v/>
      </c>
      <c r="G28" s="206">
        <f>input_dollars</f>
        <v>45291</v>
      </c>
      <c r="H28"/>
      <c r="I28" s="118">
        <f>I27*$E$28</f>
        <v>0</v>
      </c>
      <c r="J28" s="118">
        <f t="shared" ref="J28:AG28" si="2">J27*$E$28</f>
        <v>0</v>
      </c>
      <c r="K28" s="118">
        <f t="shared" si="2"/>
        <v>0</v>
      </c>
      <c r="L28" s="118">
        <f t="shared" si="2"/>
        <v>0</v>
      </c>
      <c r="M28" s="118">
        <f t="shared" si="2"/>
        <v>0</v>
      </c>
      <c r="N28" s="118">
        <f t="shared" si="2"/>
        <v>0</v>
      </c>
      <c r="O28" s="118">
        <f t="shared" si="2"/>
        <v>0</v>
      </c>
      <c r="P28" s="118">
        <f t="shared" si="2"/>
        <v>0</v>
      </c>
      <c r="Q28" s="118">
        <f t="shared" si="2"/>
        <v>0</v>
      </c>
      <c r="R28" s="118">
        <f t="shared" si="2"/>
        <v>0</v>
      </c>
      <c r="S28" s="118">
        <f t="shared" si="2"/>
        <v>0</v>
      </c>
      <c r="T28" s="118">
        <f t="shared" si="2"/>
        <v>0</v>
      </c>
      <c r="U28" s="118">
        <f t="shared" si="2"/>
        <v>0</v>
      </c>
      <c r="V28" s="118">
        <f t="shared" si="2"/>
        <v>0</v>
      </c>
      <c r="W28" s="118">
        <f t="shared" si="2"/>
        <v>0</v>
      </c>
      <c r="X28" s="118">
        <f t="shared" si="2"/>
        <v>0</v>
      </c>
      <c r="Y28" s="118">
        <f t="shared" si="2"/>
        <v>0</v>
      </c>
      <c r="Z28" s="118">
        <f t="shared" si="2"/>
        <v>0</v>
      </c>
      <c r="AA28" s="118">
        <f t="shared" si="2"/>
        <v>0</v>
      </c>
      <c r="AB28" s="118">
        <f t="shared" si="2"/>
        <v>0</v>
      </c>
      <c r="AC28" s="118">
        <f t="shared" si="2"/>
        <v>0</v>
      </c>
      <c r="AD28" s="118">
        <f t="shared" si="2"/>
        <v>0</v>
      </c>
      <c r="AE28" s="118">
        <f t="shared" si="2"/>
        <v>0</v>
      </c>
      <c r="AF28" s="118">
        <f t="shared" si="2"/>
        <v>0</v>
      </c>
      <c r="AG28" s="11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208</v>
      </c>
      <c r="G30" s="206">
        <f>input_dollars</f>
        <v>45291</v>
      </c>
      <c r="H30" s="148"/>
      <c r="I30" s="169" cm="1">
        <f t="array" ref="I30">SUMPRODUCT((Assumptions!$H$70:$H$71)*(Assumptions!$G$70:$G$71)*(Assumptions!$I$70:$I$71)*(I$24:I$25))</f>
        <v>0</v>
      </c>
      <c r="J30" s="169" cm="1">
        <f t="array" ref="J30">SUMPRODUCT((Assumptions!$H$70:$H$71)*(Assumptions!$G$70:$G$71)*(Assumptions!$I$70:$I$71)*(J$24:J$25))</f>
        <v>0</v>
      </c>
      <c r="K30" s="169" cm="1">
        <f t="array" ref="K30">SUMPRODUCT((Assumptions!$H$70:$H$71)*(Assumptions!$G$70:$G$71)*(Assumptions!$I$70:$I$71)*(K$24:K$25))</f>
        <v>0</v>
      </c>
      <c r="L30" s="169" cm="1">
        <f t="array" ref="L30">SUMPRODUCT((Assumptions!$H$70:$H$71)*(Assumptions!$G$70:$G$71)*(Assumptions!$I$70:$I$71)*(L$24:L$25))</f>
        <v>0</v>
      </c>
      <c r="M30" s="169" cm="1">
        <f t="array" ref="M30">SUMPRODUCT((Assumptions!$H$70:$H$71)*(Assumptions!$G$70:$G$71)*(Assumptions!$I$70:$I$71)*(M$24:M$25))</f>
        <v>0</v>
      </c>
      <c r="N30" s="169" cm="1">
        <f t="array" ref="N30">SUMPRODUCT((Assumptions!$H$70:$H$71)*(Assumptions!$G$70:$G$71)*(Assumptions!$I$70:$I$71)*(N$24:N$25))</f>
        <v>0</v>
      </c>
      <c r="O30" s="169" cm="1">
        <f t="array" ref="O30">SUMPRODUCT((Assumptions!$H$70:$H$71)*(Assumptions!$G$70:$G$71)*(Assumptions!$I$70:$I$71)*(O$24:O$25))</f>
        <v>0</v>
      </c>
      <c r="P30" s="169" cm="1">
        <f t="array" ref="P30">SUMPRODUCT((Assumptions!$H$70:$H$71)*(Assumptions!$G$70:$G$71)*(Assumptions!$I$70:$I$71)*(P$24:P$25))</f>
        <v>0</v>
      </c>
      <c r="Q30" s="169" cm="1">
        <f t="array" ref="Q30">SUMPRODUCT((Assumptions!$H$70:$H$71)*(Assumptions!$G$70:$G$71)*(Assumptions!$I$70:$I$71)*(Q$24:Q$25))</f>
        <v>0</v>
      </c>
      <c r="R30" s="169" cm="1">
        <f t="array" ref="R30">SUMPRODUCT((Assumptions!$H$70:$H$71)*(Assumptions!$G$70:$G$71)*(Assumptions!$I$70:$I$71)*(R$24:R$25))</f>
        <v>0</v>
      </c>
      <c r="S30" s="169" cm="1">
        <f t="array" ref="S30">SUMPRODUCT((Assumptions!$H$70:$H$71)*(Assumptions!$G$70:$G$71)*(Assumptions!$I$70:$I$71)*(S$24:S$25))</f>
        <v>0</v>
      </c>
      <c r="T30" s="169" cm="1">
        <f t="array" ref="T30">SUMPRODUCT((Assumptions!$H$70:$H$71)*(Assumptions!$G$70:$G$71)*(Assumptions!$I$70:$I$71)*(T$24:T$25))</f>
        <v>0</v>
      </c>
      <c r="U30" s="169" cm="1">
        <f t="array" ref="U30">SUMPRODUCT((Assumptions!$H$70:$H$71)*(Assumptions!$G$70:$G$71)*(Assumptions!$I$70:$I$71)*(U$24:U$25))</f>
        <v>0</v>
      </c>
      <c r="V30" s="169" cm="1">
        <f t="array" ref="V30">SUMPRODUCT((Assumptions!$H$70:$H$71)*(Assumptions!$G$70:$G$71)*(Assumptions!$I$70:$I$71)*(V$24:V$25))</f>
        <v>0</v>
      </c>
      <c r="W30" s="169" cm="1">
        <f t="array" ref="W30">SUMPRODUCT((Assumptions!$H$70:$H$71)*(Assumptions!$G$70:$G$71)*(Assumptions!$I$70:$I$71)*(W$24:W$25))</f>
        <v>0</v>
      </c>
      <c r="X30" s="169" cm="1">
        <f t="array" ref="X30">SUMPRODUCT((Assumptions!$H$70:$H$71)*(Assumptions!$G$70:$G$71)*(Assumptions!$I$70:$I$71)*(X$24:X$25))</f>
        <v>0</v>
      </c>
      <c r="Y30" s="169" cm="1">
        <f t="array" ref="Y30">SUMPRODUCT((Assumptions!$H$70:$H$71)*(Assumptions!$G$70:$G$71)*(Assumptions!$I$70:$I$71)*(Y$24:Y$25))</f>
        <v>0</v>
      </c>
      <c r="Z30" s="169" cm="1">
        <f t="array" ref="Z30">SUMPRODUCT((Assumptions!$H$70:$H$71)*(Assumptions!$G$70:$G$71)*(Assumptions!$I$70:$I$71)*(Z$24:Z$25))</f>
        <v>0</v>
      </c>
      <c r="AA30" s="169" cm="1">
        <f t="array" ref="AA30">SUMPRODUCT((Assumptions!$H$70:$H$71)*(Assumptions!$G$70:$G$71)*(Assumptions!$I$70:$I$71)*(AA$24:AA$25))</f>
        <v>0</v>
      </c>
      <c r="AB30" s="169" cm="1">
        <f t="array" ref="AB30">SUMPRODUCT((Assumptions!$H$70:$H$71)*(Assumptions!$G$70:$G$71)*(Assumptions!$I$70:$I$71)*(AB$24:AB$25))</f>
        <v>0</v>
      </c>
      <c r="AC30" s="169" cm="1">
        <f t="array" ref="AC30">SUMPRODUCT((Assumptions!$H$70:$H$71)*(Assumptions!$G$70:$G$71)*(Assumptions!$I$70:$I$71)*(AC$24:AC$25))</f>
        <v>0</v>
      </c>
      <c r="AD30" s="169" cm="1">
        <f t="array" ref="AD30">SUMPRODUCT((Assumptions!$H$70:$H$71)*(Assumptions!$G$70:$G$71)*(Assumptions!$I$70:$I$71)*(AD$24:AD$25))</f>
        <v>0</v>
      </c>
      <c r="AE30" s="169" cm="1">
        <f t="array" ref="AE30">SUMPRODUCT((Assumptions!$H$70:$H$71)*(Assumptions!$G$70:$G$71)*(Assumptions!$I$70:$I$71)*(AE$24:AE$25))</f>
        <v>0</v>
      </c>
      <c r="AF30" s="169" cm="1">
        <f t="array" ref="AF30">SUMPRODUCT((Assumptions!$H$70:$H$71)*(Assumptions!$G$70:$G$71)*(Assumptions!$I$70:$I$71)*(AF$24:AF$25))</f>
        <v>0</v>
      </c>
      <c r="AG30" s="169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169" cm="1">
        <f t="array" ref="I31">(1+Assumptions!$G$81)*SUMPRODUCT((Assumptions!$G$78:$G$79)*(I$24:I$25))</f>
        <v>0</v>
      </c>
      <c r="J31" s="169" cm="1">
        <f t="array" ref="J31">(1+Assumptions!$G$81)*SUMPRODUCT((Assumptions!$G$78:$G$79)*(J$24:J$25))</f>
        <v>0</v>
      </c>
      <c r="K31" s="169" cm="1">
        <f t="array" ref="K31">(1+Assumptions!$G$81)*SUMPRODUCT((Assumptions!$G$78:$G$79)*(K$24:K$25))</f>
        <v>0</v>
      </c>
      <c r="L31" s="169" cm="1">
        <f t="array" ref="L31">(1+Assumptions!$G$81)*SUMPRODUCT((Assumptions!$G$78:$G$79)*(L$24:L$25))</f>
        <v>0</v>
      </c>
      <c r="M31" s="169" cm="1">
        <f t="array" ref="M31">(1+Assumptions!$G$81)*SUMPRODUCT((Assumptions!$G$78:$G$79)*(M$24:M$25))</f>
        <v>0</v>
      </c>
      <c r="N31" s="169" cm="1">
        <f t="array" ref="N31">(1+Assumptions!$G$81)*SUMPRODUCT((Assumptions!$G$78:$G$79)*(N$24:N$25))</f>
        <v>0</v>
      </c>
      <c r="O31" s="169" cm="1">
        <f t="array" ref="O31">(1+Assumptions!$G$81)*SUMPRODUCT((Assumptions!$G$78:$G$79)*(O$24:O$25))</f>
        <v>0</v>
      </c>
      <c r="P31" s="169" cm="1">
        <f t="array" ref="P31">(1+Assumptions!$G$81)*SUMPRODUCT((Assumptions!$G$78:$G$79)*(P$24:P$25))</f>
        <v>0</v>
      </c>
      <c r="Q31" s="169" cm="1">
        <f t="array" ref="Q31">(1+Assumptions!$G$81)*SUMPRODUCT((Assumptions!$G$78:$G$79)*(Q$24:Q$25))</f>
        <v>0</v>
      </c>
      <c r="R31" s="169" cm="1">
        <f t="array" ref="R31">(1+Assumptions!$G$81)*SUMPRODUCT((Assumptions!$G$78:$G$79)*(R$24:R$25))</f>
        <v>0</v>
      </c>
      <c r="S31" s="169" cm="1">
        <f t="array" ref="S31">(1+Assumptions!$G$81)*SUMPRODUCT((Assumptions!$G$78:$G$79)*(S$24:S$25))</f>
        <v>0</v>
      </c>
      <c r="T31" s="169" cm="1">
        <f t="array" ref="T31">(1+Assumptions!$G$81)*SUMPRODUCT((Assumptions!$G$78:$G$79)*(T$24:T$25))</f>
        <v>0</v>
      </c>
      <c r="U31" s="169" cm="1">
        <f t="array" ref="U31">(1+Assumptions!$G$81)*SUMPRODUCT((Assumptions!$G$78:$G$79)*(U$24:U$25))</f>
        <v>0</v>
      </c>
      <c r="V31" s="169" cm="1">
        <f t="array" ref="V31">(1+Assumptions!$G$81)*SUMPRODUCT((Assumptions!$G$78:$G$79)*(V$24:V$25))</f>
        <v>0</v>
      </c>
      <c r="W31" s="169" cm="1">
        <f t="array" ref="W31">(1+Assumptions!$G$81)*SUMPRODUCT((Assumptions!$G$78:$G$79)*(W$24:W$25))</f>
        <v>0</v>
      </c>
      <c r="X31" s="169" cm="1">
        <f t="array" ref="X31">(1+Assumptions!$G$81)*SUMPRODUCT((Assumptions!$G$78:$G$79)*(X$24:X$25))</f>
        <v>0</v>
      </c>
      <c r="Y31" s="169" cm="1">
        <f t="array" ref="Y31">(1+Assumptions!$G$81)*SUMPRODUCT((Assumptions!$G$78:$G$79)*(Y$24:Y$25))</f>
        <v>0</v>
      </c>
      <c r="Z31" s="169" cm="1">
        <f t="array" ref="Z31">(1+Assumptions!$G$81)*SUMPRODUCT((Assumptions!$G$78:$G$79)*(Z$24:Z$25))</f>
        <v>0</v>
      </c>
      <c r="AA31" s="169" cm="1">
        <f t="array" ref="AA31">(1+Assumptions!$G$81)*SUMPRODUCT((Assumptions!$G$78:$G$79)*(AA$24:AA$25))</f>
        <v>0</v>
      </c>
      <c r="AB31" s="169" cm="1">
        <f t="array" ref="AB31">(1+Assumptions!$G$81)*SUMPRODUCT((Assumptions!$G$78:$G$79)*(AB$24:AB$25))</f>
        <v>0</v>
      </c>
      <c r="AC31" s="169" cm="1">
        <f t="array" ref="AC31">(1+Assumptions!$G$81)*SUMPRODUCT((Assumptions!$G$78:$G$79)*(AC$24:AC$25))</f>
        <v>0</v>
      </c>
      <c r="AD31" s="169" cm="1">
        <f t="array" ref="AD31">(1+Assumptions!$G$81)*SUMPRODUCT((Assumptions!$G$78:$G$79)*(AD$24:AD$25))</f>
        <v>0</v>
      </c>
      <c r="AE31" s="169" cm="1">
        <f t="array" ref="AE31">(1+Assumptions!$G$81)*SUMPRODUCT((Assumptions!$G$78:$G$79)*(AE$24:AE$25))</f>
        <v>0</v>
      </c>
      <c r="AF31" s="169" cm="1">
        <f t="array" ref="AF31">(1+Assumptions!$G$81)*SUMPRODUCT((Assumptions!$G$78:$G$79)*(AF$24:AF$25))</f>
        <v>0</v>
      </c>
      <c r="AG31" s="169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208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173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173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6"/>
      <c r="F36" s="3"/>
      <c r="G36" s="208"/>
      <c r="H36" s="106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4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2">
        <f>Assumptions!G94</f>
        <v>0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4" t="s">
        <v>63</v>
      </c>
      <c r="E46" s="112">
        <f>Assumptions!G95</f>
        <v>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4" t="s">
        <v>63</v>
      </c>
      <c r="E47" s="111">
        <f>Assumptions!G96</f>
        <v>4220.9953699573898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4" t="s">
        <v>126</v>
      </c>
      <c r="E48" s="111">
        <f>Assumptions!G97</f>
        <v>0</v>
      </c>
      <c r="G48" s="206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4" t="s">
        <v>206</v>
      </c>
      <c r="E49" s="111">
        <f>Assumptions!G98</f>
        <v>0.54769380678923496</v>
      </c>
      <c r="G49" s="206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4" t="s">
        <v>206</v>
      </c>
      <c r="E50" s="111">
        <f>Assumptions!G99</f>
        <v>0.54769380678923496</v>
      </c>
      <c r="G50" s="206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4" t="s">
        <v>126</v>
      </c>
      <c r="E51" s="111">
        <f>Assumptions!G100</f>
        <v>0</v>
      </c>
      <c r="G51" s="206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1">
        <f>Assumptions!G101</f>
        <v>0</v>
      </c>
      <c r="G52" s="206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6"/>
      <c r="F57" s="3"/>
      <c r="G57" s="209">
        <f>input_dollars</f>
        <v>45291</v>
      </c>
      <c r="H57" s="106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7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1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0</v>
      </c>
      <c r="N64" s="131">
        <f>(1-INDEX(Data!$C$9:$C$13, MATCH($A$3, options,0)))*('Option1 (base case)'!N36-N36)</f>
        <v>0</v>
      </c>
      <c r="O64" s="131">
        <f>(1-INDEX(Data!$C$9:$C$13, MATCH($A$3, options,0)))*('Option1 (base case)'!O36-O36)</f>
        <v>0</v>
      </c>
      <c r="P64" s="131">
        <f>(1-INDEX(Data!$C$9:$C$13, MATCH($A$3, options,0)))*('Option1 (base case)'!P36-P36)</f>
        <v>0</v>
      </c>
      <c r="Q64" s="131">
        <f>(1-INDEX(Data!$C$9:$C$13, MATCH($A$3, options,0)))*('Option1 (base case)'!Q36-Q36)</f>
        <v>0</v>
      </c>
      <c r="R64" s="131">
        <f>(1-INDEX(Data!$C$9:$C$13, MATCH($A$3, options,0)))*('Option1 (base case)'!R36-R36)</f>
        <v>0</v>
      </c>
      <c r="S64" s="131">
        <f>(1-INDEX(Data!$C$9:$C$13, MATCH($A$3, options,0)))*('Option1 (base case)'!S36-S36)</f>
        <v>0</v>
      </c>
      <c r="T64" s="131">
        <f>(1-INDEX(Data!$C$9:$C$13, MATCH($A$3, options,0)))*('Option1 (base case)'!T36-T36)</f>
        <v>0</v>
      </c>
      <c r="U64" s="131">
        <f>(1-INDEX(Data!$C$9:$C$13, MATCH($A$3, options,0)))*('Option1 (base case)'!U36-U36)</f>
        <v>0</v>
      </c>
      <c r="V64" s="131">
        <f>(1-INDEX(Data!$C$9:$C$13, MATCH($A$3, options,0)))*('Option1 (base case)'!V36-V36)</f>
        <v>0</v>
      </c>
      <c r="W64" s="131">
        <f>(1-INDEX(Data!$C$9:$C$13, MATCH($A$3, options,0)))*('Option1 (base case)'!W36-W36)</f>
        <v>0</v>
      </c>
      <c r="X64" s="131">
        <f>(1-INDEX(Data!$C$9:$C$13, MATCH($A$3, options,0)))*('Option1 (base case)'!X36-X36)</f>
        <v>0</v>
      </c>
      <c r="Y64" s="131">
        <f>(1-INDEX(Data!$C$9:$C$13, MATCH($A$3, options,0)))*('Option1 (base case)'!Y36-Y36)</f>
        <v>0</v>
      </c>
      <c r="Z64" s="131">
        <f>(1-INDEX(Data!$C$9:$C$13, MATCH($A$3, options,0)))*('Option1 (base case)'!Z36-Z36)</f>
        <v>0</v>
      </c>
      <c r="AA64" s="131">
        <f>(1-INDEX(Data!$C$9:$C$13, MATCH($A$3, options,0)))*('Option1 (base case)'!AA36-AA36)</f>
        <v>0</v>
      </c>
      <c r="AB64" s="131">
        <f>(1-INDEX(Data!$C$9:$C$13, MATCH($A$3, options,0)))*('Option1 (base case)'!AB36-AB36)</f>
        <v>0</v>
      </c>
      <c r="AC64" s="131">
        <f>(1-INDEX(Data!$C$9:$C$13, MATCH($A$3, options,0)))*('Option1 (base case)'!AC36-AC36)</f>
        <v>0</v>
      </c>
      <c r="AD64" s="131">
        <f>(1-INDEX(Data!$C$9:$C$13, MATCH($A$3, options,0)))*('Option1 (base case)'!AD36-AD36)</f>
        <v>0</v>
      </c>
      <c r="AE64" s="131">
        <f>(1-INDEX(Data!$C$9:$C$13, MATCH($A$3, options,0)))*('Option1 (base case)'!AE36-AE36)</f>
        <v>0</v>
      </c>
      <c r="AF64" s="131">
        <f>(1-INDEX(Data!$C$9:$C$13, MATCH($A$3, options,0)))*('Option1 (base case)'!AF36-AF36)</f>
        <v>0</v>
      </c>
      <c r="AG64" s="131">
        <f>(1-INDEX(Data!$C$9:$C$13, MATCH($A$3, options,0)))*('Option1 (base case)'!AG36-AG36)</f>
        <v>0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6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6"/>
      <c r="G67" s="209">
        <f>input_dollars</f>
        <v>45291</v>
      </c>
      <c r="H67" s="31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0</v>
      </c>
      <c r="M67" s="118">
        <f t="shared" si="5"/>
        <v>0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6"/>
      <c r="G68" s="209">
        <f>input_dollars</f>
        <v>45291</v>
      </c>
      <c r="H68" s="31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6"/>
      <c r="G69" s="209">
        <f>input_dollars</f>
        <v>45291</v>
      </c>
      <c r="H69" s="31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2">
      <c r="A70" s="8"/>
      <c r="B70" s="8"/>
      <c r="C70" s="4"/>
      <c r="D70" s="38"/>
      <c r="F70" s="96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6" t="s">
        <v>156</v>
      </c>
      <c r="D71" s="38"/>
      <c r="F71" s="96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&lt; Enter description &gt;</v>
      </c>
      <c r="D72" s="38"/>
      <c r="F72" s="96"/>
      <c r="G72" s="209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6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6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6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6" t="s">
        <v>91</v>
      </c>
      <c r="D76" s="38"/>
      <c r="F76" s="96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6"/>
      <c r="G77" s="209">
        <f>input_dollars</f>
        <v>45291</v>
      </c>
      <c r="H77" s="31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0</v>
      </c>
      <c r="N77" s="118">
        <f t="shared" si="8"/>
        <v>0</v>
      </c>
      <c r="O77" s="118">
        <f t="shared" si="8"/>
        <v>0</v>
      </c>
      <c r="P77" s="118">
        <f t="shared" si="8"/>
        <v>0</v>
      </c>
      <c r="Q77" s="118">
        <f t="shared" si="8"/>
        <v>0</v>
      </c>
      <c r="R77" s="118">
        <f t="shared" si="8"/>
        <v>0</v>
      </c>
      <c r="S77" s="118">
        <f t="shared" si="8"/>
        <v>0</v>
      </c>
      <c r="T77" s="118">
        <f t="shared" si="8"/>
        <v>0</v>
      </c>
      <c r="U77" s="118">
        <f t="shared" si="8"/>
        <v>0</v>
      </c>
      <c r="V77" s="118">
        <f t="shared" si="8"/>
        <v>0</v>
      </c>
      <c r="W77" s="118">
        <f t="shared" si="8"/>
        <v>0</v>
      </c>
      <c r="X77" s="118">
        <f t="shared" si="8"/>
        <v>0</v>
      </c>
      <c r="Y77" s="118">
        <f t="shared" si="8"/>
        <v>0</v>
      </c>
      <c r="Z77" s="118">
        <f t="shared" si="8"/>
        <v>0</v>
      </c>
      <c r="AA77" s="118">
        <f t="shared" si="8"/>
        <v>0</v>
      </c>
      <c r="AB77" s="118">
        <f t="shared" si="8"/>
        <v>0</v>
      </c>
      <c r="AC77" s="118">
        <f t="shared" si="8"/>
        <v>0</v>
      </c>
      <c r="AD77" s="118">
        <f t="shared" si="8"/>
        <v>0</v>
      </c>
      <c r="AE77" s="118">
        <f t="shared" si="8"/>
        <v>0</v>
      </c>
      <c r="AF77" s="118">
        <f t="shared" si="8"/>
        <v>0</v>
      </c>
      <c r="AG77" s="118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6"/>
      <c r="G78" s="209">
        <f>input_dollars</f>
        <v>45291</v>
      </c>
      <c r="H78" s="31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6"/>
      <c r="G79" s="209">
        <f>input_dollars</f>
        <v>45291</v>
      </c>
      <c r="H79" s="31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0</v>
      </c>
      <c r="M80" s="175">
        <f t="shared" si="11"/>
        <v>0</v>
      </c>
      <c r="N80" s="175">
        <f t="shared" si="11"/>
        <v>0</v>
      </c>
      <c r="O80" s="175">
        <f t="shared" si="11"/>
        <v>0</v>
      </c>
      <c r="P80" s="175">
        <f t="shared" si="11"/>
        <v>0</v>
      </c>
      <c r="Q80" s="175">
        <f t="shared" si="11"/>
        <v>0</v>
      </c>
      <c r="R80" s="175">
        <f t="shared" si="11"/>
        <v>0</v>
      </c>
      <c r="S80" s="175">
        <f t="shared" si="11"/>
        <v>0</v>
      </c>
      <c r="T80" s="175">
        <f t="shared" si="11"/>
        <v>0</v>
      </c>
      <c r="U80" s="175">
        <f t="shared" si="11"/>
        <v>0</v>
      </c>
      <c r="V80" s="175">
        <f t="shared" si="11"/>
        <v>0</v>
      </c>
      <c r="W80" s="175">
        <f t="shared" si="11"/>
        <v>0</v>
      </c>
      <c r="X80" s="175">
        <f t="shared" si="11"/>
        <v>0</v>
      </c>
      <c r="Y80" s="175">
        <f t="shared" si="11"/>
        <v>0</v>
      </c>
      <c r="Z80" s="175">
        <f t="shared" si="11"/>
        <v>0</v>
      </c>
      <c r="AA80" s="175">
        <f t="shared" si="11"/>
        <v>0</v>
      </c>
      <c r="AB80" s="175">
        <f t="shared" si="11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6"/>
      <c r="G82" s="209">
        <f t="shared" ref="G82:G87" si="12">input_dollars</f>
        <v>45291</v>
      </c>
      <c r="H82" s="31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0</v>
      </c>
      <c r="N82" s="118">
        <f t="shared" si="13"/>
        <v>0</v>
      </c>
      <c r="O82" s="118">
        <f t="shared" si="13"/>
        <v>0</v>
      </c>
      <c r="P82" s="118">
        <f t="shared" si="13"/>
        <v>0</v>
      </c>
      <c r="Q82" s="118">
        <f t="shared" si="13"/>
        <v>0</v>
      </c>
      <c r="R82" s="118">
        <f t="shared" si="13"/>
        <v>0</v>
      </c>
      <c r="S82" s="118">
        <f t="shared" si="13"/>
        <v>0</v>
      </c>
      <c r="T82" s="118">
        <f t="shared" si="13"/>
        <v>0</v>
      </c>
      <c r="U82" s="118">
        <f t="shared" si="13"/>
        <v>0</v>
      </c>
      <c r="V82" s="118">
        <f t="shared" si="13"/>
        <v>0</v>
      </c>
      <c r="W82" s="118">
        <f t="shared" si="13"/>
        <v>0</v>
      </c>
      <c r="X82" s="118">
        <f t="shared" si="13"/>
        <v>0</v>
      </c>
      <c r="Y82" s="118">
        <f t="shared" si="13"/>
        <v>0</v>
      </c>
      <c r="Z82" s="118">
        <f t="shared" si="13"/>
        <v>0</v>
      </c>
      <c r="AA82" s="118">
        <f t="shared" si="13"/>
        <v>0</v>
      </c>
      <c r="AB82" s="118">
        <f t="shared" si="13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2">
      <c r="A83" s="8"/>
      <c r="B83" s="8"/>
      <c r="C83" s="4" t="s">
        <v>31</v>
      </c>
      <c r="D83" s="38"/>
      <c r="F83" s="96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6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6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188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0</v>
      </c>
      <c r="M87" s="178">
        <f t="shared" si="17"/>
        <v>0</v>
      </c>
      <c r="N87" s="178">
        <f t="shared" si="17"/>
        <v>0</v>
      </c>
      <c r="O87" s="178">
        <f t="shared" si="17"/>
        <v>0</v>
      </c>
      <c r="P87" s="178">
        <f t="shared" si="17"/>
        <v>0</v>
      </c>
      <c r="Q87" s="178">
        <f t="shared" si="17"/>
        <v>0</v>
      </c>
      <c r="R87" s="178">
        <f t="shared" si="17"/>
        <v>0</v>
      </c>
      <c r="S87" s="178">
        <f t="shared" si="17"/>
        <v>0</v>
      </c>
      <c r="T87" s="178">
        <f t="shared" si="17"/>
        <v>0</v>
      </c>
      <c r="U87" s="178">
        <f t="shared" si="17"/>
        <v>0</v>
      </c>
      <c r="V87" s="178">
        <f t="shared" si="17"/>
        <v>0</v>
      </c>
      <c r="W87" s="178">
        <f t="shared" si="17"/>
        <v>0</v>
      </c>
      <c r="X87" s="178">
        <f t="shared" si="17"/>
        <v>0</v>
      </c>
      <c r="Y87" s="178">
        <f t="shared" si="17"/>
        <v>0</v>
      </c>
      <c r="Z87" s="178">
        <f t="shared" si="17"/>
        <v>0</v>
      </c>
      <c r="AA87" s="178">
        <f t="shared" si="17"/>
        <v>0</v>
      </c>
      <c r="AB87" s="178">
        <f t="shared" si="17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5"/>
      <c r="D88" s="137"/>
      <c r="E88" s="64"/>
      <c r="F88" s="140"/>
      <c r="G88" s="216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5"/>
      <c r="D89" s="137"/>
      <c r="E89" s="64"/>
      <c r="F89" s="140"/>
      <c r="G89" s="21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29" t="s">
        <v>198</v>
      </c>
      <c r="D90" s="82"/>
      <c r="E90" s="230"/>
      <c r="F90" s="231"/>
      <c r="G90" s="232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3"/>
      <c r="E91" s="230"/>
      <c r="F91" s="230"/>
      <c r="G91" s="232"/>
    </row>
    <row r="92" spans="1:33" x14ac:dyDescent="0.2">
      <c r="C92" s="234" t="s">
        <v>193</v>
      </c>
      <c r="D92" s="235"/>
      <c r="E92" s="235"/>
      <c r="F92" s="235"/>
      <c r="G92" s="236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AR transformer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2" t="s">
        <v>90</v>
      </c>
      <c r="B3" s="5"/>
      <c r="C3" s="34"/>
      <c r="D3" s="34"/>
      <c r="E3" s="34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</row>
    <row r="4" spans="1:34" s="2" customFormat="1" ht="10.5" customHeight="1" x14ac:dyDescent="0.2">
      <c r="A4" s="114"/>
      <c r="B4" s="114"/>
      <c r="C4" s="115"/>
      <c r="D4" s="115"/>
      <c r="E4" s="115"/>
      <c r="F4" s="115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</row>
    <row r="5" spans="1:34" s="2" customFormat="1" hidden="1" outlineLevel="1" x14ac:dyDescent="0.2">
      <c r="A5" s="115" t="s">
        <v>194</v>
      </c>
      <c r="B5" s="115"/>
      <c r="C5" s="116"/>
      <c r="D5" s="115"/>
      <c r="E5" s="115"/>
      <c r="F5" s="115"/>
      <c r="G5" s="100"/>
      <c r="H5" s="187">
        <f t="shared" ref="H5:AG5" si="0">IF(H9=start,1/((1+real_disc)^(1/2)),G5/(1+real_disc))</f>
        <v>0</v>
      </c>
      <c r="I5" s="187">
        <f t="shared" si="0"/>
        <v>0.98294637436598087</v>
      </c>
      <c r="J5" s="187">
        <f t="shared" si="0"/>
        <v>0.94970664189949849</v>
      </c>
      <c r="K5" s="187">
        <f t="shared" si="0"/>
        <v>0.91759095835700344</v>
      </c>
      <c r="L5" s="187">
        <f t="shared" si="0"/>
        <v>0.88656131242222558</v>
      </c>
      <c r="M5" s="187">
        <f t="shared" si="0"/>
        <v>0.85658097818572532</v>
      </c>
      <c r="N5" s="187">
        <f t="shared" si="0"/>
        <v>0.8276144716770294</v>
      </c>
      <c r="O5" s="187">
        <f t="shared" si="0"/>
        <v>0.79962750886669509</v>
      </c>
      <c r="P5" s="187">
        <f t="shared" si="0"/>
        <v>0.77258696508859437</v>
      </c>
      <c r="Q5" s="187">
        <f t="shared" si="0"/>
        <v>0.74646083583439071</v>
      </c>
      <c r="R5" s="187">
        <f t="shared" si="0"/>
        <v>0.72121819887380756</v>
      </c>
      <c r="S5" s="187">
        <f t="shared" si="0"/>
        <v>0.69682917765585273</v>
      </c>
      <c r="T5" s="187">
        <f t="shared" si="0"/>
        <v>0.67326490594768384</v>
      </c>
      <c r="U5" s="187">
        <f t="shared" si="0"/>
        <v>0.6504974936692598</v>
      </c>
      <c r="V5" s="187">
        <f t="shared" si="0"/>
        <v>0.62849999388334288</v>
      </c>
      <c r="W5" s="187">
        <f t="shared" si="0"/>
        <v>0.60724637090178057</v>
      </c>
      <c r="X5" s="187">
        <f t="shared" si="0"/>
        <v>0.58671146947031949</v>
      </c>
      <c r="Y5" s="187">
        <f t="shared" si="0"/>
        <v>0.56687098499547783</v>
      </c>
      <c r="Z5" s="187">
        <f t="shared" si="0"/>
        <v>0.54770143477823952</v>
      </c>
      <c r="AA5" s="187">
        <f t="shared" si="0"/>
        <v>0.52918013022052135</v>
      </c>
      <c r="AB5" s="187">
        <f t="shared" si="0"/>
        <v>0.5112851499715183</v>
      </c>
      <c r="AC5" s="187">
        <f t="shared" si="0"/>
        <v>0.4939953139821433</v>
      </c>
      <c r="AD5" s="187">
        <f t="shared" si="0"/>
        <v>0.47729015843685346</v>
      </c>
      <c r="AE5" s="187">
        <f t="shared" si="0"/>
        <v>0.46114991153319179</v>
      </c>
      <c r="AF5" s="187">
        <f t="shared" si="0"/>
        <v>0.4455554700803786</v>
      </c>
      <c r="AG5" s="187">
        <f t="shared" si="0"/>
        <v>0.43048837688925473</v>
      </c>
    </row>
    <row r="6" spans="1:34" s="2" customFormat="1" hidden="1" outlineLevel="1" x14ac:dyDescent="0.2">
      <c r="A6" s="188" t="str">
        <f>'Option1 (base case)'!A6</f>
        <v>Count</v>
      </c>
      <c r="B6" s="115"/>
      <c r="C6" s="116"/>
      <c r="D6" s="115"/>
      <c r="E6" s="115"/>
      <c r="F6" s="115"/>
      <c r="G6" s="100"/>
      <c r="H6" s="188">
        <f>'Option1 (base case)'!H6</f>
        <v>0</v>
      </c>
      <c r="I6" s="188">
        <f>'Option1 (base case)'!I6</f>
        <v>1</v>
      </c>
      <c r="J6" s="188">
        <f>'Option1 (base case)'!J6</f>
        <v>2</v>
      </c>
      <c r="K6" s="188">
        <f>'Option1 (base case)'!K6</f>
        <v>3</v>
      </c>
      <c r="L6" s="188">
        <f>'Option1 (base case)'!L6</f>
        <v>4</v>
      </c>
      <c r="M6" s="188">
        <f>'Option1 (base case)'!M6</f>
        <v>5</v>
      </c>
      <c r="N6" s="188">
        <f>'Option1 (base case)'!N6</f>
        <v>6</v>
      </c>
      <c r="O6" s="188">
        <f>'Option1 (base case)'!O6</f>
        <v>7</v>
      </c>
      <c r="P6" s="188">
        <f>'Option1 (base case)'!P6</f>
        <v>8</v>
      </c>
      <c r="Q6" s="188">
        <f>'Option1 (base case)'!Q6</f>
        <v>9</v>
      </c>
      <c r="R6" s="188">
        <f>'Option1 (base case)'!R6</f>
        <v>10</v>
      </c>
      <c r="S6" s="188">
        <f>'Option1 (base case)'!S6</f>
        <v>11</v>
      </c>
      <c r="T6" s="188">
        <f>'Option1 (base case)'!T6</f>
        <v>12</v>
      </c>
      <c r="U6" s="188">
        <f>'Option1 (base case)'!U6</f>
        <v>13</v>
      </c>
      <c r="V6" s="188">
        <f>'Option1 (base case)'!V6</f>
        <v>14</v>
      </c>
      <c r="W6" s="188">
        <f>'Option1 (base case)'!W6</f>
        <v>15</v>
      </c>
      <c r="X6" s="188">
        <f>'Option1 (base case)'!X6</f>
        <v>16</v>
      </c>
      <c r="Y6" s="188">
        <f>'Option1 (base case)'!Y6</f>
        <v>17</v>
      </c>
      <c r="Z6" s="188">
        <f>'Option1 (base case)'!Z6</f>
        <v>18</v>
      </c>
      <c r="AA6" s="188">
        <f>'Option1 (base case)'!AA6</f>
        <v>19</v>
      </c>
      <c r="AB6" s="188">
        <f>'Option1 (base case)'!AB6</f>
        <v>20</v>
      </c>
      <c r="AC6" s="188">
        <f>'Option1 (base case)'!AC6</f>
        <v>21</v>
      </c>
      <c r="AD6" s="188">
        <f>'Option1 (base case)'!AD6</f>
        <v>22</v>
      </c>
      <c r="AE6" s="188">
        <f>'Option1 (base case)'!AE6</f>
        <v>23</v>
      </c>
      <c r="AF6" s="188">
        <f>'Option1 (base case)'!AF6</f>
        <v>24</v>
      </c>
      <c r="AG6" s="188">
        <f>'Option1 (base case)'!AG6</f>
        <v>25</v>
      </c>
    </row>
    <row r="7" spans="1:34" s="2" customFormat="1" hidden="1" outlineLevel="1" x14ac:dyDescent="0.2">
      <c r="A7" s="115" t="s">
        <v>195</v>
      </c>
      <c r="B7" s="115"/>
      <c r="C7" s="116"/>
      <c r="D7" s="115"/>
      <c r="E7" s="115"/>
      <c r="F7" s="115"/>
      <c r="G7" s="100"/>
      <c r="H7" s="100" t="b">
        <f t="shared" ref="H7:AG7" si="1">H$6&lt;(first_year+years)</f>
        <v>1</v>
      </c>
      <c r="I7" s="100" t="b">
        <f t="shared" si="1"/>
        <v>1</v>
      </c>
      <c r="J7" s="100" t="b">
        <f t="shared" si="1"/>
        <v>1</v>
      </c>
      <c r="K7" s="100" t="b">
        <f t="shared" si="1"/>
        <v>1</v>
      </c>
      <c r="L7" s="100" t="b">
        <f t="shared" si="1"/>
        <v>1</v>
      </c>
      <c r="M7" s="100" t="b">
        <f t="shared" si="1"/>
        <v>1</v>
      </c>
      <c r="N7" s="100" t="b">
        <f t="shared" si="1"/>
        <v>1</v>
      </c>
      <c r="O7" s="100" t="b">
        <f t="shared" si="1"/>
        <v>1</v>
      </c>
      <c r="P7" s="100" t="b">
        <f t="shared" si="1"/>
        <v>1</v>
      </c>
      <c r="Q7" s="100" t="b">
        <f t="shared" si="1"/>
        <v>1</v>
      </c>
      <c r="R7" s="100" t="b">
        <f t="shared" si="1"/>
        <v>1</v>
      </c>
      <c r="S7" s="100" t="b">
        <f t="shared" si="1"/>
        <v>1</v>
      </c>
      <c r="T7" s="100" t="b">
        <f t="shared" si="1"/>
        <v>1</v>
      </c>
      <c r="U7" s="100" t="b">
        <f t="shared" si="1"/>
        <v>1</v>
      </c>
      <c r="V7" s="100" t="b">
        <f t="shared" si="1"/>
        <v>1</v>
      </c>
      <c r="W7" s="100" t="b">
        <f t="shared" si="1"/>
        <v>1</v>
      </c>
      <c r="X7" s="100" t="b">
        <f t="shared" si="1"/>
        <v>1</v>
      </c>
      <c r="Y7" s="100" t="b">
        <f t="shared" si="1"/>
        <v>1</v>
      </c>
      <c r="Z7" s="100" t="b">
        <f t="shared" si="1"/>
        <v>1</v>
      </c>
      <c r="AA7" s="100" t="b">
        <f t="shared" si="1"/>
        <v>1</v>
      </c>
      <c r="AB7" s="100" t="b">
        <f t="shared" si="1"/>
        <v>1</v>
      </c>
      <c r="AC7" s="100" t="b">
        <f t="shared" si="1"/>
        <v>1</v>
      </c>
      <c r="AD7" s="100" t="b">
        <f t="shared" si="1"/>
        <v>1</v>
      </c>
      <c r="AE7" s="100" t="b">
        <f t="shared" si="1"/>
        <v>0</v>
      </c>
      <c r="AF7" s="100" t="b">
        <f t="shared" si="1"/>
        <v>0</v>
      </c>
      <c r="AG7" s="100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8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7"/>
      <c r="D10" s="117"/>
      <c r="F10" s="117"/>
      <c r="G10" s="220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1:34" s="2" customFormat="1" ht="15" x14ac:dyDescent="0.2">
      <c r="A11" s="119" t="s">
        <v>39</v>
      </c>
      <c r="B11" s="119"/>
      <c r="C11" s="120"/>
      <c r="D11" s="120"/>
      <c r="E11" s="120"/>
      <c r="F11" s="70" t="s">
        <v>153</v>
      </c>
      <c r="G11" s="221"/>
      <c r="H11" s="121" t="str" cm="1">
        <f t="array" ref="H11">IF(H6=$C$4,UPPER($A$4),IF(H6=end, "END", ""))</f>
        <v/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1:34" s="2" customFormat="1" x14ac:dyDescent="0.2">
      <c r="A12" s="117"/>
      <c r="B12" s="117"/>
      <c r="C12" s="117"/>
      <c r="D12" s="117"/>
      <c r="F12" s="117"/>
      <c r="G12" s="223"/>
      <c r="H12" s="117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</row>
    <row r="13" spans="1:34" s="2" customFormat="1" x14ac:dyDescent="0.2">
      <c r="A13" s="122"/>
      <c r="B13" s="122"/>
      <c r="C13" s="122"/>
      <c r="D13" s="117"/>
      <c r="F13" s="117"/>
      <c r="G13" s="220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</row>
    <row r="14" spans="1:34" s="269" customFormat="1" x14ac:dyDescent="0.2">
      <c r="A14" s="267" t="str">
        <f>A15</f>
        <v>Option 1 (base case)</v>
      </c>
      <c r="B14" s="267"/>
      <c r="C14" s="267" t="s">
        <v>124</v>
      </c>
      <c r="D14" s="268" t="str">
        <f t="shared" ref="D14:D25" si="2">A14&amp;C14</f>
        <v>Option 1 (base case)Energy at risk value</v>
      </c>
      <c r="F14" s="96">
        <f>SUMPRODUCT($H14:$AG14, $H$5:$AG$5)</f>
        <v>18286756.973072696</v>
      </c>
      <c r="G14" s="270">
        <f>output_dollars</f>
        <v>46203</v>
      </c>
      <c r="H14" s="271"/>
      <c r="I14" s="31">
        <f>'Option1 (base case)'!I$28*conv_2026</f>
        <v>732876.86137451848</v>
      </c>
      <c r="J14" s="31">
        <f>'Option1 (base case)'!J$28*conv_2026</f>
        <v>762090.61646231939</v>
      </c>
      <c r="K14" s="31">
        <f>'Option1 (base case)'!K$28*conv_2026</f>
        <v>796103.92413369939</v>
      </c>
      <c r="L14" s="31">
        <f>'Option1 (base case)'!L$28*conv_2026</f>
        <v>835788.2221183381</v>
      </c>
      <c r="M14" s="31">
        <f>'Option1 (base case)'!M$28*conv_2026</f>
        <v>872487.66954142216</v>
      </c>
      <c r="N14" s="31">
        <f>'Option1 (base case)'!N$28*conv_2026</f>
        <v>914517.79765335971</v>
      </c>
      <c r="O14" s="31">
        <f>'Option1 (base case)'!O$28*conv_2026</f>
        <v>966745.2038599794</v>
      </c>
      <c r="P14" s="31">
        <f>'Option1 (base case)'!P$28*conv_2026</f>
        <v>1025021.1996327338</v>
      </c>
      <c r="Q14" s="31">
        <f>'Option1 (base case)'!Q$28*conv_2026</f>
        <v>1065170.2362129453</v>
      </c>
      <c r="R14" s="31">
        <f>'Option1 (base case)'!R$28*conv_2026</f>
        <v>1090912.8650407603</v>
      </c>
      <c r="S14" s="31">
        <f>'Option1 (base case)'!S$28*conv_2026</f>
        <v>1116912.3837096766</v>
      </c>
      <c r="T14" s="31">
        <f>'Option1 (base case)'!T$28*conv_2026</f>
        <v>1143167.9102379871</v>
      </c>
      <c r="U14" s="31">
        <f>'Option1 (base case)'!U$28*conv_2026</f>
        <v>1169678.5816302183</v>
      </c>
      <c r="V14" s="31">
        <f>'Option1 (base case)'!V$28*conv_2026</f>
        <v>1196443.5533104823</v>
      </c>
      <c r="W14" s="31">
        <f>'Option1 (base case)'!W$28*conv_2026</f>
        <v>1223461.9985803866</v>
      </c>
      <c r="X14" s="31">
        <f>'Option1 (base case)'!X$28*conv_2026</f>
        <v>1250733.1081001631</v>
      </c>
      <c r="Y14" s="31">
        <f>'Option1 (base case)'!Y$28*conv_2026</f>
        <v>1278256.0893917086</v>
      </c>
      <c r="Z14" s="31">
        <f>'Option1 (base case)'!Z$28*conv_2026</f>
        <v>1306030.166362341</v>
      </c>
      <c r="AA14" s="31">
        <f>'Option1 (base case)'!AA$28*conv_2026</f>
        <v>1334054.578848175</v>
      </c>
      <c r="AB14" s="31">
        <f>'Option1 (base case)'!AB$28*conv_2026</f>
        <v>1362328.5821760437</v>
      </c>
      <c r="AC14" s="31">
        <f>'Option1 (base case)'!AC$28*conv_2026</f>
        <v>1390851.4467430259</v>
      </c>
      <c r="AD14" s="31">
        <f>'Option1 (base case)'!AD$28*conv_2026</f>
        <v>1419622.4576126365</v>
      </c>
      <c r="AE14" s="31">
        <f>'Option1 (base case)'!AE$28*conv_2026</f>
        <v>1448640.9141268483</v>
      </c>
      <c r="AF14" s="31">
        <f>'Option1 (base case)'!AF$28*conv_2026</f>
        <v>1477906.1295331067</v>
      </c>
      <c r="AG14" s="31">
        <f>'Option1 (base case)'!AG$28*conv_2026</f>
        <v>1507417.4306256548</v>
      </c>
    </row>
    <row r="15" spans="1:34" s="1" customFormat="1" x14ac:dyDescent="0.2">
      <c r="A15" s="134" t="str">
        <f>Data!B9</f>
        <v>Option 1 (base case)</v>
      </c>
      <c r="B15" s="134"/>
      <c r="C15" s="58" t="str">
        <f>'Option1 (base case)'!C$66</f>
        <v>Capital expenditure</v>
      </c>
      <c r="D15" s="38" t="str">
        <f t="shared" si="2"/>
        <v>Option 1 (base case)Capital expenditure</v>
      </c>
      <c r="F15" s="96">
        <f>SUMPRODUCT($H15:$AG15, $H$5:$AG$5)</f>
        <v>0</v>
      </c>
      <c r="G15" s="224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4" t="str">
        <f t="shared" ref="A16:A25" si="3">A15</f>
        <v>Option 1 (base case)</v>
      </c>
      <c r="B16" s="134"/>
      <c r="C16" s="58" t="str">
        <f>'Option1 (base case)'!C$36</f>
        <v>Total risk cost</v>
      </c>
      <c r="D16" s="38" t="str">
        <f t="shared" si="2"/>
        <v>Option 1 (base case)Total risk cost</v>
      </c>
      <c r="F16" s="107" cm="1">
        <f t="array" ref="F16">SUMPRODUCT(($H16:$AG16)*($H$5:$AG$5)*($H$7:$AG$7))</f>
        <v>17128376.521653224</v>
      </c>
      <c r="G16" s="224">
        <f>output_dollars</f>
        <v>46203</v>
      </c>
      <c r="H16" s="31"/>
      <c r="I16" s="31">
        <f>'Option1 (base case)'!I$36*conv_2026</f>
        <v>777904.53586707287</v>
      </c>
      <c r="J16" s="31">
        <f>'Option1 (base case)'!J$36*conv_2026</f>
        <v>807932.01854782447</v>
      </c>
      <c r="K16" s="31">
        <f>'Option1 (base case)'!K$36*conv_2026</f>
        <v>842768.00304631237</v>
      </c>
      <c r="L16" s="31">
        <f>'Option1 (base case)'!L$36*conv_2026</f>
        <v>883283.88556153362</v>
      </c>
      <c r="M16" s="31">
        <f>'Option1 (base case)'!M$36*conv_2026</f>
        <v>920823.78451048245</v>
      </c>
      <c r="N16" s="31">
        <f>'Option1 (base case)'!N$36*conv_2026</f>
        <v>963703.19122947589</v>
      </c>
      <c r="O16" s="31">
        <f>'Option1 (base case)'!O$36*conv_2026</f>
        <v>1016788.6639773507</v>
      </c>
      <c r="P16" s="31">
        <f>'Option1 (base case)'!P$36*conv_2026</f>
        <v>1075931.4758199616</v>
      </c>
      <c r="Q16" s="31">
        <f>'Option1 (base case)'!Q$36*conv_2026</f>
        <v>1116956.0403099419</v>
      </c>
      <c r="R16" s="31">
        <f>'Option1 (base case)'!R$36*conv_2026</f>
        <v>1143582.8718923146</v>
      </c>
      <c r="S16" s="31">
        <f>'Option1 (base case)'!S$36*conv_2026</f>
        <v>1170475.2318367525</v>
      </c>
      <c r="T16" s="31">
        <f>'Option1 (base case)'!T$36*conv_2026</f>
        <v>1197632.2024877667</v>
      </c>
      <c r="U16" s="31">
        <f>'Option1 (base case)'!U$36*conv_2026</f>
        <v>1225052.8858058432</v>
      </c>
      <c r="V16" s="31">
        <f>'Option1 (base case)'!V$36*conv_2026</f>
        <v>1252736.4027813876</v>
      </c>
      <c r="W16" s="31">
        <f>'Option1 (base case)'!W$36*conv_2026</f>
        <v>1280681.8928740788</v>
      </c>
      <c r="X16" s="31">
        <f>'Option1 (base case)'!X$36*conv_2026</f>
        <v>1308888.5134762363</v>
      </c>
      <c r="Y16" s="31">
        <f>'Option1 (base case)'!Y$36*conv_2026</f>
        <v>1337355.4393988571</v>
      </c>
      <c r="Z16" s="31">
        <f>'Option1 (base case)'!Z$36*conv_2026</f>
        <v>1366081.8623790815</v>
      </c>
      <c r="AA16" s="31">
        <f>'Option1 (base case)'!AA$36*conv_2026</f>
        <v>1395066.9906079518</v>
      </c>
      <c r="AB16" s="31">
        <f>'Option1 (base case)'!AB$36*conv_2026</f>
        <v>1424310.0482773583</v>
      </c>
      <c r="AC16" s="31">
        <f>'Option1 (base case)'!AC$36*conv_2026</f>
        <v>1453810.275145194</v>
      </c>
      <c r="AD16" s="31">
        <f>'Option1 (base case)'!AD$36*conv_2026</f>
        <v>1483566.9261177476</v>
      </c>
      <c r="AE16" s="31">
        <f>'Option1 (base case)'!AE$36*conv_2026</f>
        <v>1512585.3826319592</v>
      </c>
      <c r="AF16" s="31">
        <f>'Option1 (base case)'!AF$36*conv_2026</f>
        <v>1541850.5980382175</v>
      </c>
      <c r="AG16" s="31">
        <f>'Option1 (base case)'!AG$36*conv_2026</f>
        <v>1571361.8991307656</v>
      </c>
    </row>
    <row r="17" spans="1:33" s="1" customFormat="1" x14ac:dyDescent="0.2">
      <c r="A17" s="134" t="str">
        <f t="shared" si="3"/>
        <v>Option 1 (base case)</v>
      </c>
      <c r="B17" s="134"/>
      <c r="C17" s="75"/>
      <c r="D17" s="38" t="str">
        <f t="shared" si="2"/>
        <v>Option 1 (base case)</v>
      </c>
      <c r="F17"/>
      <c r="G17" s="22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4" t="str">
        <f t="shared" si="3"/>
        <v>Option 1 (base case)</v>
      </c>
      <c r="B18" s="134"/>
      <c r="C18" s="58" t="str">
        <f>'Option1 (base case)'!C$82</f>
        <v>Annualised capex</v>
      </c>
      <c r="D18" s="38" t="str">
        <f t="shared" si="2"/>
        <v>Option 1 (base case)Annualised capex</v>
      </c>
      <c r="F18" s="96">
        <f>SUMPRODUCT($H18:$AG18, $H$5:$AG$5)</f>
        <v>0</v>
      </c>
      <c r="G18" s="224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4" t="str">
        <f t="shared" si="3"/>
        <v>Option 1 (base case)</v>
      </c>
      <c r="B19" s="134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6">
        <f>SUMPRODUCT($H19:$AG19, $H$5:$AG$5)</f>
        <v>0</v>
      </c>
      <c r="G19" s="224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4" t="str">
        <f t="shared" si="3"/>
        <v>Option 1 (base case)</v>
      </c>
      <c r="B20" s="134"/>
      <c r="C20" s="58" t="str">
        <f>'Option1 (base case)'!C$84</f>
        <v>Risk mitigated</v>
      </c>
      <c r="D20" s="38" t="str">
        <f t="shared" si="2"/>
        <v>Option 1 (base case)Risk mitigated</v>
      </c>
      <c r="F20" s="96">
        <f>SUMPRODUCT($H20:$AG20, $H$5:$AG$5)</f>
        <v>0</v>
      </c>
      <c r="G20" s="224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4" t="str">
        <f t="shared" si="3"/>
        <v>Option 1 (base case)</v>
      </c>
      <c r="B21" s="134"/>
      <c r="C21" s="58" t="str">
        <f>'Option1 (base case)'!C$85</f>
        <v>Other benefits value</v>
      </c>
      <c r="D21" s="38" t="str">
        <f t="shared" si="2"/>
        <v>Option 1 (base case)Other benefits value</v>
      </c>
      <c r="F21" s="96">
        <f>SUMPRODUCT($H21:$AG21, $H$5:$AG$5)</f>
        <v>0</v>
      </c>
      <c r="G21" s="224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4" t="str">
        <f t="shared" si="3"/>
        <v>Option 1 (base case)</v>
      </c>
      <c r="B22" s="134"/>
      <c r="C22" s="143" t="str">
        <f>'Option1 (base case)'!C$87</f>
        <v>Net benefits</v>
      </c>
      <c r="D22" s="108" t="str">
        <f t="shared" si="2"/>
        <v>Option 1 (base case)Net benefits</v>
      </c>
      <c r="E22" s="109"/>
      <c r="F22" s="142"/>
      <c r="G22" s="226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4" t="str">
        <f t="shared" si="3"/>
        <v>Option 1 (base case)</v>
      </c>
      <c r="B23" s="134"/>
      <c r="C23" s="8" t="s">
        <v>119</v>
      </c>
      <c r="D23" s="38" t="str">
        <f t="shared" si="2"/>
        <v>Option 1 (base case)NPV</v>
      </c>
      <c r="F23" s="107" cm="1">
        <f t="array" ref="F23">SUMPRODUCT(($H22:$AG22)*($H$5:$AG$5)*($H$7:$AG$7))</f>
        <v>0</v>
      </c>
      <c r="G23" s="224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4" t="str">
        <f t="shared" si="3"/>
        <v>Option 1 (base case)</v>
      </c>
      <c r="B24" s="134"/>
      <c r="C24" s="8" t="s">
        <v>189</v>
      </c>
      <c r="D24" s="38" t="str">
        <f t="shared" si="2"/>
        <v>Option 1 (base case)PV of costs</v>
      </c>
      <c r="F24" s="107">
        <f>SUM(F18:F19)</f>
        <v>0</v>
      </c>
      <c r="G24" s="224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4" t="str">
        <f t="shared" si="3"/>
        <v>Option 1 (base case)</v>
      </c>
      <c r="B25" s="134"/>
      <c r="C25" s="8" t="s">
        <v>190</v>
      </c>
      <c r="D25" s="38" t="str">
        <f t="shared" si="2"/>
        <v>Option 1 (base case)PV of benefits</v>
      </c>
      <c r="F25" s="107">
        <f>SUM(F20:F21)</f>
        <v>0</v>
      </c>
      <c r="G25" s="224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7"/>
    </row>
    <row r="27" spans="1:33" s="2" customFormat="1" x14ac:dyDescent="0.2">
      <c r="A27" s="122"/>
      <c r="B27" s="122"/>
      <c r="C27" s="122"/>
      <c r="D27" s="38" t="str">
        <f t="shared" si="6"/>
        <v/>
      </c>
      <c r="F27" s="117"/>
      <c r="G27" s="220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</row>
    <row r="28" spans="1:33" s="269" customFormat="1" x14ac:dyDescent="0.2">
      <c r="A28" s="267" t="str">
        <f>A29</f>
        <v>Option 2</v>
      </c>
      <c r="B28" s="267"/>
      <c r="C28" s="267" t="s">
        <v>124</v>
      </c>
      <c r="D28" s="268" t="str">
        <f t="shared" si="6"/>
        <v>Option 2Energy at risk value</v>
      </c>
      <c r="F28" s="96">
        <f>SUMPRODUCT($H28:$AG28, $H$5:$AG$5)</f>
        <v>5632386.755066623</v>
      </c>
      <c r="G28" s="270">
        <f>output_dollars</f>
        <v>46203</v>
      </c>
      <c r="H28" s="271"/>
      <c r="I28" s="31">
        <f>Option2!I$28*conv_2026</f>
        <v>732876.86137451848</v>
      </c>
      <c r="J28" s="31">
        <f>Option2!J$28*conv_2026</f>
        <v>762090.61646231939</v>
      </c>
      <c r="K28" s="31">
        <f>Option2!K$28*conv_2026</f>
        <v>796103.92413369939</v>
      </c>
      <c r="L28" s="31">
        <f>Option2!L$28*conv_2026</f>
        <v>835788.22211833729</v>
      </c>
      <c r="M28" s="31">
        <f>Option2!M$28*conv_2026</f>
        <v>24374.971905669488</v>
      </c>
      <c r="N28" s="31">
        <f>Option2!N$28*conv_2026</f>
        <v>45475.66101202197</v>
      </c>
      <c r="O28" s="31">
        <f>Option2!O$28*conv_2026</f>
        <v>67016.604924197847</v>
      </c>
      <c r="P28" s="31">
        <f>Option2!P$28*conv_2026</f>
        <v>89636.280654561924</v>
      </c>
      <c r="Q28" s="31">
        <f>Option2!Q$28*conv_2026</f>
        <v>111249.86956808885</v>
      </c>
      <c r="R28" s="31">
        <f>Option2!R$28*conv_2026</f>
        <v>131462.62896993922</v>
      </c>
      <c r="S28" s="31">
        <f>Option2!S$28*conv_2026</f>
        <v>151647.25419663059</v>
      </c>
      <c r="T28" s="31">
        <f>Option2!T$28*conv_2026</f>
        <v>171864.40629506542</v>
      </c>
      <c r="U28" s="31">
        <f>Option2!U$28*conv_2026</f>
        <v>192157.14054843062</v>
      </c>
      <c r="V28" s="31">
        <f>Option2!V$28*conv_2026</f>
        <v>212557.23063136119</v>
      </c>
      <c r="W28" s="31">
        <f>Option2!W$28*conv_2026</f>
        <v>233088.82907116122</v>
      </c>
      <c r="X28" s="31">
        <f>Option2!X$28*conv_2026</f>
        <v>253770.72495462128</v>
      </c>
      <c r="Y28" s="31">
        <f>Option2!Y$28*conv_2026</f>
        <v>274617.80747597443</v>
      </c>
      <c r="Z28" s="31">
        <f>Option2!Z$28*conv_2026</f>
        <v>295642.05346729903</v>
      </c>
      <c r="AA28" s="31">
        <f>Option2!AA$28*conv_2026</f>
        <v>316853.21609121037</v>
      </c>
      <c r="AB28" s="31">
        <f>Option2!AB$28*conv_2026</f>
        <v>338259.31859763793</v>
      </c>
      <c r="AC28" s="31">
        <f>Option2!AC$28*conv_2026</f>
        <v>359867.01674833312</v>
      </c>
      <c r="AD28" s="31">
        <f>Option2!AD$28*conv_2026</f>
        <v>381681.87028474605</v>
      </c>
      <c r="AE28" s="31">
        <f>Option2!AE$28*conv_2026</f>
        <v>403708.54988106689</v>
      </c>
      <c r="AF28" s="31">
        <f>Option2!AF$28*conv_2026</f>
        <v>425950.99737361399</v>
      </c>
      <c r="AG28" s="31">
        <f>Option2!AG$28*conv_2026</f>
        <v>448412.55152429338</v>
      </c>
    </row>
    <row r="29" spans="1:33" s="2" customFormat="1" x14ac:dyDescent="0.2">
      <c r="A29" s="134" t="str">
        <f>Data!B10</f>
        <v>Option 2</v>
      </c>
      <c r="B29" s="134"/>
      <c r="C29" s="58" t="str">
        <f>Option2!C$66</f>
        <v>Capital expenditure</v>
      </c>
      <c r="D29" s="38" t="str">
        <f t="shared" si="6"/>
        <v>Option 2Capital expenditure</v>
      </c>
      <c r="E29" s="1"/>
      <c r="F29" s="96" cm="1">
        <f t="array" ref="F29">SUMPRODUCT(($H29:$AG29)*($H$5:$AG$5)*($H$7:$AG$7))</f>
        <v>-6414300.2577732233</v>
      </c>
      <c r="G29" s="224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0</v>
      </c>
      <c r="K29" s="31">
        <f>SUM(Option2!K$67:K$69)*conv_2026*K$7</f>
        <v>-2383865.8628769345</v>
      </c>
      <c r="L29" s="31">
        <f>SUM(Option2!L$67:L$69)*conv_2026*L$7</f>
        <v>-4767731.7257538689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4" t="str">
        <f t="shared" ref="A30:A39" si="7">A29</f>
        <v>Option 2</v>
      </c>
      <c r="B30" s="134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6" cm="1">
        <f t="array" ref="F30">SUMPRODUCT(($H30:$AG30)*($H$5:$AG$5)*($H$7:$AG$7))</f>
        <v>5569307.1447278177</v>
      </c>
      <c r="G30" s="224">
        <f>output_dollars</f>
        <v>46203</v>
      </c>
      <c r="H30" s="31"/>
      <c r="I30" s="31">
        <f>Option2!I$36*conv_2026*I$7</f>
        <v>777904.53586707287</v>
      </c>
      <c r="J30" s="31">
        <f>Option2!J$36*conv_2026*J$7</f>
        <v>807932.01854782447</v>
      </c>
      <c r="K30" s="31">
        <f>Option2!K$36*conv_2026*K$7</f>
        <v>842768.00304631237</v>
      </c>
      <c r="L30" s="31">
        <f>Option2!L$36*conv_2026*L$7</f>
        <v>883283.88556153281</v>
      </c>
      <c r="M30" s="31">
        <f>Option2!M$36*conv_2026*M$7</f>
        <v>48883.041182081251</v>
      </c>
      <c r="N30" s="31">
        <f>Option2!N$36*conv_2026*N$7</f>
        <v>70437.817160188104</v>
      </c>
      <c r="O30" s="31">
        <f>Option2!O$36*conv_2026*O$7</f>
        <v>92450.008124557076</v>
      </c>
      <c r="P30" s="31">
        <f>Option2!P$36*conv_2026*P$7</f>
        <v>115556.55383279191</v>
      </c>
      <c r="Q30" s="31">
        <f>Option2!Q$36*conv_2026*Q$7</f>
        <v>137671.6697530112</v>
      </c>
      <c r="R30" s="31">
        <f>Option2!R$36*conv_2026*R$7</f>
        <v>158399.92046127605</v>
      </c>
      <c r="S30" s="31">
        <f>Option2!S$36*conv_2026*S$7</f>
        <v>179113.46703834791</v>
      </c>
      <c r="T30" s="31">
        <f>Option2!T$36*conv_2026*T$7</f>
        <v>199872.53885059038</v>
      </c>
      <c r="U30" s="31">
        <f>Option2!U$36*conv_2026*U$7</f>
        <v>220719.83084082956</v>
      </c>
      <c r="V30" s="31">
        <f>Option2!V$36*conv_2026*V$7</f>
        <v>241686.80856396904</v>
      </c>
      <c r="W30" s="31">
        <f>Option2!W$36*conv_2026*W$7</f>
        <v>262797.35614994419</v>
      </c>
      <c r="X30" s="31">
        <f>Option2!X$36*conv_2026*X$7</f>
        <v>284070.02542304824</v>
      </c>
      <c r="Y30" s="31">
        <f>Option2!Y$36*conv_2026*Y$7</f>
        <v>305519.49331356573</v>
      </c>
      <c r="Z30" s="31">
        <f>Option2!Z$36*conv_2026*Z$7</f>
        <v>327157.54486216547</v>
      </c>
      <c r="AA30" s="31">
        <f>Option2!AA$36*conv_2026*AA$7</f>
        <v>348993.75848573947</v>
      </c>
      <c r="AB30" s="31">
        <f>Option2!AB$36*conv_2026*AB$7</f>
        <v>371035.99708178837</v>
      </c>
      <c r="AC30" s="31">
        <f>Option2!AC$36*conv_2026*AC$7</f>
        <v>393290.76836105366</v>
      </c>
      <c r="AD30" s="31">
        <f>Option2!AD$36*conv_2026*AD$7</f>
        <v>415763.49463860883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4" t="str">
        <f t="shared" si="7"/>
        <v>Option 2</v>
      </c>
      <c r="B31" s="134"/>
      <c r="C31" s="75"/>
      <c r="D31" s="38" t="str">
        <f t="shared" si="6"/>
        <v>Option 2</v>
      </c>
      <c r="E31" s="1"/>
      <c r="F31" s="96"/>
      <c r="G31" s="225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4" t="str">
        <f t="shared" si="7"/>
        <v>Option 2</v>
      </c>
      <c r="B32" s="134"/>
      <c r="C32" s="58" t="str">
        <f>Option2!C$82</f>
        <v>Annualised capex</v>
      </c>
      <c r="D32" s="38" t="str">
        <f t="shared" si="6"/>
        <v>Option 2Annualised capex</v>
      </c>
      <c r="E32" s="1"/>
      <c r="F32" s="96" cm="1">
        <f t="array" ref="F32">SUMPRODUCT(($H32:$AG32)*($H$5:$AG$5)*($H$7:$AG$7))</f>
        <v>-3655430.2295774557</v>
      </c>
      <c r="G32" s="224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0</v>
      </c>
      <c r="L32" s="31">
        <f>Option2!L$82*conv_2026*L$7</f>
        <v>-101633.04484350354</v>
      </c>
      <c r="M32" s="31">
        <f>Option2!M$82*conv_2026*M$7</f>
        <v>-304899.13453051058</v>
      </c>
      <c r="N32" s="31">
        <f>Option2!N$82*conv_2026*N$7</f>
        <v>-304899.13453051058</v>
      </c>
      <c r="O32" s="31">
        <f>Option2!O$82*conv_2026*O$7</f>
        <v>-304899.13453051058</v>
      </c>
      <c r="P32" s="31">
        <f>Option2!P$82*conv_2026*P$7</f>
        <v>-304899.13453051058</v>
      </c>
      <c r="Q32" s="31">
        <f>Option2!Q$82*conv_2026*Q$7</f>
        <v>-304899.13453051058</v>
      </c>
      <c r="R32" s="31">
        <f>Option2!R$82*conv_2026*R$7</f>
        <v>-304899.13453051058</v>
      </c>
      <c r="S32" s="31">
        <f>Option2!S$82*conv_2026*S$7</f>
        <v>-304899.13453051058</v>
      </c>
      <c r="T32" s="31">
        <f>Option2!T$82*conv_2026*T$7</f>
        <v>-304899.13453051058</v>
      </c>
      <c r="U32" s="31">
        <f>Option2!U$82*conv_2026*U$7</f>
        <v>-304899.13453051058</v>
      </c>
      <c r="V32" s="31">
        <f>Option2!V$82*conv_2026*V$7</f>
        <v>-304899.13453051058</v>
      </c>
      <c r="W32" s="31">
        <f>Option2!W$82*conv_2026*W$7</f>
        <v>-304899.13453051058</v>
      </c>
      <c r="X32" s="31">
        <f>Option2!X$82*conv_2026*X$7</f>
        <v>-304899.13453051058</v>
      </c>
      <c r="Y32" s="31">
        <f>Option2!Y$82*conv_2026*Y$7</f>
        <v>-304899.13453051058</v>
      </c>
      <c r="Z32" s="31">
        <f>Option2!Z$82*conv_2026*Z$7</f>
        <v>-304899.13453051058</v>
      </c>
      <c r="AA32" s="31">
        <f>Option2!AA$82*conv_2026*AA$7</f>
        <v>-304899.13453051058</v>
      </c>
      <c r="AB32" s="31">
        <f>Option2!AB$82*conv_2026*AB$7</f>
        <v>-304899.13453051058</v>
      </c>
      <c r="AC32" s="31">
        <f>Option2!AC$82*conv_2026*AC$7</f>
        <v>-304899.13453051058</v>
      </c>
      <c r="AD32" s="31">
        <f>Option2!AD$82*conv_2026*AD$7</f>
        <v>-304899.13453051058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4" t="str">
        <f t="shared" si="7"/>
        <v>Option 2</v>
      </c>
      <c r="B33" s="134"/>
      <c r="C33" s="58" t="str">
        <f>Option2!C$83</f>
        <v>Operating expenditure</v>
      </c>
      <c r="D33" s="38" t="str">
        <f t="shared" si="6"/>
        <v>Option 2Operating expenditure</v>
      </c>
      <c r="E33" s="1"/>
      <c r="F33" s="96" cm="1">
        <f t="array" ref="F33">SUMPRODUCT(($H33:$AG33)*($H$5:$AG$5)*($H$7:$AG$7))</f>
        <v>0</v>
      </c>
      <c r="G33" s="224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4" t="str">
        <f t="shared" si="7"/>
        <v>Option 2</v>
      </c>
      <c r="B34" s="134"/>
      <c r="C34" s="58" t="str">
        <f>Option2!C$84</f>
        <v>Risk mitigated</v>
      </c>
      <c r="D34" s="38" t="str">
        <f t="shared" si="6"/>
        <v>Option 2Risk mitigated</v>
      </c>
      <c r="E34" s="1"/>
      <c r="F34" s="96" cm="1">
        <f t="array" ref="F34">SUMPRODUCT(($H34:$AG34)*($H$5:$AG$5)*($H$7:$AG$7))</f>
        <v>11559069.376925403</v>
      </c>
      <c r="G34" s="224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7.7736050338712299E-10</v>
      </c>
      <c r="M34" s="31">
        <f>Option2!M$84*conv_2026*M$7</f>
        <v>871940.74332840124</v>
      </c>
      <c r="N34" s="31">
        <f>Option2!N$84*conv_2026*N$7</f>
        <v>893265.37406928779</v>
      </c>
      <c r="O34" s="31">
        <f>Option2!O$84*conv_2026*O$7</f>
        <v>924338.65585279348</v>
      </c>
      <c r="P34" s="31">
        <f>Option2!P$84*conv_2026*P$7</f>
        <v>960374.92198716977</v>
      </c>
      <c r="Q34" s="31">
        <f>Option2!Q$84*conv_2026*Q$7</f>
        <v>979284.37055693078</v>
      </c>
      <c r="R34" s="31">
        <f>Option2!R$84*conv_2026*R$7</f>
        <v>985182.95143103856</v>
      </c>
      <c r="S34" s="31">
        <f>Option2!S$84*conv_2026*S$7</f>
        <v>991361.76479840465</v>
      </c>
      <c r="T34" s="31">
        <f>Option2!T$84*conv_2026*T$7</f>
        <v>997759.66363717639</v>
      </c>
      <c r="U34" s="31">
        <f>Option2!U$84*conv_2026*U$7</f>
        <v>1004333.0549650136</v>
      </c>
      <c r="V34" s="31">
        <f>Option2!V$84*conv_2026*V$7</f>
        <v>1011049.5942174187</v>
      </c>
      <c r="W34" s="31">
        <f>Option2!W$84*conv_2026*W$7</f>
        <v>1017884.5367241346</v>
      </c>
      <c r="X34" s="31">
        <f>Option2!X$84*conv_2026*X$7</f>
        <v>1024818.4880531878</v>
      </c>
      <c r="Y34" s="31">
        <f>Option2!Y$84*conv_2026*Y$7</f>
        <v>1031835.9460852913</v>
      </c>
      <c r="Z34" s="31">
        <f>Option2!Z$84*conv_2026*Z$7</f>
        <v>1038924.317516916</v>
      </c>
      <c r="AA34" s="31">
        <f>Option2!AA$84*conv_2026*AA$7</f>
        <v>1046073.2321222121</v>
      </c>
      <c r="AB34" s="31">
        <f>Option2!AB$84*conv_2026*AB$7</f>
        <v>1053274.0511955698</v>
      </c>
      <c r="AC34" s="31">
        <f>Option2!AC$84*conv_2026*AC$7</f>
        <v>1060519.5067841404</v>
      </c>
      <c r="AD34" s="31">
        <f>Option2!AD$84*conv_2026*AD$7</f>
        <v>1067803.4314791386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4" t="str">
        <f t="shared" si="7"/>
        <v>Option 2</v>
      </c>
      <c r="B35" s="134"/>
      <c r="C35" s="58" t="str">
        <f>Option2!C$85</f>
        <v>Other benefits value</v>
      </c>
      <c r="D35" s="38" t="str">
        <f t="shared" si="6"/>
        <v>Option 2Other benefits value</v>
      </c>
      <c r="E35" s="1"/>
      <c r="F35" s="96" cm="1">
        <f t="array" ref="F35">SUMPRODUCT(($H35:$AG35)*($H$5:$AG$5)*($H$7:$AG$7))</f>
        <v>0</v>
      </c>
      <c r="G35" s="224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4" t="str">
        <f t="shared" si="7"/>
        <v>Option 2</v>
      </c>
      <c r="B36" s="134"/>
      <c r="C36" s="124" t="str">
        <f>Option2!C87</f>
        <v>Net benefits</v>
      </c>
      <c r="D36" s="108" t="str">
        <f t="shared" si="6"/>
        <v>Option 2Net benefits</v>
      </c>
      <c r="E36" s="109"/>
      <c r="F36" s="142"/>
      <c r="G36" s="226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0</v>
      </c>
      <c r="L36" s="52">
        <f t="shared" si="9"/>
        <v>-101633.04484350276</v>
      </c>
      <c r="M36" s="52">
        <f t="shared" si="9"/>
        <v>567041.6087978906</v>
      </c>
      <c r="N36" s="52">
        <f t="shared" si="9"/>
        <v>588366.23953877715</v>
      </c>
      <c r="O36" s="52">
        <f t="shared" si="9"/>
        <v>619439.52132228296</v>
      </c>
      <c r="P36" s="52">
        <f t="shared" si="9"/>
        <v>655475.78745665913</v>
      </c>
      <c r="Q36" s="52">
        <f t="shared" si="9"/>
        <v>674385.23602642026</v>
      </c>
      <c r="R36" s="52">
        <f t="shared" si="9"/>
        <v>680283.81690052804</v>
      </c>
      <c r="S36" s="52">
        <f t="shared" si="9"/>
        <v>686462.63026789413</v>
      </c>
      <c r="T36" s="52">
        <f t="shared" si="9"/>
        <v>692860.52910666587</v>
      </c>
      <c r="U36" s="52">
        <f t="shared" si="9"/>
        <v>699433.92043450312</v>
      </c>
      <c r="V36" s="52">
        <f t="shared" si="9"/>
        <v>706150.45968690817</v>
      </c>
      <c r="W36" s="52">
        <f t="shared" si="9"/>
        <v>712985.40219362406</v>
      </c>
      <c r="X36" s="52">
        <f t="shared" si="9"/>
        <v>719919.35352267721</v>
      </c>
      <c r="Y36" s="52">
        <f t="shared" si="9"/>
        <v>726936.8115547807</v>
      </c>
      <c r="Z36" s="52">
        <f t="shared" si="9"/>
        <v>734025.18298640545</v>
      </c>
      <c r="AA36" s="52">
        <f t="shared" si="9"/>
        <v>741174.09759170143</v>
      </c>
      <c r="AB36" s="52">
        <f t="shared" si="9"/>
        <v>748374.91666505928</v>
      </c>
      <c r="AC36" s="52">
        <f t="shared" si="9"/>
        <v>755620.37225362984</v>
      </c>
      <c r="AD36" s="52">
        <f t="shared" si="9"/>
        <v>762904.29694862803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4" t="str">
        <f t="shared" si="7"/>
        <v>Option 2</v>
      </c>
      <c r="B37" s="134"/>
      <c r="C37" s="8" t="s">
        <v>119</v>
      </c>
      <c r="D37" s="38" t="str">
        <f t="shared" si="6"/>
        <v>Option 2NPV</v>
      </c>
      <c r="E37" s="1"/>
      <c r="F37" s="107" cm="1">
        <f t="array" ref="F37">SUMPRODUCT(($H36:$AG36)*($H$5:$AG$5)*($H$7:$AG$7))</f>
        <v>7903639.1473479494</v>
      </c>
      <c r="G37" s="224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4" t="str">
        <f t="shared" si="7"/>
        <v>Option 2</v>
      </c>
      <c r="B38" s="134"/>
      <c r="C38" s="8" t="s">
        <v>189</v>
      </c>
      <c r="D38" s="38" t="str">
        <f t="shared" si="6"/>
        <v>Option 2PV of costs</v>
      </c>
      <c r="E38" s="1"/>
      <c r="F38" s="107">
        <f>SUM(F32:F33)</f>
        <v>-3655430.2295774557</v>
      </c>
      <c r="G38" s="224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4" t="str">
        <f t="shared" si="7"/>
        <v>Option 2</v>
      </c>
      <c r="B39" s="134"/>
      <c r="C39" s="8" t="s">
        <v>190</v>
      </c>
      <c r="D39" s="38" t="str">
        <f t="shared" si="6"/>
        <v>Option 2PV of benefits</v>
      </c>
      <c r="E39" s="1"/>
      <c r="F39" s="107">
        <f>SUM(F34:F35)</f>
        <v>11559069.376925403</v>
      </c>
      <c r="G39" s="224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4"/>
      <c r="B40" s="134"/>
      <c r="C40" s="1"/>
      <c r="D40" s="38"/>
      <c r="E40" s="1"/>
      <c r="F40" s="107"/>
      <c r="G40" s="227"/>
      <c r="H40" s="1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</row>
    <row r="41" spans="1:33" s="2" customFormat="1" x14ac:dyDescent="0.2">
      <c r="A41" s="122"/>
      <c r="B41" s="122"/>
      <c r="C41" s="122"/>
      <c r="D41" s="38" t="str">
        <f>A41&amp;C41</f>
        <v/>
      </c>
      <c r="F41" s="117"/>
      <c r="G41" s="220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</row>
    <row r="42" spans="1:33" s="269" customFormat="1" x14ac:dyDescent="0.2">
      <c r="A42" s="267" t="str">
        <f>A43</f>
        <v>Option 3</v>
      </c>
      <c r="B42" s="267"/>
      <c r="C42" s="267" t="s">
        <v>124</v>
      </c>
      <c r="D42" s="268" t="str">
        <f>A42&amp;C42</f>
        <v>Option 3Energy at risk value</v>
      </c>
      <c r="F42" s="96">
        <f>SUMPRODUCT($H42:$AG42, $H$5:$AG$5)</f>
        <v>0</v>
      </c>
      <c r="G42" s="270">
        <f>output_dollars</f>
        <v>46203</v>
      </c>
      <c r="H42" s="271"/>
      <c r="I42" s="31">
        <f>Option3!I$28*conv_2026</f>
        <v>0</v>
      </c>
      <c r="J42" s="31">
        <f>Option3!J$28*conv_2026</f>
        <v>0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4" t="str">
        <f>Data!B11</f>
        <v>Option 3</v>
      </c>
      <c r="B43" s="134"/>
      <c r="C43" s="58" t="str">
        <f>Option3!C$66</f>
        <v>Capital expenditure</v>
      </c>
      <c r="D43" s="38" t="str">
        <f>A43&amp;C43</f>
        <v>Option 3Capital expenditure</v>
      </c>
      <c r="E43" s="1"/>
      <c r="F43" s="96">
        <f>SUMPRODUCT($H43:$AG43, $H$5:$AG$5)</f>
        <v>0</v>
      </c>
      <c r="G43" s="224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4" t="str">
        <f t="shared" ref="A44:A53" si="10">A43</f>
        <v>Option 3</v>
      </c>
      <c r="B44" s="134"/>
      <c r="C44" s="58" t="str">
        <f>'Option1 (base case)'!C$36</f>
        <v>Total risk cost</v>
      </c>
      <c r="D44" s="38" t="str">
        <f>A44&amp;C44</f>
        <v>Option 3Total risk cost</v>
      </c>
      <c r="E44" s="1"/>
      <c r="F44" s="96">
        <f>SUMPRODUCT($H44:$AG44, $H$5:$AG$5)</f>
        <v>0</v>
      </c>
      <c r="G44" s="224">
        <f>output_dollars</f>
        <v>46203</v>
      </c>
      <c r="H44" s="31"/>
      <c r="I44" s="31">
        <f>Option3!I$36*conv_2026*I$7</f>
        <v>0</v>
      </c>
      <c r="J44" s="31">
        <f>Option3!J$36*conv_2026*J$7</f>
        <v>0</v>
      </c>
      <c r="K44" s="31">
        <f>Option3!K$36*conv_2026*K$7</f>
        <v>0</v>
      </c>
      <c r="L44" s="31">
        <f>Option3!L$36*conv_2026*L$7</f>
        <v>0</v>
      </c>
      <c r="M44" s="31">
        <f>Option3!M$36*conv_2026*M$7</f>
        <v>0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4" t="str">
        <f t="shared" si="10"/>
        <v>Option 3</v>
      </c>
      <c r="B45" s="134"/>
      <c r="C45" s="58"/>
      <c r="D45" s="38"/>
      <c r="E45" s="1"/>
      <c r="F45" s="96"/>
      <c r="G45" s="224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4" t="str">
        <f t="shared" si="10"/>
        <v>Option 3</v>
      </c>
      <c r="B46" s="134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6">
        <f>SUMPRODUCT($H46:$AG46, $H$5:$AG$5)</f>
        <v>0</v>
      </c>
      <c r="G46" s="224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0</v>
      </c>
      <c r="M46" s="31">
        <f>Option3!M$82*conv_2026*M$7</f>
        <v>0</v>
      </c>
      <c r="N46" s="31">
        <f>Option3!N$82*conv_2026*N$7</f>
        <v>0</v>
      </c>
      <c r="O46" s="31">
        <f>Option3!O$82*conv_2026*O$7</f>
        <v>0</v>
      </c>
      <c r="P46" s="31">
        <f>Option3!P$82*conv_2026*P$7</f>
        <v>0</v>
      </c>
      <c r="Q46" s="31">
        <f>Option3!Q$82*conv_2026*Q$7</f>
        <v>0</v>
      </c>
      <c r="R46" s="31">
        <f>Option3!R$82*conv_2026*R$7</f>
        <v>0</v>
      </c>
      <c r="S46" s="31">
        <f>Option3!S$82*conv_2026*S$7</f>
        <v>0</v>
      </c>
      <c r="T46" s="31">
        <f>Option3!T$82*conv_2026*T$7</f>
        <v>0</v>
      </c>
      <c r="U46" s="31">
        <f>Option3!U$82*conv_2026*U$7</f>
        <v>0</v>
      </c>
      <c r="V46" s="31">
        <f>Option3!V$82*conv_2026*V$7</f>
        <v>0</v>
      </c>
      <c r="W46" s="31">
        <f>Option3!W$82*conv_2026*W$7</f>
        <v>0</v>
      </c>
      <c r="X46" s="31">
        <f>Option3!X$82*conv_2026*X$7</f>
        <v>0</v>
      </c>
      <c r="Y46" s="31">
        <f>Option3!Y$82*conv_2026*Y$7</f>
        <v>0</v>
      </c>
      <c r="Z46" s="31">
        <f>Option3!Z$82*conv_2026*Z$7</f>
        <v>0</v>
      </c>
      <c r="AA46" s="31">
        <f>Option3!AA$82*conv_2026*AA$7</f>
        <v>0</v>
      </c>
      <c r="AB46" s="31">
        <f>Option3!AB$82*conv_2026*AB$7</f>
        <v>0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4" t="str">
        <f t="shared" si="10"/>
        <v>Option 3</v>
      </c>
      <c r="B47" s="134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6">
        <f>SUMPRODUCT($H47:$AG47, $H$5:$AG$5)</f>
        <v>0</v>
      </c>
      <c r="G47" s="224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4" t="str">
        <f t="shared" si="10"/>
        <v>Option 3</v>
      </c>
      <c r="B48" s="134"/>
      <c r="C48" s="58" t="str">
        <f>Option3!C$84</f>
        <v>Risk mitigated</v>
      </c>
      <c r="D48" s="38" t="str">
        <f t="shared" si="11"/>
        <v>Option 3Risk mitigated</v>
      </c>
      <c r="E48" s="1"/>
      <c r="F48" s="96">
        <f>SUMPRODUCT($H48:$AG48, $H$5:$AG$5)</f>
        <v>0</v>
      </c>
      <c r="G48" s="224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0</v>
      </c>
      <c r="M48" s="31">
        <f>Option3!M$84*conv_2026*M$7</f>
        <v>0</v>
      </c>
      <c r="N48" s="31">
        <f>Option3!N$84*conv_2026*N$7</f>
        <v>0</v>
      </c>
      <c r="O48" s="31">
        <f>Option3!O$84*conv_2026*O$7</f>
        <v>0</v>
      </c>
      <c r="P48" s="31">
        <f>Option3!P$84*conv_2026*P$7</f>
        <v>0</v>
      </c>
      <c r="Q48" s="31">
        <f>Option3!Q$84*conv_2026*Q$7</f>
        <v>0</v>
      </c>
      <c r="R48" s="31">
        <f>Option3!R$84*conv_2026*R$7</f>
        <v>0</v>
      </c>
      <c r="S48" s="31">
        <f>Option3!S$84*conv_2026*S$7</f>
        <v>0</v>
      </c>
      <c r="T48" s="31">
        <f>Option3!T$84*conv_2026*T$7</f>
        <v>0</v>
      </c>
      <c r="U48" s="31">
        <f>Option3!U$84*conv_2026*U$7</f>
        <v>0</v>
      </c>
      <c r="V48" s="31">
        <f>Option3!V$84*conv_2026*V$7</f>
        <v>0</v>
      </c>
      <c r="W48" s="31">
        <f>Option3!W$84*conv_2026*W$7</f>
        <v>0</v>
      </c>
      <c r="X48" s="31">
        <f>Option3!X$84*conv_2026*X$7</f>
        <v>0</v>
      </c>
      <c r="Y48" s="31">
        <f>Option3!Y$84*conv_2026*Y$7</f>
        <v>0</v>
      </c>
      <c r="Z48" s="31">
        <f>Option3!Z$84*conv_2026*Z$7</f>
        <v>0</v>
      </c>
      <c r="AA48" s="31">
        <f>Option3!AA$84*conv_2026*AA$7</f>
        <v>0</v>
      </c>
      <c r="AB48" s="31">
        <f>Option3!AB$84*conv_2026*AB$7</f>
        <v>0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4" t="str">
        <f t="shared" si="10"/>
        <v>Option 3</v>
      </c>
      <c r="B49" s="134"/>
      <c r="C49" s="58" t="str">
        <f>Option3!C$85</f>
        <v>Other benefits value</v>
      </c>
      <c r="D49" s="38" t="str">
        <f t="shared" si="11"/>
        <v>Option 3Other benefits value</v>
      </c>
      <c r="E49" s="1"/>
      <c r="F49" s="96">
        <f>SUMPRODUCT($H49:$AG49, $H$5:$AG$5)</f>
        <v>0</v>
      </c>
      <c r="G49" s="224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4" t="str">
        <f t="shared" si="10"/>
        <v>Option 3</v>
      </c>
      <c r="B50" s="134"/>
      <c r="C50" s="124" t="str">
        <f>Option3!C87</f>
        <v>Net benefits</v>
      </c>
      <c r="D50" s="108" t="str">
        <f t="shared" si="11"/>
        <v>Option 3Net benefits</v>
      </c>
      <c r="E50" s="109"/>
      <c r="F50" s="142"/>
      <c r="G50" s="226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0</v>
      </c>
      <c r="M50" s="52">
        <f t="shared" si="13"/>
        <v>0</v>
      </c>
      <c r="N50" s="52">
        <f t="shared" si="13"/>
        <v>0</v>
      </c>
      <c r="O50" s="52">
        <f t="shared" si="13"/>
        <v>0</v>
      </c>
      <c r="P50" s="52">
        <f t="shared" si="13"/>
        <v>0</v>
      </c>
      <c r="Q50" s="52">
        <f t="shared" si="13"/>
        <v>0</v>
      </c>
      <c r="R50" s="52">
        <f t="shared" si="13"/>
        <v>0</v>
      </c>
      <c r="S50" s="52">
        <f t="shared" si="13"/>
        <v>0</v>
      </c>
      <c r="T50" s="52">
        <f t="shared" si="13"/>
        <v>0</v>
      </c>
      <c r="U50" s="52">
        <f t="shared" si="13"/>
        <v>0</v>
      </c>
      <c r="V50" s="52">
        <f t="shared" si="13"/>
        <v>0</v>
      </c>
      <c r="W50" s="52">
        <f t="shared" si="13"/>
        <v>0</v>
      </c>
      <c r="X50" s="52">
        <f t="shared" si="13"/>
        <v>0</v>
      </c>
      <c r="Y50" s="52">
        <f t="shared" si="13"/>
        <v>0</v>
      </c>
      <c r="Z50" s="52">
        <f t="shared" si="13"/>
        <v>0</v>
      </c>
      <c r="AA50" s="52">
        <f t="shared" si="13"/>
        <v>0</v>
      </c>
      <c r="AB50" s="52">
        <f t="shared" si="13"/>
        <v>0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4" t="str">
        <f t="shared" si="10"/>
        <v>Option 3</v>
      </c>
      <c r="B51" s="134"/>
      <c r="C51" s="8" t="s">
        <v>119</v>
      </c>
      <c r="D51" s="38" t="str">
        <f t="shared" si="11"/>
        <v>Option 3NPV</v>
      </c>
      <c r="E51" s="1"/>
      <c r="F51" s="107" cm="1">
        <f t="array" ref="F51">SUMPRODUCT(($H50:$AG50)*($H$5:$AG$5)*($H$7:$AG$7))</f>
        <v>0</v>
      </c>
      <c r="G51" s="224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4" t="str">
        <f t="shared" si="10"/>
        <v>Option 3</v>
      </c>
      <c r="B52" s="134"/>
      <c r="C52" s="8" t="s">
        <v>189</v>
      </c>
      <c r="D52" s="38" t="str">
        <f t="shared" si="11"/>
        <v>Option 3PV of costs</v>
      </c>
      <c r="E52" s="1"/>
      <c r="F52" s="107">
        <f>SUM(F46:F47)</f>
        <v>0</v>
      </c>
      <c r="G52" s="224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4" t="str">
        <f t="shared" si="10"/>
        <v>Option 3</v>
      </c>
      <c r="B53" s="134"/>
      <c r="C53" s="8" t="s">
        <v>190</v>
      </c>
      <c r="D53" s="38" t="str">
        <f t="shared" si="11"/>
        <v>Option 3PV of benefits</v>
      </c>
      <c r="E53" s="1"/>
      <c r="F53" s="107">
        <f>SUM(F48:F49)</f>
        <v>0</v>
      </c>
      <c r="G53" s="224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4"/>
      <c r="B54" s="134"/>
      <c r="C54" s="1"/>
      <c r="D54" s="38"/>
      <c r="E54" s="1"/>
      <c r="F54" s="107"/>
      <c r="G54" s="227"/>
      <c r="H54" s="1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</row>
    <row r="55" spans="1:33" s="2" customFormat="1" x14ac:dyDescent="0.2">
      <c r="A55" s="122"/>
      <c r="B55" s="122"/>
      <c r="C55" s="122"/>
      <c r="D55" s="38"/>
      <c r="F55" s="117"/>
      <c r="G55" s="220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</row>
    <row r="56" spans="1:33" s="269" customFormat="1" x14ac:dyDescent="0.2">
      <c r="A56" s="267" t="str">
        <f>A57</f>
        <v>Option 4</v>
      </c>
      <c r="B56" s="267"/>
      <c r="C56" s="267" t="s">
        <v>124</v>
      </c>
      <c r="D56" s="268" t="str">
        <f>A56&amp;C56</f>
        <v>Option 4Energy at risk value</v>
      </c>
      <c r="F56" s="96">
        <f>SUMPRODUCT($H56:$AG56, $H$5:$AG$5)</f>
        <v>0</v>
      </c>
      <c r="G56" s="270">
        <f>output_dollars</f>
        <v>46203</v>
      </c>
      <c r="H56" s="271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4" t="str">
        <f>Data!B12</f>
        <v>Option 4</v>
      </c>
      <c r="B57" s="134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6">
        <f>SUMPRODUCT($H57:$AG57, $H$5:$AG$5)</f>
        <v>0</v>
      </c>
      <c r="G57" s="224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4" t="str">
        <f t="shared" ref="A58:A67" si="15">A57</f>
        <v>Option 4</v>
      </c>
      <c r="B58" s="134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6">
        <f>SUMPRODUCT($H58:$AG58, $H$5:$AG$5)</f>
        <v>0</v>
      </c>
      <c r="G58" s="224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4" t="str">
        <f t="shared" si="15"/>
        <v>Option 4</v>
      </c>
      <c r="B59" s="134"/>
      <c r="C59" s="75"/>
      <c r="D59" s="38" t="str">
        <f t="shared" si="14"/>
        <v>Option 4</v>
      </c>
      <c r="E59" s="1"/>
      <c r="F59"/>
      <c r="G59" s="225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4" t="str">
        <f t="shared" si="15"/>
        <v>Option 4</v>
      </c>
      <c r="B60" s="134"/>
      <c r="C60" s="58" t="str">
        <f>Option4!C$82</f>
        <v>Annualised capex</v>
      </c>
      <c r="D60" s="38" t="str">
        <f t="shared" si="14"/>
        <v>Option 4Annualised capex</v>
      </c>
      <c r="E60" s="1"/>
      <c r="F60" s="96">
        <f>SUMPRODUCT($H60:$AG60, $H$5:$AG$5)</f>
        <v>0</v>
      </c>
      <c r="G60" s="224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4" t="str">
        <f t="shared" si="15"/>
        <v>Option 4</v>
      </c>
      <c r="B61" s="134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6">
        <f>SUMPRODUCT($H61:$AG61, $H$5:$AG$5)</f>
        <v>0</v>
      </c>
      <c r="G61" s="224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4" t="str">
        <f t="shared" si="15"/>
        <v>Option 4</v>
      </c>
      <c r="B62" s="134"/>
      <c r="C62" s="58" t="str">
        <f>Option4!C$84</f>
        <v>Risk mitigated</v>
      </c>
      <c r="D62" s="38" t="str">
        <f t="shared" si="14"/>
        <v>Option 4Risk mitigated</v>
      </c>
      <c r="E62" s="1"/>
      <c r="F62" s="96">
        <f>SUMPRODUCT($H62:$AG62, $H$5:$AG$5)</f>
        <v>0</v>
      </c>
      <c r="G62" s="224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4" t="str">
        <f t="shared" si="15"/>
        <v>Option 4</v>
      </c>
      <c r="B63" s="134"/>
      <c r="C63" s="58" t="str">
        <f>Option4!C$85</f>
        <v>Other benefits value</v>
      </c>
      <c r="D63" s="38" t="str">
        <f t="shared" si="14"/>
        <v>Option 4Other benefits value</v>
      </c>
      <c r="E63" s="1"/>
      <c r="F63" s="96">
        <f>SUMPRODUCT($H63:$AG63, $H$5:$AG$5)</f>
        <v>0</v>
      </c>
      <c r="G63" s="224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4" t="str">
        <f t="shared" si="15"/>
        <v>Option 4</v>
      </c>
      <c r="B64" s="134"/>
      <c r="C64" s="124" t="str">
        <f>Option4!C87</f>
        <v>Net benefits</v>
      </c>
      <c r="D64" s="108" t="str">
        <f t="shared" si="14"/>
        <v>Option 4Net benefits</v>
      </c>
      <c r="E64" s="109"/>
      <c r="F64" s="142"/>
      <c r="G64" s="226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4" t="str">
        <f t="shared" si="15"/>
        <v>Option 4</v>
      </c>
      <c r="B65" s="134"/>
      <c r="C65" s="8" t="s">
        <v>119</v>
      </c>
      <c r="D65" s="38" t="str">
        <f t="shared" si="14"/>
        <v>Option 4NPV</v>
      </c>
      <c r="E65" s="1"/>
      <c r="F65" s="107" cm="1">
        <f t="array" ref="F65">SUMPRODUCT(($H64:$AG64)*($H$5:$AG$5)*($H$7:$AG$7))</f>
        <v>0</v>
      </c>
      <c r="G65" s="224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4" t="str">
        <f t="shared" si="15"/>
        <v>Option 4</v>
      </c>
      <c r="B66" s="134"/>
      <c r="C66" s="8" t="s">
        <v>189</v>
      </c>
      <c r="D66" s="38" t="str">
        <f t="shared" si="14"/>
        <v>Option 4PV of costs</v>
      </c>
      <c r="E66" s="1"/>
      <c r="F66" s="107">
        <f>SUM(F60:F61)</f>
        <v>0</v>
      </c>
      <c r="G66" s="224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4" t="str">
        <f t="shared" si="15"/>
        <v>Option 4</v>
      </c>
      <c r="B67" s="134"/>
      <c r="C67" s="8" t="s">
        <v>190</v>
      </c>
      <c r="D67" s="38" t="str">
        <f t="shared" si="14"/>
        <v>Option 4PV of benefits</v>
      </c>
      <c r="E67" s="1"/>
      <c r="F67" s="107">
        <f>SUM(F62:F63)</f>
        <v>0</v>
      </c>
      <c r="G67" s="224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4"/>
      <c r="B68" s="134"/>
      <c r="C68" s="1"/>
      <c r="D68" s="38"/>
      <c r="E68" s="1"/>
      <c r="F68" s="107"/>
      <c r="G68" s="227"/>
      <c r="H68" s="1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</row>
    <row r="69" spans="1:33" s="2" customFormat="1" x14ac:dyDescent="0.2">
      <c r="A69" s="122"/>
      <c r="B69" s="122"/>
      <c r="C69" s="122"/>
      <c r="D69" s="38" t="str">
        <f t="shared" ref="D69:D81" si="18">A69&amp;C69</f>
        <v/>
      </c>
      <c r="F69" s="117"/>
      <c r="G69" s="220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</row>
    <row r="70" spans="1:33" s="269" customFormat="1" x14ac:dyDescent="0.2">
      <c r="A70" s="267" t="str">
        <f>A71</f>
        <v>Option 5</v>
      </c>
      <c r="B70" s="267"/>
      <c r="C70" s="267" t="s">
        <v>124</v>
      </c>
      <c r="D70" s="268" t="str">
        <f t="shared" si="18"/>
        <v>Option 5Energy at risk value</v>
      </c>
      <c r="F70" s="96">
        <f>SUMPRODUCT($H70:$AG70, $H$5:$AG$5)</f>
        <v>0</v>
      </c>
      <c r="G70" s="270">
        <f>output_dollars</f>
        <v>46203</v>
      </c>
      <c r="H70" s="271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4" t="str">
        <f>Data!B13</f>
        <v>Option 5</v>
      </c>
      <c r="B71" s="134"/>
      <c r="C71" s="58" t="str">
        <f>Option5!C$66</f>
        <v>Capital expenditure</v>
      </c>
      <c r="D71" s="38" t="str">
        <f t="shared" si="18"/>
        <v>Option 5Capital expenditure</v>
      </c>
      <c r="E71" s="1"/>
      <c r="F71" s="96">
        <f>SUMPRODUCT($H71:$AG71, $H$5:$AG$5)</f>
        <v>0</v>
      </c>
      <c r="G71" s="224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4" t="str">
        <f t="shared" ref="A72:A81" si="19">A71</f>
        <v>Option 5</v>
      </c>
      <c r="B72" s="134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6">
        <f>SUMPRODUCT($H72:$AG72, $H$5:$AG$5)</f>
        <v>0</v>
      </c>
      <c r="G72" s="224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4" t="str">
        <f t="shared" si="19"/>
        <v>Option 5</v>
      </c>
      <c r="B73" s="134"/>
      <c r="C73" s="75"/>
      <c r="D73" s="38" t="str">
        <f t="shared" si="18"/>
        <v>Option 5</v>
      </c>
      <c r="E73" s="1"/>
      <c r="F73"/>
      <c r="G73" s="225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4" t="str">
        <f t="shared" si="19"/>
        <v>Option 5</v>
      </c>
      <c r="B74" s="134"/>
      <c r="C74" s="58" t="str">
        <f>Option5!C$82</f>
        <v>Annualised capex</v>
      </c>
      <c r="D74" s="38" t="str">
        <f t="shared" si="18"/>
        <v>Option 5Annualised capex</v>
      </c>
      <c r="E74" s="1"/>
      <c r="F74" s="107" cm="1">
        <f t="array" ref="F74">SUMPRODUCT(($H74:$AG74)*($H$5:$AG$5)*($H$7:$AG$7))</f>
        <v>0</v>
      </c>
      <c r="G74" s="224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4" t="str">
        <f t="shared" si="19"/>
        <v>Option 5</v>
      </c>
      <c r="B75" s="134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7" cm="1">
        <f t="array" ref="F75">SUMPRODUCT(($H75:$AG75)*($H$5:$AG$5)*($H$7:$AG$7))</f>
        <v>0</v>
      </c>
      <c r="G75" s="224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4" t="str">
        <f t="shared" si="19"/>
        <v>Option 5</v>
      </c>
      <c r="B76" s="134"/>
      <c r="C76" s="58" t="str">
        <f>Option5!C$84</f>
        <v>Risk mitigated</v>
      </c>
      <c r="D76" s="38" t="str">
        <f t="shared" si="18"/>
        <v>Option 5Risk mitigated</v>
      </c>
      <c r="E76" s="1"/>
      <c r="F76" s="96">
        <f>SUMPRODUCT($H76:$AG76, $H$5:$AG$5)</f>
        <v>0</v>
      </c>
      <c r="G76" s="224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4" t="str">
        <f t="shared" si="19"/>
        <v>Option 5</v>
      </c>
      <c r="B77" s="134"/>
      <c r="C77" s="58" t="str">
        <f>Option5!C$85</f>
        <v>Other benefits value</v>
      </c>
      <c r="D77" s="38" t="str">
        <f t="shared" si="18"/>
        <v>Option 5Other benefits value</v>
      </c>
      <c r="E77" s="1"/>
      <c r="F77" s="96">
        <f>SUMPRODUCT($H77:$AG77, $H$5:$AG$5)</f>
        <v>0</v>
      </c>
      <c r="G77" s="224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4" t="str">
        <f t="shared" si="19"/>
        <v>Option 5</v>
      </c>
      <c r="B78" s="134"/>
      <c r="C78" s="124" t="str">
        <f>Option5!C87</f>
        <v>Net benefits</v>
      </c>
      <c r="D78" s="108" t="str">
        <f t="shared" si="18"/>
        <v>Option 5Net benefits</v>
      </c>
      <c r="E78" s="109"/>
      <c r="F78" s="142"/>
      <c r="G78" s="226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4" t="str">
        <f t="shared" si="19"/>
        <v>Option 5</v>
      </c>
      <c r="B79" s="134"/>
      <c r="C79" s="8" t="s">
        <v>119</v>
      </c>
      <c r="D79" s="38" t="str">
        <f t="shared" si="18"/>
        <v>Option 5NPV</v>
      </c>
      <c r="E79" s="1"/>
      <c r="F79" s="107" cm="1">
        <f t="array" ref="F79">SUMPRODUCT(($H78:$AG78)*($H$5:$AG$5)*($H$7:$AG$7))</f>
        <v>0</v>
      </c>
      <c r="G79" s="224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4" t="str">
        <f t="shared" si="19"/>
        <v>Option 5</v>
      </c>
      <c r="B80" s="134"/>
      <c r="C80" s="8" t="s">
        <v>189</v>
      </c>
      <c r="D80" s="38" t="str">
        <f t="shared" si="18"/>
        <v>Option 5PV of costs</v>
      </c>
      <c r="E80" s="1"/>
      <c r="F80" s="107">
        <f>SUM(F74:F75)</f>
        <v>0</v>
      </c>
      <c r="G80" s="224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4" t="str">
        <f t="shared" si="19"/>
        <v>Option 5</v>
      </c>
      <c r="B81" s="134"/>
      <c r="C81" s="8" t="s">
        <v>190</v>
      </c>
      <c r="D81" s="38" t="str">
        <f t="shared" si="18"/>
        <v>Option 5PV of benefits</v>
      </c>
      <c r="E81" s="1"/>
      <c r="F81" s="107">
        <f>SUM(F76:F77)</f>
        <v>0</v>
      </c>
      <c r="G81" s="224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3"/>
      <c r="B82" s="123"/>
      <c r="C82" s="123"/>
      <c r="D82" s="38" t="str">
        <f>A82&amp;C82</f>
        <v/>
      </c>
      <c r="F82" s="117"/>
      <c r="G82" s="220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</row>
    <row r="83" spans="1:33" ht="12" x14ac:dyDescent="0.2">
      <c r="E83" s="84"/>
      <c r="G83" s="228"/>
    </row>
    <row r="84" spans="1:33" ht="12" x14ac:dyDescent="0.2">
      <c r="E84" s="84"/>
      <c r="G84" s="228"/>
    </row>
    <row r="85" spans="1:33" ht="12" x14ac:dyDescent="0.2">
      <c r="E85" s="84"/>
      <c r="G85" s="228"/>
    </row>
    <row r="86" spans="1:33" ht="12" x14ac:dyDescent="0.2">
      <c r="E86" s="84"/>
      <c r="G86" s="228"/>
    </row>
    <row r="87" spans="1:33" ht="12" x14ac:dyDescent="0.2">
      <c r="E87" s="10"/>
      <c r="G87" s="228"/>
    </row>
    <row r="88" spans="1:33" ht="15" x14ac:dyDescent="0.25">
      <c r="A88" s="201" t="s">
        <v>202</v>
      </c>
      <c r="B88" s="54"/>
      <c r="C88" s="19"/>
      <c r="D88" s="19"/>
      <c r="E88" s="83"/>
      <c r="F88" s="19"/>
      <c r="G88" s="222"/>
      <c r="H88" s="222"/>
      <c r="I88" s="198" t="str">
        <f>"FY"&amp;RIGHT(I$9,2)</f>
        <v>FY27</v>
      </c>
      <c r="J88" s="198" t="str">
        <f t="shared" ref="J88:AG88" si="22">"FY"&amp;RIGHT(J$9,2)</f>
        <v>FY28</v>
      </c>
      <c r="K88" s="198" t="str">
        <f t="shared" si="22"/>
        <v>FY29</v>
      </c>
      <c r="L88" s="198" t="str">
        <f t="shared" si="22"/>
        <v>FY30</v>
      </c>
      <c r="M88" s="198" t="str">
        <f t="shared" si="22"/>
        <v>FY31</v>
      </c>
      <c r="N88" s="198" t="str">
        <f t="shared" si="22"/>
        <v>FY32</v>
      </c>
      <c r="O88" s="198" t="str">
        <f t="shared" si="22"/>
        <v>FY33</v>
      </c>
      <c r="P88" s="198" t="str">
        <f t="shared" si="22"/>
        <v>FY34</v>
      </c>
      <c r="Q88" s="198" t="str">
        <f t="shared" si="22"/>
        <v>FY35</v>
      </c>
      <c r="R88" s="198" t="str">
        <f t="shared" si="22"/>
        <v>FY36</v>
      </c>
      <c r="S88" s="198" t="str">
        <f t="shared" si="22"/>
        <v>FY37</v>
      </c>
      <c r="T88" s="198" t="str">
        <f t="shared" si="22"/>
        <v>FY38</v>
      </c>
      <c r="U88" s="198" t="str">
        <f t="shared" si="22"/>
        <v>FY39</v>
      </c>
      <c r="V88" s="198" t="str">
        <f t="shared" si="22"/>
        <v>FY40</v>
      </c>
      <c r="W88" s="198" t="str">
        <f t="shared" si="22"/>
        <v>FY41</v>
      </c>
      <c r="X88" s="198" t="str">
        <f t="shared" si="22"/>
        <v>FY42</v>
      </c>
      <c r="Y88" s="198" t="str">
        <f t="shared" si="22"/>
        <v>FY43</v>
      </c>
      <c r="Z88" s="198" t="str">
        <f t="shared" si="22"/>
        <v>FY44</v>
      </c>
      <c r="AA88" s="198" t="str">
        <f t="shared" si="22"/>
        <v>FY45</v>
      </c>
      <c r="AB88" s="198" t="str">
        <f t="shared" si="22"/>
        <v>FY46</v>
      </c>
      <c r="AC88" s="198" t="str">
        <f t="shared" si="22"/>
        <v>FY47</v>
      </c>
      <c r="AD88" s="198" t="str">
        <f t="shared" si="22"/>
        <v>FY48</v>
      </c>
      <c r="AE88" s="198" t="str">
        <f t="shared" si="22"/>
        <v>FY49</v>
      </c>
      <c r="AF88" s="198" t="str">
        <f t="shared" si="22"/>
        <v>FY50</v>
      </c>
      <c r="AG88" s="198" t="str">
        <f t="shared" si="22"/>
        <v>FY51</v>
      </c>
    </row>
    <row r="89" spans="1:33" ht="12" x14ac:dyDescent="0.2">
      <c r="E89" s="84"/>
      <c r="G89" s="228"/>
    </row>
    <row r="90" spans="1:33" ht="12" x14ac:dyDescent="0.2">
      <c r="E90" s="84"/>
    </row>
    <row r="91" spans="1:33" x14ac:dyDescent="0.2">
      <c r="A91" s="197" t="str">
        <f>Summary!$C$26</f>
        <v>Option 2</v>
      </c>
      <c r="B91" s="138"/>
      <c r="C91" s="195" t="s">
        <v>91</v>
      </c>
      <c r="D91" s="117">
        <f>INDEX(Data!$C$30:$C$36, MATCH(C91, Data!$B$30:$B$36,0))</f>
        <v>-1</v>
      </c>
      <c r="E91" s="2"/>
      <c r="F91" s="117"/>
      <c r="G91" s="118"/>
      <c r="H91" s="118" t="str">
        <f>A91&amp;" "&amp;LOWER(C91)</f>
        <v>Option 2 annualised capex</v>
      </c>
      <c r="I91" s="296" cm="1">
        <f t="array" ref="I91">MAX($D91*INDEX(I$15:W$81, MATCH($A91&amp;$C91, $D$15:$D$81,0),))/mill_conv</f>
        <v>0.3048991345305106</v>
      </c>
      <c r="J91" s="296" cm="1">
        <f t="array" ref="J91">MAX($D91*INDEX(J$15:X$81, MATCH($A91&amp;$C91, $D$15:$D$81,0),))/mill_conv</f>
        <v>0.3048991345305106</v>
      </c>
      <c r="K91" s="296" cm="1">
        <f t="array" ref="K91">MAX($D91*INDEX(K$15:Y$81, MATCH($A91&amp;$C91, $D$15:$D$81,0),))/mill_conv</f>
        <v>0.3048991345305106</v>
      </c>
      <c r="L91" s="296" cm="1">
        <f t="array" ref="L91">MAX($D91*INDEX(L$15:Z$81, MATCH($A91&amp;$C91, $D$15:$D$81,0),))/mill_conv</f>
        <v>0.3048991345305106</v>
      </c>
      <c r="M91" s="296" cm="1">
        <f t="array" ref="M91">MAX($D91*INDEX(M$15:AA$81, MATCH($A91&amp;$C91, $D$15:$D$81,0),))/mill_conv</f>
        <v>0.3048991345305106</v>
      </c>
      <c r="N91" s="296" cm="1">
        <f t="array" ref="N91">MAX($D91*INDEX(N$15:AB$81, MATCH($A91&amp;$C91, $D$15:$D$81,0),))/mill_conv</f>
        <v>0.3048991345305106</v>
      </c>
      <c r="O91" s="296" cm="1">
        <f t="array" ref="O91">MAX($D91*INDEX(O$15:AC$81, MATCH($A91&amp;$C91, $D$15:$D$81,0),))/mill_conv</f>
        <v>0.3048991345305106</v>
      </c>
      <c r="P91" s="296" cm="1">
        <f t="array" ref="P91">MAX($D91*INDEX(P$15:AD$81, MATCH($A91&amp;$C91, $D$15:$D$81,0),))/mill_conv</f>
        <v>0.3048991345305106</v>
      </c>
      <c r="Q91" s="296" cm="1">
        <f t="array" ref="Q91">MAX($D91*INDEX(Q$15:AE$81, MATCH($A91&amp;$C91, $D$15:$D$81,0),))/mill_conv</f>
        <v>0.3048991345305106</v>
      </c>
      <c r="R91" s="296" cm="1">
        <f t="array" ref="R91">MAX($D91*INDEX(R$15:AF$81, MATCH($A91&amp;$C91, $D$15:$D$81,0),))/mill_conv</f>
        <v>0.3048991345305106</v>
      </c>
      <c r="S91" s="296" cm="1">
        <f t="array" ref="S91">MAX($D91*INDEX(S$15:AG$81, MATCH($A91&amp;$C91, $D$15:$D$81,0),))/mill_conv</f>
        <v>0.3048991345305106</v>
      </c>
      <c r="T91" s="296" cm="1">
        <f t="array" ref="T91">MAX($D91*INDEX(T$15:AH$81, MATCH($A91&amp;$C91, $D$15:$D$81,0),))/mill_conv</f>
        <v>0.3048991345305106</v>
      </c>
      <c r="U91" s="296" cm="1">
        <f t="array" ref="U91">MAX($D91*INDEX(U$15:AI$81, MATCH($A91&amp;$C91, $D$15:$D$81,0),))/mill_conv</f>
        <v>0.3048991345305106</v>
      </c>
      <c r="V91" s="296" cm="1">
        <f t="array" ref="V91">MAX($D91*INDEX(V$15:AJ$81, MATCH($A91&amp;$C91, $D$15:$D$81,0),))/mill_conv</f>
        <v>0.3048991345305106</v>
      </c>
      <c r="W91" s="296" cm="1">
        <f t="array" ref="W91">MAX($D91*INDEX(W$15:AK$81, MATCH($A91&amp;$C91, $D$15:$D$81,0),))/mill_conv</f>
        <v>0.3048991345305106</v>
      </c>
      <c r="X91" s="296" cm="1">
        <f t="array" ref="X91">MAX($D91*INDEX(X$15:AL$81, MATCH($A91&amp;$C91, $D$15:$D$81,0),))/mill_conv</f>
        <v>0.3048991345305106</v>
      </c>
      <c r="Y91" s="296" cm="1">
        <f t="array" ref="Y91">MAX($D91*INDEX(Y$15:AM$81, MATCH($A91&amp;$C91, $D$15:$D$81,0),))/mill_conv</f>
        <v>0.3048991345305106</v>
      </c>
      <c r="Z91" s="296" cm="1">
        <f t="array" ref="Z91">MAX($D91*INDEX(Z$15:AN$81, MATCH($A91&amp;$C91, $D$15:$D$81,0),))/mill_conv</f>
        <v>0.3048991345305106</v>
      </c>
      <c r="AA91" s="296" cm="1">
        <f t="array" ref="AA91">MAX($D91*INDEX(AA$15:AO$81, MATCH($A91&amp;$C91, $D$15:$D$81,0),))/mill_conv</f>
        <v>0.3048991345305106</v>
      </c>
      <c r="AB91" s="296" cm="1">
        <f t="array" ref="AB91">MAX($D91*INDEX(AB$15:AP$81, MATCH($A91&amp;$C91, $D$15:$D$81,0),))/mill_conv</f>
        <v>0.3048991345305106</v>
      </c>
      <c r="AC91" s="296" cm="1">
        <f t="array" ref="AC91">MAX($D91*INDEX(AC$15:AQ$81, MATCH($A91&amp;$C91, $D$15:$D$81,0),))/mill_conv</f>
        <v>0.3048991345305106</v>
      </c>
      <c r="AD91" s="296" cm="1">
        <f t="array" ref="AD91">MAX($D91*INDEX(AD$15:AR$81, MATCH($A91&amp;$C91, $D$15:$D$81,0),))/mill_conv</f>
        <v>0.3048991345305106</v>
      </c>
      <c r="AE91" s="296" cm="1">
        <f t="array" ref="AE91">MAX($D91*INDEX(AE$15:AS$81, MATCH($A91&amp;$C91, $D$15:$D$81,0),))/mill_conv</f>
        <v>0</v>
      </c>
      <c r="AF91" s="296" cm="1">
        <f t="array" ref="AF91">MAX($D91*INDEX(AF$15:AT$81, MATCH($A91&amp;$C91, $D$15:$D$81,0),))/mill_conv</f>
        <v>0</v>
      </c>
      <c r="AG91" s="296" cm="1">
        <f t="array" ref="AG91">MAX($D91*INDEX(AG$15:AU$81, MATCH($A91&amp;$C91, $D$15:$D$81,0),))/mill_conv</f>
        <v>0</v>
      </c>
    </row>
    <row r="92" spans="1:33" x14ac:dyDescent="0.2">
      <c r="A92" s="196" t="str">
        <f>A16</f>
        <v>Option 1 (base case)</v>
      </c>
      <c r="B92" s="138"/>
      <c r="C92" s="196" t="s">
        <v>172</v>
      </c>
      <c r="D92" s="117">
        <f>INDEX(Data!$C$30:$C$36, MATCH(C92, Data!$B$30:$B$36,0))</f>
        <v>1</v>
      </c>
      <c r="E92" s="84"/>
      <c r="H92" s="118" t="str">
        <f>A92&amp;" risk cost"</f>
        <v>Option 1 (base case) risk cost</v>
      </c>
      <c r="I92" s="296">
        <f t="shared" ref="I92:R92" si="23">$D92*INDEX(I$15:I$81, MATCH($A92&amp;$C92, $D$15:$D$81,0))/mill_conv</f>
        <v>0.77790453586707287</v>
      </c>
      <c r="J92" s="296">
        <f t="shared" si="23"/>
        <v>0.80793201854782448</v>
      </c>
      <c r="K92" s="296">
        <f t="shared" si="23"/>
        <v>0.84276800304631239</v>
      </c>
      <c r="L92" s="296">
        <f t="shared" si="23"/>
        <v>0.88328388556153359</v>
      </c>
      <c r="M92" s="296">
        <f t="shared" si="23"/>
        <v>0.92082378451048241</v>
      </c>
      <c r="N92" s="296">
        <f t="shared" si="23"/>
        <v>0.9637031912294759</v>
      </c>
      <c r="O92" s="296">
        <f t="shared" si="23"/>
        <v>1.0167886639773507</v>
      </c>
      <c r="P92" s="296">
        <f t="shared" si="23"/>
        <v>1.0759314758199616</v>
      </c>
      <c r="Q92" s="296">
        <f t="shared" si="23"/>
        <v>1.1169560403099419</v>
      </c>
      <c r="R92" s="296">
        <f t="shared" si="23"/>
        <v>1.1435828718923147</v>
      </c>
      <c r="S92" s="296">
        <f t="shared" ref="S92:AG92" si="24">$D92*INDEX(S$15:S$81, MATCH($A92&amp;$C92, $D$15:$D$81,0))/mill_conv</f>
        <v>1.1704752318367524</v>
      </c>
      <c r="T92" s="296">
        <f t="shared" si="24"/>
        <v>1.1976322024877668</v>
      </c>
      <c r="U92" s="296">
        <f t="shared" si="24"/>
        <v>1.2250528858058432</v>
      </c>
      <c r="V92" s="296">
        <f t="shared" si="24"/>
        <v>1.2527364027813876</v>
      </c>
      <c r="W92" s="296">
        <f t="shared" si="24"/>
        <v>1.2806818928740789</v>
      </c>
      <c r="X92" s="296">
        <f t="shared" si="24"/>
        <v>1.3088885134762362</v>
      </c>
      <c r="Y92" s="296">
        <f t="shared" si="24"/>
        <v>1.3373554393988571</v>
      </c>
      <c r="Z92" s="296">
        <f t="shared" si="24"/>
        <v>1.3660818623790816</v>
      </c>
      <c r="AA92" s="296">
        <f t="shared" si="24"/>
        <v>1.3950669906079518</v>
      </c>
      <c r="AB92" s="296">
        <f t="shared" si="24"/>
        <v>1.4243100482773583</v>
      </c>
      <c r="AC92" s="296">
        <f t="shared" si="24"/>
        <v>1.453810275145194</v>
      </c>
      <c r="AD92" s="296">
        <f t="shared" si="24"/>
        <v>1.4835669261177475</v>
      </c>
      <c r="AE92" s="296">
        <f t="shared" si="24"/>
        <v>1.5125853826319591</v>
      </c>
      <c r="AF92" s="296">
        <f t="shared" si="24"/>
        <v>1.5418505980382176</v>
      </c>
      <c r="AG92" s="296">
        <f t="shared" si="24"/>
        <v>1.5713618991307656</v>
      </c>
    </row>
    <row r="93" spans="1:33" ht="12" x14ac:dyDescent="0.2">
      <c r="E93" s="84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3" t="str">
        <f>I88</f>
        <v>FY27</v>
      </c>
      <c r="J97" s="293" t="str">
        <f t="shared" ref="J97:AG97" si="25">J88</f>
        <v>FY28</v>
      </c>
      <c r="K97" s="293" t="str">
        <f t="shared" si="25"/>
        <v>FY29</v>
      </c>
      <c r="L97" s="293" t="str">
        <f t="shared" si="25"/>
        <v>FY30</v>
      </c>
      <c r="M97" s="293" t="str">
        <f t="shared" si="25"/>
        <v>FY31</v>
      </c>
      <c r="N97" s="293" t="str">
        <f t="shared" si="25"/>
        <v>FY32</v>
      </c>
      <c r="O97" s="293" t="str">
        <f t="shared" si="25"/>
        <v>FY33</v>
      </c>
      <c r="P97" s="293" t="str">
        <f t="shared" si="25"/>
        <v>FY34</v>
      </c>
      <c r="Q97" s="293" t="str">
        <f t="shared" si="25"/>
        <v>FY35</v>
      </c>
      <c r="R97" s="293" t="str">
        <f t="shared" si="25"/>
        <v>FY36</v>
      </c>
      <c r="S97" s="293" t="str">
        <f t="shared" si="25"/>
        <v>FY37</v>
      </c>
      <c r="T97" s="293" t="str">
        <f t="shared" si="25"/>
        <v>FY38</v>
      </c>
      <c r="U97" s="293" t="str">
        <f t="shared" si="25"/>
        <v>FY39</v>
      </c>
      <c r="V97" s="293" t="str">
        <f t="shared" si="25"/>
        <v>FY40</v>
      </c>
      <c r="W97" s="293" t="str">
        <f t="shared" si="25"/>
        <v>FY41</v>
      </c>
      <c r="X97" s="293" t="str">
        <f t="shared" si="25"/>
        <v>FY42</v>
      </c>
      <c r="Y97" s="293" t="str">
        <f t="shared" si="25"/>
        <v>FY43</v>
      </c>
      <c r="Z97" s="293" t="str">
        <f t="shared" si="25"/>
        <v>FY44</v>
      </c>
      <c r="AA97" s="293" t="str">
        <f t="shared" si="25"/>
        <v>FY45</v>
      </c>
      <c r="AB97" s="293" t="str">
        <f t="shared" si="25"/>
        <v>FY46</v>
      </c>
      <c r="AC97" s="293" t="str">
        <f t="shared" si="25"/>
        <v>FY47</v>
      </c>
      <c r="AD97" s="293" t="str">
        <f t="shared" si="25"/>
        <v>FY48</v>
      </c>
      <c r="AE97" s="293" t="str">
        <f t="shared" si="25"/>
        <v>FY49</v>
      </c>
      <c r="AF97" s="293" t="str">
        <f t="shared" si="25"/>
        <v>FY50</v>
      </c>
      <c r="AG97" s="293" t="str">
        <f t="shared" si="25"/>
        <v>FY51</v>
      </c>
    </row>
    <row r="98" spans="1:33" x14ac:dyDescent="0.2">
      <c r="A98" s="197" t="s">
        <v>234</v>
      </c>
      <c r="B98" s="138"/>
      <c r="C98" s="195" t="s">
        <v>123</v>
      </c>
      <c r="D98" s="189">
        <f>MAX(H98:AG98)</f>
        <v>0</v>
      </c>
      <c r="E98" s="292"/>
      <c r="F98" s="117"/>
      <c r="G98" s="118"/>
      <c r="H98" s="118" t="str">
        <f>A98&amp;" "&amp;LOWER(C98)</f>
        <v>Energy at risk energy at risk (weighted)</v>
      </c>
      <c r="I98" s="118">
        <f>INDEX('Option1 (base case)'!I$14:I$87, MATCH($C98, 'Option1 (base case)'!$C$14:$C$87,0))</f>
        <v>0</v>
      </c>
      <c r="J98" s="118">
        <f>INDEX('Option1 (base case)'!J$14:J$87, MATCH($C98, 'Option1 (base case)'!$C$14:$C$87,0))</f>
        <v>0</v>
      </c>
      <c r="K98" s="118">
        <f>INDEX('Option1 (base case)'!K$14:K$87, MATCH($C98, 'Option1 (base case)'!$C$14:$C$87,0))</f>
        <v>0</v>
      </c>
      <c r="L98" s="118">
        <f>INDEX('Option1 (base case)'!L$14:L$87, MATCH($C98, 'Option1 (base case)'!$C$14:$C$87,0))</f>
        <v>0</v>
      </c>
      <c r="M98" s="118">
        <f>INDEX('Option1 (base case)'!M$14:M$87, MATCH($C98, 'Option1 (base case)'!$C$14:$C$87,0))</f>
        <v>0</v>
      </c>
      <c r="N98" s="118">
        <f>INDEX('Option1 (base case)'!N$14:N$87, MATCH($C98, 'Option1 (base case)'!$C$14:$C$87,0))</f>
        <v>0</v>
      </c>
      <c r="O98" s="118">
        <f>INDEX('Option1 (base case)'!O$14:O$87, MATCH($C98, 'Option1 (base case)'!$C$14:$C$87,0))</f>
        <v>0</v>
      </c>
      <c r="P98" s="118">
        <f>INDEX('Option1 (base case)'!P$14:P$87, MATCH($C98, 'Option1 (base case)'!$C$14:$C$87,0))</f>
        <v>0</v>
      </c>
      <c r="Q98" s="118">
        <f>INDEX('Option1 (base case)'!Q$14:Q$87, MATCH($C98, 'Option1 (base case)'!$C$14:$C$87,0))</f>
        <v>0</v>
      </c>
      <c r="R98" s="118">
        <f>INDEX('Option1 (base case)'!R$14:R$87, MATCH($C98, 'Option1 (base case)'!$C$14:$C$87,0))</f>
        <v>0</v>
      </c>
      <c r="S98" s="118">
        <f>INDEX('Option1 (base case)'!S$14:S$87, MATCH($C98, 'Option1 (base case)'!$C$14:$C$87,0))</f>
        <v>0</v>
      </c>
      <c r="T98" s="118">
        <f>INDEX('Option1 (base case)'!T$14:T$87, MATCH($C98, 'Option1 (base case)'!$C$14:$C$87,0))</f>
        <v>0</v>
      </c>
      <c r="U98" s="118">
        <f>INDEX('Option1 (base case)'!U$14:U$87, MATCH($C98, 'Option1 (base case)'!$C$14:$C$87,0))</f>
        <v>0</v>
      </c>
      <c r="V98" s="118">
        <f>INDEX('Option1 (base case)'!V$14:V$87, MATCH($C98, 'Option1 (base case)'!$C$14:$C$87,0))</f>
        <v>0</v>
      </c>
      <c r="W98" s="118">
        <f>INDEX('Option1 (base case)'!W$14:W$87, MATCH($C98, 'Option1 (base case)'!$C$14:$C$87,0))</f>
        <v>0</v>
      </c>
      <c r="X98" s="118">
        <f>INDEX('Option1 (base case)'!X$14:X$87, MATCH($C98, 'Option1 (base case)'!$C$14:$C$87,0))</f>
        <v>0</v>
      </c>
      <c r="Y98" s="118">
        <f>INDEX('Option1 (base case)'!Y$14:Y$87, MATCH($C98, 'Option1 (base case)'!$C$14:$C$87,0))</f>
        <v>0</v>
      </c>
      <c r="Z98" s="118">
        <f>INDEX('Option1 (base case)'!Z$14:Z$87, MATCH($C98, 'Option1 (base case)'!$C$14:$C$87,0))</f>
        <v>0</v>
      </c>
      <c r="AA98" s="118">
        <f>INDEX('Option1 (base case)'!AA$14:AA$87, MATCH($C98, 'Option1 (base case)'!$C$14:$C$87,0))</f>
        <v>0</v>
      </c>
      <c r="AB98" s="118">
        <f>INDEX('Option1 (base case)'!AB$14:AB$87, MATCH($C98, 'Option1 (base case)'!$C$14:$C$87,0))</f>
        <v>0</v>
      </c>
      <c r="AC98" s="118">
        <f>INDEX('Option1 (base case)'!AC$14:AC$87, MATCH($C98, 'Option1 (base case)'!$C$14:$C$87,0))</f>
        <v>0</v>
      </c>
      <c r="AD98" s="118">
        <f>INDEX('Option1 (base case)'!AD$14:AD$87, MATCH($C98, 'Option1 (base case)'!$C$14:$C$87,0))</f>
        <v>0</v>
      </c>
      <c r="AE98" s="118">
        <f>INDEX('Option1 (base case)'!AE$14:AE$87, MATCH($C98, 'Option1 (base case)'!$C$14:$C$87,0))</f>
        <v>0</v>
      </c>
      <c r="AF98" s="118">
        <f>INDEX('Option1 (base case)'!AF$14:AF$87, MATCH($C98, 'Option1 (base case)'!$C$14:$C$87,0))</f>
        <v>0</v>
      </c>
      <c r="AG98" s="118">
        <f>INDEX('Option1 (base case)'!AG$14:AG$87, MATCH($C98, 'Option1 (base case)'!$C$14:$C$87,0))</f>
        <v>0</v>
      </c>
    </row>
    <row r="99" spans="1:33" x14ac:dyDescent="0.2">
      <c r="A99" s="196" t="str">
        <f>A23</f>
        <v>Option 1 (base case)</v>
      </c>
      <c r="B99" s="138"/>
      <c r="C99" s="196" t="s">
        <v>124</v>
      </c>
      <c r="D99" s="189">
        <f>MAX(H99:AG99)</f>
        <v>1.3544795590914533</v>
      </c>
      <c r="E99" s="292"/>
      <c r="H99" s="118" t="str">
        <f>A99&amp;" risk cost"</f>
        <v>Option 1 (base case) risk cost</v>
      </c>
      <c r="I99" s="118">
        <f>INDEX('Option1 (base case)'!I$14:I$87, MATCH($C99, 'Option1 (base case)'!$C$14:$C$87,0))/10^6</f>
        <v>0.65852146054253802</v>
      </c>
      <c r="J99" s="118">
        <f>INDEX('Option1 (base case)'!J$14:J$87, MATCH($C99, 'Option1 (base case)'!$C$14:$C$87,0))/10^6</f>
        <v>0.68477127914408276</v>
      </c>
      <c r="K99" s="118">
        <f>INDEX('Option1 (base case)'!K$14:K$87, MATCH($C99, 'Option1 (base case)'!$C$14:$C$87,0))/10^6</f>
        <v>0.71533370269178664</v>
      </c>
      <c r="L99" s="118">
        <f>INDEX('Option1 (base case)'!L$14:L$87, MATCH($C99, 'Option1 (base case)'!$C$14:$C$87,0))/10^6</f>
        <v>0.7509917555609098</v>
      </c>
      <c r="M99" s="118">
        <f>INDEX('Option1 (base case)'!M$14:M$87, MATCH($C99, 'Option1 (base case)'!$C$14:$C$87,0))/10^6</f>
        <v>0.78396779149800733</v>
      </c>
      <c r="N99" s="118">
        <f>INDEX('Option1 (base case)'!N$14:N$87, MATCH($C99, 'Option1 (base case)'!$C$14:$C$87,0))/10^6</f>
        <v>0.82173367388533392</v>
      </c>
      <c r="O99" s="118">
        <f>INDEX('Option1 (base case)'!O$14:O$87, MATCH($C99, 'Option1 (base case)'!$C$14:$C$87,0))/10^6</f>
        <v>0.86866225033271616</v>
      </c>
      <c r="P99" s="118">
        <f>INDEX('Option1 (base case)'!P$14:P$87, MATCH($C99, 'Option1 (base case)'!$C$14:$C$87,0))/10^6</f>
        <v>0.92102574531176407</v>
      </c>
      <c r="Q99" s="118">
        <f>INDEX('Option1 (base case)'!Q$14:Q$87, MATCH($C99, 'Option1 (base case)'!$C$14:$C$87,0))/10^6</f>
        <v>0.95710138584787008</v>
      </c>
      <c r="R99" s="118">
        <f>INDEX('Option1 (base case)'!R$14:R$87, MATCH($C99, 'Option1 (base case)'!$C$14:$C$87,0))/10^6</f>
        <v>0.9802322478348392</v>
      </c>
      <c r="S99" s="118">
        <f>INDEX('Option1 (base case)'!S$14:S$87, MATCH($C99, 'Option1 (base case)'!$C$14:$C$87,0))/10^6</f>
        <v>1.0035939364207589</v>
      </c>
      <c r="T99" s="118">
        <f>INDEX('Option1 (base case)'!T$14:T$87, MATCH($C99, 'Option1 (base case)'!$C$14:$C$87,0))/10^6</f>
        <v>1.0271856591070354</v>
      </c>
      <c r="U99" s="118">
        <f>INDEX('Option1 (base case)'!U$14:U$87, MATCH($C99, 'Option1 (base case)'!$C$14:$C$87,0))/10^6</f>
        <v>1.0510066404550247</v>
      </c>
      <c r="V99" s="118">
        <f>INDEX('Option1 (base case)'!V$14:V$87, MATCH($C99, 'Option1 (base case)'!$C$14:$C$87,0))/10^6</f>
        <v>1.0750561215768748</v>
      </c>
      <c r="W99" s="118">
        <f>INDEX('Option1 (base case)'!W$14:W$87, MATCH($C99, 'Option1 (base case)'!$C$14:$C$87,0))/10^6</f>
        <v>1.0993333596484336</v>
      </c>
      <c r="X99" s="118">
        <f>INDEX('Option1 (base case)'!X$14:X$87, MATCH($C99, 'Option1 (base case)'!$C$14:$C$87,0))/10^6</f>
        <v>1.1238376274430222</v>
      </c>
      <c r="Y99" s="118">
        <f>INDEX('Option1 (base case)'!Y$14:Y$87, MATCH($C99, 'Option1 (base case)'!$C$14:$C$87,0))/10^6</f>
        <v>1.1485682128848942</v>
      </c>
      <c r="Z99" s="118">
        <f>INDEX('Option1 (base case)'!Z$14:Z$87, MATCH($C99, 'Option1 (base case)'!$C$14:$C$87,0))/10^6</f>
        <v>1.1735244186213107</v>
      </c>
      <c r="AA99" s="118">
        <f>INDEX('Option1 (base case)'!AA$14:AA$87, MATCH($C99, 'Option1 (base case)'!$C$14:$C$87,0))/10^6</f>
        <v>1.1987055616122435</v>
      </c>
      <c r="AB99" s="118">
        <f>INDEX('Option1 (base case)'!AB$14:AB$87, MATCH($C99, 'Option1 (base case)'!$C$14:$C$87,0))/10^6</f>
        <v>1.2241109727367432</v>
      </c>
      <c r="AC99" s="118">
        <f>INDEX('Option1 (base case)'!AC$14:AC$87, MATCH($C99, 'Option1 (base case)'!$C$14:$C$87,0))/10^6</f>
        <v>1.2497399964151259</v>
      </c>
      <c r="AD99" s="118">
        <f>INDEX('Option1 (base case)'!AD$14:AD$87, MATCH($C99, 'Option1 (base case)'!$C$14:$C$87,0))/10^6</f>
        <v>1.2755919902461321</v>
      </c>
      <c r="AE99" s="118">
        <f>INDEX('Option1 (base case)'!AE$14:AE$87, MATCH($C99, 'Option1 (base case)'!$C$14:$C$87,0))/10^6</f>
        <v>1.3016663246583131</v>
      </c>
      <c r="AF99" s="118">
        <f>INDEX('Option1 (base case)'!AF$14:AF$87, MATCH($C99, 'Option1 (base case)'!$C$14:$C$87,0))/10^6</f>
        <v>1.327962382574887</v>
      </c>
      <c r="AG99" s="118">
        <f>INDEX('Option1 (base case)'!AG$14:AG$87, MATCH($C99, 'Option1 (base case)'!$C$14:$C$87,0))/10^6</f>
        <v>1.3544795590914533</v>
      </c>
    </row>
    <row r="100" spans="1:33" ht="12" x14ac:dyDescent="0.2">
      <c r="E100" s="10"/>
    </row>
    <row r="101" spans="1:33" s="294" customFormat="1" ht="12" x14ac:dyDescent="0.2"/>
    <row r="102" spans="1:33" ht="12" x14ac:dyDescent="0.2">
      <c r="E102" s="10"/>
    </row>
    <row r="103" spans="1:33" ht="12" x14ac:dyDescent="0.2">
      <c r="E103" s="10"/>
      <c r="I103" s="294"/>
    </row>
    <row r="104" spans="1:33" ht="12" x14ac:dyDescent="0.2">
      <c r="E104" s="10"/>
      <c r="H104" s="149"/>
    </row>
    <row r="105" spans="1:33" ht="12" x14ac:dyDescent="0.2">
      <c r="E105" s="10"/>
      <c r="H105" s="149"/>
    </row>
    <row r="106" spans="1:33" ht="12" x14ac:dyDescent="0.2">
      <c r="D106" s="189"/>
      <c r="E106" s="10"/>
    </row>
    <row r="107" spans="1:33" ht="12" x14ac:dyDescent="0.2">
      <c r="D107" s="189"/>
      <c r="E107" s="10"/>
    </row>
    <row r="108" spans="1:33" ht="12" x14ac:dyDescent="0.2">
      <c r="D108" s="189"/>
      <c r="E108" s="84"/>
    </row>
    <row r="109" spans="1:33" ht="12" x14ac:dyDescent="0.2">
      <c r="C109" s="123"/>
      <c r="D109" s="189"/>
      <c r="E109" s="189"/>
    </row>
    <row r="110" spans="1:33" ht="12" x14ac:dyDescent="0.2">
      <c r="D110" s="189"/>
      <c r="E110" s="84"/>
    </row>
    <row r="111" spans="1:33" ht="12" x14ac:dyDescent="0.2">
      <c r="D111" s="189"/>
      <c r="E111" s="84"/>
    </row>
    <row r="112" spans="1:33" ht="12" x14ac:dyDescent="0.2">
      <c r="D112" s="189"/>
      <c r="E112" s="84"/>
    </row>
    <row r="113" spans="4:5" ht="12" x14ac:dyDescent="0.2">
      <c r="D113" s="189"/>
      <c r="E113" s="84"/>
    </row>
    <row r="114" spans="4:5" ht="12" x14ac:dyDescent="0.2">
      <c r="D114" s="189"/>
      <c r="E114" s="84"/>
    </row>
    <row r="115" spans="4:5" ht="12" x14ac:dyDescent="0.2">
      <c r="D115" s="189"/>
      <c r="E115" s="84"/>
    </row>
    <row r="116" spans="4:5" ht="12" x14ac:dyDescent="0.2">
      <c r="D116" s="189"/>
      <c r="E116" s="84"/>
    </row>
    <row r="117" spans="4:5" ht="12" x14ac:dyDescent="0.2">
      <c r="D117" s="189"/>
      <c r="E117" s="84"/>
    </row>
    <row r="118" spans="4:5" ht="12" x14ac:dyDescent="0.2">
      <c r="D118" s="189"/>
      <c r="E118" s="84"/>
    </row>
    <row r="119" spans="4:5" ht="12" x14ac:dyDescent="0.2">
      <c r="D119" s="189"/>
      <c r="E119" s="84"/>
    </row>
    <row r="120" spans="4:5" ht="12" x14ac:dyDescent="0.2">
      <c r="D120" s="189"/>
      <c r="E120" s="84"/>
    </row>
    <row r="121" spans="4:5" ht="12" x14ac:dyDescent="0.2">
      <c r="D121" s="189"/>
      <c r="E121" s="84"/>
    </row>
    <row r="122" spans="4:5" ht="12" x14ac:dyDescent="0.2">
      <c r="D122" s="189"/>
      <c r="E122" s="84"/>
    </row>
    <row r="123" spans="4:5" ht="12" x14ac:dyDescent="0.2">
      <c r="D123" s="189"/>
      <c r="E123" s="84"/>
    </row>
    <row r="124" spans="4:5" ht="12" x14ac:dyDescent="0.2">
      <c r="D124" s="189"/>
      <c r="E124" s="84"/>
    </row>
    <row r="125" spans="4:5" ht="12" x14ac:dyDescent="0.2">
      <c r="D125" s="189"/>
      <c r="E125" s="84"/>
    </row>
    <row r="126" spans="4:5" ht="12" x14ac:dyDescent="0.2">
      <c r="D126" s="189"/>
      <c r="E126" s="84"/>
    </row>
    <row r="127" spans="4:5" ht="12" x14ac:dyDescent="0.2">
      <c r="D127" s="189"/>
      <c r="E127" s="84"/>
    </row>
    <row r="128" spans="4:5" ht="12" x14ac:dyDescent="0.2">
      <c r="D128" s="189"/>
      <c r="E128" s="84"/>
    </row>
    <row r="129" spans="4:5" ht="12" x14ac:dyDescent="0.2">
      <c r="D129" s="189"/>
      <c r="E129" s="84"/>
    </row>
    <row r="130" spans="4:5" ht="12" x14ac:dyDescent="0.2">
      <c r="D130" s="189"/>
      <c r="E130" s="84"/>
    </row>
    <row r="131" spans="4:5" ht="12" x14ac:dyDescent="0.2">
      <c r="D131" s="189"/>
      <c r="E131" s="84"/>
    </row>
    <row r="132" spans="4:5" ht="12" x14ac:dyDescent="0.2">
      <c r="D132" s="189"/>
      <c r="E132" s="84"/>
    </row>
    <row r="133" spans="4:5" ht="12" x14ac:dyDescent="0.2">
      <c r="D133" s="189"/>
      <c r="E133" s="84"/>
    </row>
    <row r="134" spans="4:5" ht="12" x14ac:dyDescent="0.2">
      <c r="D134" s="189"/>
      <c r="E134" s="84"/>
    </row>
    <row r="135" spans="4:5" ht="12" x14ac:dyDescent="0.2">
      <c r="D135" s="189"/>
      <c r="E135" s="84"/>
    </row>
    <row r="136" spans="4:5" ht="12" x14ac:dyDescent="0.2">
      <c r="D136" s="189"/>
      <c r="E136" s="84"/>
    </row>
    <row r="137" spans="4:5" ht="12" x14ac:dyDescent="0.2">
      <c r="D137" s="189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AR transformer replacement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2" t="s">
        <v>222</v>
      </c>
      <c r="B3" s="5"/>
      <c r="D3" s="34"/>
      <c r="E3" s="34"/>
      <c r="F3" s="34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</row>
    <row r="4" spans="1:33" s="2" customFormat="1" ht="6.75" customHeight="1" x14ac:dyDescent="0.2">
      <c r="A4" s="114"/>
      <c r="B4" s="114"/>
      <c r="D4" s="115"/>
      <c r="E4" s="115"/>
      <c r="F4" s="115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</row>
    <row r="5" spans="1:33" s="2" customFormat="1" hidden="1" outlineLevel="1" x14ac:dyDescent="0.2">
      <c r="A5" s="115" t="s">
        <v>194</v>
      </c>
      <c r="B5" s="115"/>
      <c r="D5" s="116"/>
      <c r="E5" s="115"/>
      <c r="F5" s="115"/>
      <c r="G5" s="100"/>
      <c r="H5" s="187">
        <f>Consol!H5</f>
        <v>0</v>
      </c>
      <c r="I5" s="187">
        <f>Consol!I5</f>
        <v>0.98294637436598087</v>
      </c>
      <c r="J5" s="187">
        <f>Consol!J5</f>
        <v>0.94970664189949849</v>
      </c>
      <c r="K5" s="187">
        <f>Consol!K5</f>
        <v>0.91759095835700344</v>
      </c>
      <c r="L5" s="187">
        <f>Consol!L5</f>
        <v>0.88656131242222558</v>
      </c>
      <c r="M5" s="187">
        <f>Consol!M5</f>
        <v>0.85658097818572532</v>
      </c>
      <c r="N5" s="187">
        <f>Consol!N5</f>
        <v>0.8276144716770294</v>
      </c>
      <c r="O5" s="187">
        <f>Consol!O5</f>
        <v>0.79962750886669509</v>
      </c>
      <c r="P5" s="187">
        <f>Consol!P5</f>
        <v>0.77258696508859437</v>
      </c>
      <c r="Q5" s="187">
        <f>Consol!Q5</f>
        <v>0.74646083583439071</v>
      </c>
      <c r="R5" s="187">
        <f>Consol!R5</f>
        <v>0.72121819887380756</v>
      </c>
      <c r="S5" s="187">
        <f>Consol!S5</f>
        <v>0.69682917765585273</v>
      </c>
      <c r="T5" s="187">
        <f>Consol!T5</f>
        <v>0.67326490594768384</v>
      </c>
      <c r="U5" s="187">
        <f>Consol!U5</f>
        <v>0.6504974936692598</v>
      </c>
      <c r="V5" s="187">
        <f>Consol!V5</f>
        <v>0.62849999388334288</v>
      </c>
      <c r="W5" s="187">
        <f>Consol!W5</f>
        <v>0.60724637090178057</v>
      </c>
      <c r="X5" s="187">
        <f>Consol!X5</f>
        <v>0.58671146947031949</v>
      </c>
      <c r="Y5" s="187">
        <f>Consol!Y5</f>
        <v>0.56687098499547783</v>
      </c>
      <c r="Z5" s="187">
        <f>Consol!Z5</f>
        <v>0.54770143477823952</v>
      </c>
      <c r="AA5" s="187">
        <f>Consol!AA5</f>
        <v>0.52918013022052135</v>
      </c>
      <c r="AB5" s="187">
        <f>Consol!AB5</f>
        <v>0.5112851499715183</v>
      </c>
      <c r="AC5" s="187">
        <f>Consol!AC5</f>
        <v>0.4939953139821433</v>
      </c>
      <c r="AD5" s="187">
        <f>Consol!AD5</f>
        <v>0.47729015843685346</v>
      </c>
      <c r="AE5" s="187">
        <f>Consol!AE5</f>
        <v>0.46114991153319179</v>
      </c>
      <c r="AF5" s="187">
        <f>Consol!AF5</f>
        <v>0.4455554700803786</v>
      </c>
      <c r="AG5" s="187">
        <f>Consol!AG5</f>
        <v>0.43048837688925473</v>
      </c>
    </row>
    <row r="6" spans="1:33" s="2" customFormat="1" hidden="1" outlineLevel="1" x14ac:dyDescent="0.2">
      <c r="A6" s="188" t="str">
        <f>'Option1 (base case)'!A6</f>
        <v>Count</v>
      </c>
      <c r="B6" s="115"/>
      <c r="D6" s="116"/>
      <c r="E6" s="115"/>
      <c r="F6" s="115"/>
      <c r="G6" s="100"/>
      <c r="H6" s="188">
        <f>Consol!H6</f>
        <v>0</v>
      </c>
      <c r="I6" s="188">
        <f>Consol!I6</f>
        <v>1</v>
      </c>
      <c r="J6" s="188">
        <f>Consol!J6</f>
        <v>2</v>
      </c>
      <c r="K6" s="188">
        <f>Consol!K6</f>
        <v>3</v>
      </c>
      <c r="L6" s="188">
        <f>Consol!L6</f>
        <v>4</v>
      </c>
      <c r="M6" s="188">
        <f>Consol!M6</f>
        <v>5</v>
      </c>
      <c r="N6" s="188">
        <f>Consol!N6</f>
        <v>6</v>
      </c>
      <c r="O6" s="188">
        <f>Consol!O6</f>
        <v>7</v>
      </c>
      <c r="P6" s="188">
        <f>Consol!P6</f>
        <v>8</v>
      </c>
      <c r="Q6" s="188">
        <f>Consol!Q6</f>
        <v>9</v>
      </c>
      <c r="R6" s="188">
        <f>Consol!R6</f>
        <v>10</v>
      </c>
      <c r="S6" s="188">
        <f>Consol!S6</f>
        <v>11</v>
      </c>
      <c r="T6" s="188">
        <f>Consol!T6</f>
        <v>12</v>
      </c>
      <c r="U6" s="188">
        <f>Consol!U6</f>
        <v>13</v>
      </c>
      <c r="V6" s="188">
        <f>Consol!V6</f>
        <v>14</v>
      </c>
      <c r="W6" s="188">
        <f>Consol!W6</f>
        <v>15</v>
      </c>
      <c r="X6" s="188">
        <f>Consol!X6</f>
        <v>16</v>
      </c>
      <c r="Y6" s="188">
        <f>Consol!Y6</f>
        <v>17</v>
      </c>
      <c r="Z6" s="188">
        <f>Consol!Z6</f>
        <v>18</v>
      </c>
      <c r="AA6" s="188">
        <f>Consol!AA6</f>
        <v>19</v>
      </c>
      <c r="AB6" s="188">
        <f>Consol!AB6</f>
        <v>20</v>
      </c>
      <c r="AC6" s="188">
        <f>Consol!AC6</f>
        <v>21</v>
      </c>
      <c r="AD6" s="188">
        <f>Consol!AD6</f>
        <v>22</v>
      </c>
      <c r="AE6" s="188">
        <f>Consol!AE6</f>
        <v>23</v>
      </c>
      <c r="AF6" s="188">
        <f>Consol!AF6</f>
        <v>24</v>
      </c>
      <c r="AG6" s="188">
        <f>Consol!AG6</f>
        <v>25</v>
      </c>
    </row>
    <row r="7" spans="1:33" s="2" customFormat="1" hidden="1" outlineLevel="1" x14ac:dyDescent="0.2">
      <c r="A7" s="115" t="s">
        <v>195</v>
      </c>
      <c r="B7" s="115"/>
      <c r="D7" s="116"/>
      <c r="E7" s="115"/>
      <c r="F7" s="115"/>
      <c r="G7" s="100"/>
      <c r="H7" s="254" t="b">
        <f>Consol!H7</f>
        <v>1</v>
      </c>
      <c r="I7" s="254" t="b">
        <f>Consol!I7</f>
        <v>1</v>
      </c>
      <c r="J7" s="254" t="b">
        <f>Consol!J7</f>
        <v>1</v>
      </c>
      <c r="K7" s="254" t="b">
        <f>Consol!K7</f>
        <v>1</v>
      </c>
      <c r="L7" s="254" t="b">
        <f>Consol!L7</f>
        <v>1</v>
      </c>
      <c r="M7" s="254" t="b">
        <f>Consol!M7</f>
        <v>1</v>
      </c>
      <c r="N7" s="254" t="b">
        <f>Consol!N7</f>
        <v>1</v>
      </c>
      <c r="O7" s="254" t="b">
        <f>Consol!O7</f>
        <v>1</v>
      </c>
      <c r="P7" s="254" t="b">
        <f>Consol!P7</f>
        <v>1</v>
      </c>
      <c r="Q7" s="254" t="b">
        <f>Consol!Q7</f>
        <v>1</v>
      </c>
      <c r="R7" s="254" t="b">
        <f>Consol!R7</f>
        <v>1</v>
      </c>
      <c r="S7" s="254" t="b">
        <f>Consol!S7</f>
        <v>1</v>
      </c>
      <c r="T7" s="254" t="b">
        <f>Consol!T7</f>
        <v>1</v>
      </c>
      <c r="U7" s="254" t="b">
        <f>Consol!U7</f>
        <v>1</v>
      </c>
      <c r="V7" s="254" t="b">
        <f>Consol!V7</f>
        <v>1</v>
      </c>
      <c r="W7" s="254" t="b">
        <f>Consol!W7</f>
        <v>1</v>
      </c>
      <c r="X7" s="254" t="b">
        <f>Consol!X7</f>
        <v>1</v>
      </c>
      <c r="Y7" s="254" t="b">
        <f>Consol!Y7</f>
        <v>1</v>
      </c>
      <c r="Z7" s="254" t="b">
        <f>Consol!Z7</f>
        <v>1</v>
      </c>
      <c r="AA7" s="254" t="b">
        <f>Consol!AA7</f>
        <v>1</v>
      </c>
      <c r="AB7" s="254" t="b">
        <f>Consol!AB7</f>
        <v>1</v>
      </c>
      <c r="AC7" s="254" t="b">
        <f>Consol!AC7</f>
        <v>1</v>
      </c>
      <c r="AD7" s="254" t="b">
        <f>Consol!AD7</f>
        <v>1</v>
      </c>
      <c r="AE7" s="254" t="b">
        <f>Consol!AE7</f>
        <v>0</v>
      </c>
      <c r="AF7" s="254" t="b">
        <f>Consol!AF7</f>
        <v>0</v>
      </c>
      <c r="AG7" s="254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8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7"/>
      <c r="E10" s="117"/>
      <c r="G10" s="220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1:33" s="2" customFormat="1" ht="15" x14ac:dyDescent="0.2">
      <c r="A11" s="119"/>
      <c r="B11" s="119"/>
      <c r="C11" s="119"/>
      <c r="D11" s="120"/>
      <c r="E11" s="120"/>
      <c r="F11" s="70" t="s">
        <v>153</v>
      </c>
      <c r="G11" s="221"/>
      <c r="H11" s="121" t="str" cm="1">
        <f t="array" ref="H11">IF(H6=$D$4,UPPER($A$4),IF(H6=end, "END", ""))</f>
        <v/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1:33" s="7" customFormat="1" x14ac:dyDescent="0.2">
      <c r="A12" s="244"/>
      <c r="B12" s="244"/>
      <c r="C12" s="244"/>
      <c r="D12" s="244"/>
      <c r="E12" s="244"/>
      <c r="F12" s="244"/>
      <c r="G12" s="245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741174.09759170143</v>
      </c>
      <c r="AA12" s="31">
        <f>Consol!AB36</f>
        <v>748374.91666505928</v>
      </c>
      <c r="AB12" s="31">
        <f>Consol!AC36</f>
        <v>755620.37225362984</v>
      </c>
      <c r="AC12" s="31">
        <f>Consol!AD36</f>
        <v>762904.29694862803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5"/>
    </row>
    <row r="13" spans="1:33" s="7" customFormat="1" x14ac:dyDescent="0.2">
      <c r="A13" s="244"/>
      <c r="B13" s="244"/>
      <c r="C13" s="244"/>
      <c r="D13" s="244"/>
      <c r="E13" s="244"/>
      <c r="F13" s="244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</row>
    <row r="14" spans="1:33" s="7" customFormat="1" x14ac:dyDescent="0.2">
      <c r="A14" s="252" t="s">
        <v>142</v>
      </c>
      <c r="B14" s="252" t="s">
        <v>119</v>
      </c>
      <c r="C14" s="252" t="s">
        <v>188</v>
      </c>
      <c r="D14" s="252" t="str">
        <f>A14&amp;B14</f>
        <v>OPTION 1 (base case)NPV</v>
      </c>
      <c r="E14" s="253"/>
      <c r="F14" s="31">
        <f>SUMPRODUCT($H14:$AG14, $H$5:$AG$5)</f>
        <v>0</v>
      </c>
      <c r="G14" s="245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4"/>
      <c r="B15" s="244"/>
      <c r="C15" s="244"/>
      <c r="D15" s="244"/>
      <c r="E15" s="244"/>
      <c r="F15" s="244"/>
      <c r="G15" s="245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2" t="s">
        <v>142</v>
      </c>
      <c r="B16" s="252" t="str">
        <f>'Option1 (base case)'!A110</f>
        <v>sens1</v>
      </c>
      <c r="C16" s="252" t="str">
        <f>'Option1 (base case)'!C110</f>
        <v>Capex 10% higher</v>
      </c>
      <c r="D16" s="252" t="str">
        <f t="shared" ref="D16:D23" si="0">A16&amp;B16</f>
        <v>OPTION 1 (base case)sens1</v>
      </c>
      <c r="E16" s="253"/>
      <c r="F16" s="31">
        <f>SUMPRODUCT($H16:$AG16, $H$5:$AG$5)</f>
        <v>0</v>
      </c>
      <c r="G16" s="245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2" t="s">
        <v>142</v>
      </c>
      <c r="B17" s="252" t="str">
        <f>'Option1 (base case)'!A111</f>
        <v>sens2</v>
      </c>
      <c r="C17" s="252" t="str">
        <f>'Option1 (base case)'!C111</f>
        <v>Capex 10% lower</v>
      </c>
      <c r="D17" s="252" t="str">
        <f t="shared" si="0"/>
        <v>OPTION 1 (base case)sens2</v>
      </c>
      <c r="E17" s="253"/>
      <c r="F17" s="31">
        <f t="shared" ref="F17:F23" si="1">SUMPRODUCT($H17:$AG17, $H$5:$AG$5)</f>
        <v>0</v>
      </c>
      <c r="G17" s="252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2" t="s">
        <v>142</v>
      </c>
      <c r="B18" s="252" t="str">
        <f>'Option1 (base case)'!A112</f>
        <v>sens3</v>
      </c>
      <c r="C18" s="252" t="str">
        <f>'Option1 (base case)'!C112</f>
        <v>Total benefits 10% higher</v>
      </c>
      <c r="D18" s="252" t="str">
        <f t="shared" si="0"/>
        <v>OPTION 1 (base case)sens3</v>
      </c>
      <c r="E18" s="253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2" t="s">
        <v>142</v>
      </c>
      <c r="B19" s="252" t="str">
        <f>'Option1 (base case)'!A113</f>
        <v>sens4</v>
      </c>
      <c r="C19" s="252" t="str">
        <f>'Option1 (base case)'!C113</f>
        <v>Total benefits 10% lower</v>
      </c>
      <c r="D19" s="252" t="str">
        <f t="shared" si="0"/>
        <v>OPTION 1 (base case)sens4</v>
      </c>
      <c r="E19" s="253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2" t="s">
        <v>142</v>
      </c>
      <c r="B20" s="252" t="str">
        <f>'Option1 (base case)'!A114</f>
        <v>sens5</v>
      </c>
      <c r="C20" s="252" t="str">
        <f>'Option1 (base case)'!C114</f>
        <v>Capex 10% higher &amp; Total benefits 10% lower</v>
      </c>
      <c r="D20" s="252" t="str">
        <f t="shared" si="0"/>
        <v>OPTION 1 (base case)sens5</v>
      </c>
      <c r="E20" s="253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2" t="s">
        <v>142</v>
      </c>
      <c r="B21" s="252" t="str">
        <f>'Option1 (base case)'!A115</f>
        <v>sens</v>
      </c>
      <c r="C21" s="252">
        <f>'Option1 (base case)'!C115</f>
        <v>0</v>
      </c>
      <c r="D21" s="252" t="str">
        <f t="shared" si="0"/>
        <v>OPTION 1 (base case)sens</v>
      </c>
      <c r="E21" s="253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2" t="s">
        <v>142</v>
      </c>
      <c r="B22" s="252" t="str">
        <f>'Option1 (base case)'!A116</f>
        <v>sens</v>
      </c>
      <c r="C22" s="252">
        <f>'Option1 (base case)'!C116</f>
        <v>0</v>
      </c>
      <c r="D22" s="252" t="str">
        <f t="shared" si="0"/>
        <v>OPTION 1 (base case)sens</v>
      </c>
      <c r="E22" s="253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2" t="s">
        <v>142</v>
      </c>
      <c r="B23" s="252" t="str">
        <f>'Option1 (base case)'!A117</f>
        <v>sens</v>
      </c>
      <c r="C23" s="252">
        <f>'Option1 (base case)'!C117</f>
        <v>0</v>
      </c>
      <c r="D23" s="252" t="str">
        <f t="shared" si="0"/>
        <v>OPTION 1 (base case)sens</v>
      </c>
      <c r="E23" s="253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4"/>
      <c r="B24" s="244"/>
      <c r="C24" s="244"/>
      <c r="D24" s="244"/>
      <c r="E24" s="244"/>
      <c r="F24" s="244"/>
      <c r="G24" s="245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4"/>
      <c r="B25" s="244"/>
      <c r="C25" s="244"/>
      <c r="D25" s="244"/>
      <c r="E25" s="244"/>
      <c r="F25" s="244"/>
      <c r="G25" s="245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4"/>
      <c r="B26" s="244"/>
      <c r="C26" s="244"/>
      <c r="D26" s="244"/>
      <c r="E26" s="244"/>
      <c r="F26" s="244"/>
      <c r="G26" s="245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4"/>
      <c r="B27" s="244"/>
      <c r="C27" s="244"/>
      <c r="D27" s="244"/>
      <c r="E27" s="244"/>
      <c r="F27" s="244"/>
      <c r="G27" s="245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2" t="s">
        <v>131</v>
      </c>
      <c r="B28" s="252" t="s">
        <v>119</v>
      </c>
      <c r="C28" s="252" t="s">
        <v>188</v>
      </c>
      <c r="D28" s="252" t="str">
        <f>A28&amp;B28</f>
        <v>Option 2NPV</v>
      </c>
      <c r="E28" s="253"/>
      <c r="F28" s="31">
        <f>SUMPRODUCT($H28:$AG28, $H$5:$AG$5)</f>
        <v>7903639.1473479485</v>
      </c>
      <c r="G28" s="245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0</v>
      </c>
      <c r="L28" s="31">
        <f>(INDEX(Option2!L$106:L$117, MATCH($D28, Option2!$G$106:$G$117,0)))*conv_2026*L$7</f>
        <v>-101633.04484350275</v>
      </c>
      <c r="M28" s="31">
        <f>(INDEX(Option2!M$106:M$117, MATCH($D28, Option2!$G$106:$G$117,0)))*conv_2026*M$7</f>
        <v>567041.60879789072</v>
      </c>
      <c r="N28" s="31">
        <f>(INDEX(Option2!N$106:N$117, MATCH($D28, Option2!$G$106:$G$117,0)))*conv_2026*N$7</f>
        <v>588366.23953877715</v>
      </c>
      <c r="O28" s="31">
        <f>(INDEX(Option2!O$106:O$117, MATCH($D28, Option2!$G$106:$G$117,0)))*conv_2026*O$7</f>
        <v>619439.52132228296</v>
      </c>
      <c r="P28" s="31">
        <f>(INDEX(Option2!P$106:P$117, MATCH($D28, Option2!$G$106:$G$117,0)))*conv_2026*P$7</f>
        <v>655475.78745665913</v>
      </c>
      <c r="Q28" s="31">
        <f>(INDEX(Option2!Q$106:Q$117, MATCH($D28, Option2!$G$106:$G$117,0)))*conv_2026*Q$7</f>
        <v>674385.23602642026</v>
      </c>
      <c r="R28" s="31">
        <f>(INDEX(Option2!R$106:R$117, MATCH($D28, Option2!$G$106:$G$117,0)))*conv_2026*R$7</f>
        <v>680283.81690052792</v>
      </c>
      <c r="S28" s="31">
        <f>(INDEX(Option2!S$106:S$117, MATCH($D28, Option2!$G$106:$G$117,0)))*conv_2026*S$7</f>
        <v>686462.63026789401</v>
      </c>
      <c r="T28" s="31">
        <f>(INDEX(Option2!T$106:T$117, MATCH($D28, Option2!$G$106:$G$117,0)))*conv_2026*T$7</f>
        <v>692860.52910666575</v>
      </c>
      <c r="U28" s="31">
        <f>(INDEX(Option2!U$106:U$117, MATCH($D28, Option2!$G$106:$G$117,0)))*conv_2026*U$7</f>
        <v>699433.92043450312</v>
      </c>
      <c r="V28" s="31">
        <f>(INDEX(Option2!V$106:V$117, MATCH($D28, Option2!$G$106:$G$117,0)))*conv_2026*V$7</f>
        <v>706150.45968690806</v>
      </c>
      <c r="W28" s="31">
        <f>(INDEX(Option2!W$106:W$117, MATCH($D28, Option2!$G$106:$G$117,0)))*conv_2026*W$7</f>
        <v>712985.40219362406</v>
      </c>
      <c r="X28" s="31">
        <f>(INDEX(Option2!X$106:X$117, MATCH($D28, Option2!$G$106:$G$117,0)))*conv_2026*X$7</f>
        <v>719919.35352267732</v>
      </c>
      <c r="Y28" s="31">
        <f>(INDEX(Option2!Y$106:Y$117, MATCH($D28, Option2!$G$106:$G$117,0)))*conv_2026*Y$7</f>
        <v>726936.8115547807</v>
      </c>
      <c r="Z28" s="31">
        <f>(INDEX(Option2!Z$106:Z$117, MATCH($D28, Option2!$G$106:$G$117,0)))*conv_2026*Z$7</f>
        <v>734025.18298640545</v>
      </c>
      <c r="AA28" s="31">
        <f>(INDEX(Option2!AA$106:AA$117, MATCH($D28, Option2!$G$106:$G$117,0)))*conv_2026*AA$7</f>
        <v>741174.09759170155</v>
      </c>
      <c r="AB28" s="31">
        <f>(INDEX(Option2!AB$106:AB$117, MATCH($D28, Option2!$G$106:$G$117,0)))*conv_2026*AB$7</f>
        <v>748374.91666505928</v>
      </c>
      <c r="AC28" s="31">
        <f>(INDEX(Option2!AC$106:AC$117, MATCH($D28, Option2!$G$106:$G$117,0)))*conv_2026*AC$7</f>
        <v>755620.37225362973</v>
      </c>
      <c r="AD28" s="31">
        <f>(INDEX(Option2!AD$106:AD$117, MATCH($D28, Option2!$G$106:$G$117,0)))*conv_2026*AD$7</f>
        <v>762904.29694862792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4"/>
      <c r="B29" s="244"/>
      <c r="C29" s="244"/>
      <c r="D29" s="244"/>
      <c r="E29" s="244"/>
      <c r="F29" s="244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</row>
    <row r="30" spans="1:35" s="7" customFormat="1" x14ac:dyDescent="0.2">
      <c r="A30" s="252" t="s">
        <v>131</v>
      </c>
      <c r="B30" s="252" t="str">
        <f>Option2!A110</f>
        <v>sens1</v>
      </c>
      <c r="C30" s="252" t="str">
        <f>Option2!C110</f>
        <v>Capex 10% higher</v>
      </c>
      <c r="D30" s="252" t="str">
        <f t="shared" ref="D30:D37" si="2">A30&amp;B30</f>
        <v>Option 2sens1</v>
      </c>
      <c r="E30" s="253"/>
      <c r="F30" s="31">
        <f>SUMPRODUCT($H30:$AG30, $H$5:$AG$5)</f>
        <v>7538096.1243902063</v>
      </c>
      <c r="G30" s="245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0</v>
      </c>
      <c r="L30" s="31">
        <f>IF($B30=0,0, (INDEX(Option2!L$106:L$117, MATCH($D30, Option2!$G$106:$G$117,0)))*conv_2026*L$7)</f>
        <v>-111796.34932785311</v>
      </c>
      <c r="M30" s="31">
        <f>IF($B30=0,0, (INDEX(Option2!M$106:M$117, MATCH($D30, Option2!$G$106:$G$117,0)))*conv_2026*M$7)</f>
        <v>536551.69534483959</v>
      </c>
      <c r="N30" s="31">
        <f>IF($B30=0,0, (INDEX(Option2!N$106:N$117, MATCH($D30, Option2!$G$106:$G$117,0)))*conv_2026*N$7)</f>
        <v>557876.32608572615</v>
      </c>
      <c r="O30" s="31">
        <f>IF($B30=0,0, (INDEX(Option2!O$106:O$117, MATCH($D30, Option2!$G$106:$G$117,0)))*conv_2026*O$7)</f>
        <v>588949.60786923196</v>
      </c>
      <c r="P30" s="31">
        <f>IF($B30=0,0, (INDEX(Option2!P$106:P$117, MATCH($D30, Option2!$G$106:$G$117,0)))*conv_2026*P$7)</f>
        <v>624985.87400360801</v>
      </c>
      <c r="Q30" s="31">
        <f>IF($B30=0,0, (INDEX(Option2!Q$106:Q$117, MATCH($D30, Option2!$G$106:$G$117,0)))*conv_2026*Q$7)</f>
        <v>643895.32257336925</v>
      </c>
      <c r="R30" s="31">
        <f>IF($B30=0,0, (INDEX(Option2!R$106:R$117, MATCH($D30, Option2!$G$106:$G$117,0)))*conv_2026*R$7)</f>
        <v>649793.90344747691</v>
      </c>
      <c r="S30" s="31">
        <f>IF($B30=0,0, (INDEX(Option2!S$106:S$117, MATCH($D30, Option2!$G$106:$G$117,0)))*conv_2026*S$7)</f>
        <v>655972.71681484301</v>
      </c>
      <c r="T30" s="31">
        <f>IF($B30=0,0, (INDEX(Option2!T$106:T$117, MATCH($D30, Option2!$G$106:$G$117,0)))*conv_2026*T$7)</f>
        <v>662370.61565361486</v>
      </c>
      <c r="U30" s="31">
        <f>IF($B30=0,0, (INDEX(Option2!U$106:U$117, MATCH($D30, Option2!$G$106:$G$117,0)))*conv_2026*U$7)</f>
        <v>668944.00698145211</v>
      </c>
      <c r="V30" s="31">
        <f>IF($B30=0,0, (INDEX(Option2!V$106:V$117, MATCH($D30, Option2!$G$106:$G$117,0)))*conv_2026*V$7)</f>
        <v>675660.54623385705</v>
      </c>
      <c r="W30" s="31">
        <f>IF($B30=0,0, (INDEX(Option2!W$106:W$117, MATCH($D30, Option2!$G$106:$G$117,0)))*conv_2026*W$7)</f>
        <v>682495.48874057306</v>
      </c>
      <c r="X30" s="31">
        <f>IF($B30=0,0, (INDEX(Option2!X$106:X$117, MATCH($D30, Option2!$G$106:$G$117,0)))*conv_2026*X$7)</f>
        <v>689429.44006962632</v>
      </c>
      <c r="Y30" s="31">
        <f>IF($B30=0,0, (INDEX(Option2!Y$106:Y$117, MATCH($D30, Option2!$G$106:$G$117,0)))*conv_2026*Y$7)</f>
        <v>696446.89810172957</v>
      </c>
      <c r="Z30" s="31">
        <f>IF($B30=0,0, (INDEX(Option2!Z$106:Z$117, MATCH($D30, Option2!$G$106:$G$117,0)))*conv_2026*Z$7)</f>
        <v>703535.26953335432</v>
      </c>
      <c r="AA30" s="31">
        <f>IF($B30=0,0, (INDEX(Option2!AA$106:AA$117, MATCH($D30, Option2!$G$106:$G$117,0)))*conv_2026*AA$7)</f>
        <v>710684.18413865042</v>
      </c>
      <c r="AB30" s="31">
        <f>IF($B30=0,0, (INDEX(Option2!AB$106:AB$117, MATCH($D30, Option2!$G$106:$G$117,0)))*conv_2026*AB$7)</f>
        <v>717885.00321200828</v>
      </c>
      <c r="AC30" s="31">
        <f>IF($B30=0,0, (INDEX(Option2!AC$106:AC$117, MATCH($D30, Option2!$G$106:$G$117,0)))*conv_2026*AC$7)</f>
        <v>725130.45880057861</v>
      </c>
      <c r="AD30" s="31">
        <f>IF($B30=0,0, (INDEX(Option2!AD$106:AD$117, MATCH($D30, Option2!$G$106:$G$117,0)))*conv_2026*AD$7)</f>
        <v>732414.3834955768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2" t="s">
        <v>131</v>
      </c>
      <c r="B31" s="252" t="str">
        <f>Option2!A111</f>
        <v>sens2</v>
      </c>
      <c r="C31" s="252" t="str">
        <f>Option2!C111</f>
        <v>Capex 10% lower</v>
      </c>
      <c r="D31" s="252" t="str">
        <f t="shared" si="2"/>
        <v>Option 2sens2</v>
      </c>
      <c r="E31" s="253"/>
      <c r="F31" s="31">
        <f t="shared" ref="F31:F37" si="3">SUMPRODUCT($H31:$AG31, $H$5:$AG$5)</f>
        <v>8269182.1703056963</v>
      </c>
      <c r="G31" s="252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0</v>
      </c>
      <c r="L31" s="31">
        <f>IF($B31=0,0, (INDEX(Option2!L$106:L$117, MATCH($D31, Option2!$G$106:$G$117,0)))*conv_2026*L$7)</f>
        <v>-91469.740359152405</v>
      </c>
      <c r="M31" s="31">
        <f>IF($B31=0,0, (INDEX(Option2!M$106:M$117, MATCH($D31, Option2!$G$106:$G$117,0)))*conv_2026*M$7)</f>
        <v>597531.52225094184</v>
      </c>
      <c r="N31" s="31">
        <f>IF($B31=0,0, (INDEX(Option2!N$106:N$117, MATCH($D31, Option2!$G$106:$G$117,0)))*conv_2026*N$7)</f>
        <v>618856.15299182816</v>
      </c>
      <c r="O31" s="31">
        <f>IF($B31=0,0, (INDEX(Option2!O$106:O$117, MATCH($D31, Option2!$G$106:$G$117,0)))*conv_2026*O$7)</f>
        <v>649929.43477533397</v>
      </c>
      <c r="P31" s="31">
        <f>IF($B31=0,0, (INDEX(Option2!P$106:P$117, MATCH($D31, Option2!$G$106:$G$117,0)))*conv_2026*P$7)</f>
        <v>685965.70090971026</v>
      </c>
      <c r="Q31" s="31">
        <f>IF($B31=0,0, (INDEX(Option2!Q$106:Q$117, MATCH($D31, Option2!$G$106:$G$117,0)))*conv_2026*Q$7)</f>
        <v>704875.14947947126</v>
      </c>
      <c r="R31" s="31">
        <f>IF($B31=0,0, (INDEX(Option2!R$106:R$117, MATCH($D31, Option2!$G$106:$G$117,0)))*conv_2026*R$7)</f>
        <v>710773.73035357893</v>
      </c>
      <c r="S31" s="31">
        <f>IF($B31=0,0, (INDEX(Option2!S$106:S$117, MATCH($D31, Option2!$G$106:$G$117,0)))*conv_2026*S$7)</f>
        <v>716952.54372094502</v>
      </c>
      <c r="T31" s="31">
        <f>IF($B31=0,0, (INDEX(Option2!T$106:T$117, MATCH($D31, Option2!$G$106:$G$117,0)))*conv_2026*T$7)</f>
        <v>723350.44255971676</v>
      </c>
      <c r="U31" s="31">
        <f>IF($B31=0,0, (INDEX(Option2!U$106:U$117, MATCH($D31, Option2!$G$106:$G$117,0)))*conv_2026*U$7)</f>
        <v>729923.83388755401</v>
      </c>
      <c r="V31" s="31">
        <f>IF($B31=0,0, (INDEX(Option2!V$106:V$117, MATCH($D31, Option2!$G$106:$G$117,0)))*conv_2026*V$7)</f>
        <v>736640.37313995906</v>
      </c>
      <c r="W31" s="31">
        <f>IF($B31=0,0, (INDEX(Option2!W$106:W$117, MATCH($D31, Option2!$G$106:$G$117,0)))*conv_2026*W$7)</f>
        <v>743475.31564667495</v>
      </c>
      <c r="X31" s="31">
        <f>IF($B31=0,0, (INDEX(Option2!X$106:X$117, MATCH($D31, Option2!$G$106:$G$117,0)))*conv_2026*X$7)</f>
        <v>750409.26697572833</v>
      </c>
      <c r="Y31" s="31">
        <f>IF($B31=0,0, (INDEX(Option2!Y$106:Y$117, MATCH($D31, Option2!$G$106:$G$117,0)))*conv_2026*Y$7)</f>
        <v>757426.72500783182</v>
      </c>
      <c r="Z31" s="31">
        <f>IF($B31=0,0, (INDEX(Option2!Z$106:Z$117, MATCH($D31, Option2!$G$106:$G$117,0)))*conv_2026*Z$7)</f>
        <v>764515.09643945657</v>
      </c>
      <c r="AA31" s="31">
        <f>IF($B31=0,0, (INDEX(Option2!AA$106:AA$117, MATCH($D31, Option2!$G$106:$G$117,0)))*conv_2026*AA$7)</f>
        <v>771664.01104475267</v>
      </c>
      <c r="AB31" s="31">
        <f>IF($B31=0,0, (INDEX(Option2!AB$106:AB$117, MATCH($D31, Option2!$G$106:$G$117,0)))*conv_2026*AB$7)</f>
        <v>778864.83011811029</v>
      </c>
      <c r="AC31" s="31">
        <f>IF($B31=0,0, (INDEX(Option2!AC$106:AC$117, MATCH($D31, Option2!$G$106:$G$117,0)))*conv_2026*AC$7)</f>
        <v>786110.28570668085</v>
      </c>
      <c r="AD31" s="31">
        <f>IF($B31=0,0, (INDEX(Option2!AD$106:AD$117, MATCH($D31, Option2!$G$106:$G$117,0)))*conv_2026*AD$7)</f>
        <v>793394.21040167904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2" t="s">
        <v>131</v>
      </c>
      <c r="B32" s="252" t="str">
        <f>Option2!A112</f>
        <v>sens3</v>
      </c>
      <c r="C32" s="252" t="str">
        <f>Option2!C112</f>
        <v>Total benefits 10% higher</v>
      </c>
      <c r="D32" s="252" t="str">
        <f t="shared" si="2"/>
        <v>Option 2sens3</v>
      </c>
      <c r="E32" s="253"/>
      <c r="F32" s="31">
        <f t="shared" si="3"/>
        <v>9059546.0850404911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0</v>
      </c>
      <c r="L32" s="31">
        <f>IF($B32=0,0, (INDEX(Option2!L$106:L$117, MATCH($D32, Option2!$G$106:$G$117,0)))*conv_2026*L$7)</f>
        <v>-101633.04484350268</v>
      </c>
      <c r="M32" s="31">
        <f>IF($B32=0,0, (INDEX(Option2!M$106:M$117, MATCH($D32, Option2!$G$106:$G$117,0)))*conv_2026*M$7)</f>
        <v>654235.68313073087</v>
      </c>
      <c r="N32" s="31">
        <f>IF($B32=0,0, (INDEX(Option2!N$106:N$117, MATCH($D32, Option2!$G$106:$G$117,0)))*conv_2026*N$7)</f>
        <v>677692.77694570587</v>
      </c>
      <c r="O32" s="31">
        <f>IF($B32=0,0, (INDEX(Option2!O$106:O$117, MATCH($D32, Option2!$G$106:$G$117,0)))*conv_2026*O$7)</f>
        <v>711873.38690756238</v>
      </c>
      <c r="P32" s="31">
        <f>IF($B32=0,0, (INDEX(Option2!P$106:P$117, MATCH($D32, Option2!$G$106:$G$117,0)))*conv_2026*P$7)</f>
        <v>751513.27965537622</v>
      </c>
      <c r="Q32" s="31">
        <f>IF($B32=0,0, (INDEX(Option2!Q$106:Q$117, MATCH($D32, Option2!$G$106:$G$117,0)))*conv_2026*Q$7)</f>
        <v>772313.67308211327</v>
      </c>
      <c r="R32" s="31">
        <f>IF($B32=0,0, (INDEX(Option2!R$106:R$117, MATCH($D32, Option2!$G$106:$G$117,0)))*conv_2026*R$7)</f>
        <v>778802.11204363173</v>
      </c>
      <c r="S32" s="31">
        <f>IF($B32=0,0, (INDEX(Option2!S$106:S$117, MATCH($D32, Option2!$G$106:$G$117,0)))*conv_2026*S$7)</f>
        <v>785598.80674773455</v>
      </c>
      <c r="T32" s="31">
        <f>IF($B32=0,0, (INDEX(Option2!T$106:T$117, MATCH($D32, Option2!$G$106:$G$117,0)))*conv_2026*T$7)</f>
        <v>792636.49547038344</v>
      </c>
      <c r="U32" s="31">
        <f>IF($B32=0,0, (INDEX(Option2!U$106:U$117, MATCH($D32, Option2!$G$106:$G$117,0)))*conv_2026*U$7)</f>
        <v>799867.22593100439</v>
      </c>
      <c r="V32" s="31">
        <f>IF($B32=0,0, (INDEX(Option2!V$106:V$117, MATCH($D32, Option2!$G$106:$G$117,0)))*conv_2026*V$7)</f>
        <v>807255.41910864995</v>
      </c>
      <c r="W32" s="31">
        <f>IF($B32=0,0, (INDEX(Option2!W$106:W$117, MATCH($D32, Option2!$G$106:$G$117,0)))*conv_2026*W$7)</f>
        <v>814773.85586603754</v>
      </c>
      <c r="X32" s="31">
        <f>IF($B32=0,0, (INDEX(Option2!X$106:X$117, MATCH($D32, Option2!$G$106:$G$117,0)))*conv_2026*X$7)</f>
        <v>822401.20232799603</v>
      </c>
      <c r="Y32" s="31">
        <f>IF($B32=0,0, (INDEX(Option2!Y$106:Y$117, MATCH($D32, Option2!$G$106:$G$117,0)))*conv_2026*Y$7)</f>
        <v>830120.40616330982</v>
      </c>
      <c r="Z32" s="31">
        <f>IF($B32=0,0, (INDEX(Option2!Z$106:Z$117, MATCH($D32, Option2!$G$106:$G$117,0)))*conv_2026*Z$7)</f>
        <v>837917.61473809707</v>
      </c>
      <c r="AA32" s="31">
        <f>IF($B32=0,0, (INDEX(Option2!AA$106:AA$117, MATCH($D32, Option2!$G$106:$G$117,0)))*conv_2026*AA$7)</f>
        <v>845781.42080392281</v>
      </c>
      <c r="AB32" s="31">
        <f>IF($B32=0,0, (INDEX(Option2!AB$106:AB$117, MATCH($D32, Option2!$G$106:$G$117,0)))*conv_2026*AB$7)</f>
        <v>853702.32178461622</v>
      </c>
      <c r="AC32" s="31">
        <f>IF($B32=0,0, (INDEX(Option2!AC$106:AC$117, MATCH($D32, Option2!$G$106:$G$117,0)))*conv_2026*AC$7)</f>
        <v>861672.32293204381</v>
      </c>
      <c r="AD32" s="31">
        <f>IF($B32=0,0, (INDEX(Option2!AD$106:AD$117, MATCH($D32, Option2!$G$106:$G$117,0)))*conv_2026*AD$7)</f>
        <v>869684.64009654184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2" t="s">
        <v>131</v>
      </c>
      <c r="B33" s="252" t="str">
        <f>Option2!A113</f>
        <v>sens4</v>
      </c>
      <c r="C33" s="252" t="str">
        <f>Option2!C113</f>
        <v>Total benefits 10% lower</v>
      </c>
      <c r="D33" s="252" t="str">
        <f t="shared" si="2"/>
        <v>Option 2sens4</v>
      </c>
      <c r="E33" s="253"/>
      <c r="F33" s="31">
        <f t="shared" si="3"/>
        <v>6747732.2096554106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0</v>
      </c>
      <c r="L33" s="31">
        <f>IF($B33=0,0, (INDEX(Option2!L$106:L$117, MATCH($D33, Option2!$G$106:$G$117,0)))*conv_2026*L$7)</f>
        <v>-101633.04484350284</v>
      </c>
      <c r="M33" s="31">
        <f>IF($B33=0,0, (INDEX(Option2!M$106:M$117, MATCH($D33, Option2!$G$106:$G$117,0)))*conv_2026*M$7)</f>
        <v>479847.53446505056</v>
      </c>
      <c r="N33" s="31">
        <f>IF($B33=0,0, (INDEX(Option2!N$106:N$117, MATCH($D33, Option2!$G$106:$G$117,0)))*conv_2026*N$7)</f>
        <v>499039.70213184837</v>
      </c>
      <c r="O33" s="31">
        <f>IF($B33=0,0, (INDEX(Option2!O$106:O$117, MATCH($D33, Option2!$G$106:$G$117,0)))*conv_2026*O$7)</f>
        <v>527005.65573700354</v>
      </c>
      <c r="P33" s="31">
        <f>IF($B33=0,0, (INDEX(Option2!P$106:P$117, MATCH($D33, Option2!$G$106:$G$117,0)))*conv_2026*P$7)</f>
        <v>559438.29525794217</v>
      </c>
      <c r="Q33" s="31">
        <f>IF($B33=0,0, (INDEX(Option2!Q$106:Q$117, MATCH($D33, Option2!$G$106:$G$117,0)))*conv_2026*Q$7)</f>
        <v>576456.79897072713</v>
      </c>
      <c r="R33" s="31">
        <f>IF($B33=0,0, (INDEX(Option2!R$106:R$117, MATCH($D33, Option2!$G$106:$G$117,0)))*conv_2026*R$7)</f>
        <v>581765.52175742411</v>
      </c>
      <c r="S33" s="31">
        <f>IF($B33=0,0, (INDEX(Option2!S$106:S$117, MATCH($D33, Option2!$G$106:$G$117,0)))*conv_2026*S$7)</f>
        <v>587326.45378805348</v>
      </c>
      <c r="T33" s="31">
        <f>IF($B33=0,0, (INDEX(Option2!T$106:T$117, MATCH($D33, Option2!$G$106:$G$117,0)))*conv_2026*T$7)</f>
        <v>593084.56274294818</v>
      </c>
      <c r="U33" s="31">
        <f>IF($B33=0,0, (INDEX(Option2!U$106:U$117, MATCH($D33, Option2!$G$106:$G$117,0)))*conv_2026*U$7)</f>
        <v>599000.61493800173</v>
      </c>
      <c r="V33" s="31">
        <f>IF($B33=0,0, (INDEX(Option2!V$106:V$117, MATCH($D33, Option2!$G$106:$G$117,0)))*conv_2026*V$7)</f>
        <v>605045.50026516628</v>
      </c>
      <c r="W33" s="31">
        <f>IF($B33=0,0, (INDEX(Option2!W$106:W$117, MATCH($D33, Option2!$G$106:$G$117,0)))*conv_2026*W$7)</f>
        <v>611196.94852121046</v>
      </c>
      <c r="X33" s="31">
        <f>IF($B33=0,0, (INDEX(Option2!X$106:X$117, MATCH($D33, Option2!$G$106:$G$117,0)))*conv_2026*X$7)</f>
        <v>617437.5047173585</v>
      </c>
      <c r="Y33" s="31">
        <f>IF($B33=0,0, (INDEX(Option2!Y$106:Y$117, MATCH($D33, Option2!$G$106:$G$117,0)))*conv_2026*Y$7)</f>
        <v>623753.21694625157</v>
      </c>
      <c r="Z33" s="31">
        <f>IF($B33=0,0, (INDEX(Option2!Z$106:Z$117, MATCH($D33, Option2!$G$106:$G$117,0)))*conv_2026*Z$7)</f>
        <v>630132.75123471383</v>
      </c>
      <c r="AA33" s="31">
        <f>IF($B33=0,0, (INDEX(Option2!AA$106:AA$117, MATCH($D33, Option2!$G$106:$G$117,0)))*conv_2026*AA$7)</f>
        <v>636566.77437948028</v>
      </c>
      <c r="AB33" s="31">
        <f>IF($B33=0,0, (INDEX(Option2!AB$106:AB$117, MATCH($D33, Option2!$G$106:$G$117,0)))*conv_2026*AB$7)</f>
        <v>643047.51154550235</v>
      </c>
      <c r="AC33" s="31">
        <f>IF($B33=0,0, (INDEX(Option2!AC$106:AC$117, MATCH($D33, Option2!$G$106:$G$117,0)))*conv_2026*AC$7)</f>
        <v>649568.42157521565</v>
      </c>
      <c r="AD33" s="31">
        <f>IF($B33=0,0, (INDEX(Option2!AD$106:AD$117, MATCH($D33, Option2!$G$106:$G$117,0)))*conv_2026*AD$7)</f>
        <v>656123.95380071399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2" t="s">
        <v>131</v>
      </c>
      <c r="B34" s="252" t="str">
        <f>Option2!A114</f>
        <v>sens5</v>
      </c>
      <c r="C34" s="252" t="str">
        <f>Option2!C114</f>
        <v>Capex 10% higher &amp; Total benefits 10% lower</v>
      </c>
      <c r="D34" s="252" t="str">
        <f t="shared" si="2"/>
        <v>Option 2sens5</v>
      </c>
      <c r="E34" s="253"/>
      <c r="F34" s="31">
        <f t="shared" si="3"/>
        <v>6382189.1866976637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0</v>
      </c>
      <c r="L34" s="31">
        <f>IF($B34=0,0, (INDEX(Option2!L$106:L$117, MATCH($D34, Option2!$G$106:$G$117,0)))*conv_2026*L$7)</f>
        <v>-111796.34932785318</v>
      </c>
      <c r="M34" s="31">
        <f>IF($B34=0,0, (INDEX(Option2!M$106:M$117, MATCH($D34, Option2!$G$106:$G$117,0)))*conv_2026*M$7)</f>
        <v>449357.62101199949</v>
      </c>
      <c r="N34" s="31">
        <f>IF($B34=0,0, (INDEX(Option2!N$106:N$117, MATCH($D34, Option2!$G$106:$G$117,0)))*conv_2026*N$7)</f>
        <v>468549.78867879731</v>
      </c>
      <c r="O34" s="31">
        <f>IF($B34=0,0, (INDEX(Option2!O$106:O$117, MATCH($D34, Option2!$G$106:$G$117,0)))*conv_2026*O$7)</f>
        <v>496515.74228395254</v>
      </c>
      <c r="P34" s="31">
        <f>IF($B34=0,0, (INDEX(Option2!P$106:P$117, MATCH($D34, Option2!$G$106:$G$117,0)))*conv_2026*P$7)</f>
        <v>528948.38180489105</v>
      </c>
      <c r="Q34" s="31">
        <f>IF($B34=0,0, (INDEX(Option2!Q$106:Q$117, MATCH($D34, Option2!$G$106:$G$117,0)))*conv_2026*Q$7)</f>
        <v>545966.88551767601</v>
      </c>
      <c r="R34" s="31">
        <f>IF($B34=0,0, (INDEX(Option2!R$106:R$117, MATCH($D34, Option2!$G$106:$G$117,0)))*conv_2026*R$7)</f>
        <v>551275.60830437299</v>
      </c>
      <c r="S34" s="31">
        <f>IF($B34=0,0, (INDEX(Option2!S$106:S$117, MATCH($D34, Option2!$G$106:$G$117,0)))*conv_2026*S$7)</f>
        <v>556836.54033500247</v>
      </c>
      <c r="T34" s="31">
        <f>IF($B34=0,0, (INDEX(Option2!T$106:T$117, MATCH($D34, Option2!$G$106:$G$117,0)))*conv_2026*T$7)</f>
        <v>562594.64928989706</v>
      </c>
      <c r="U34" s="31">
        <f>IF($B34=0,0, (INDEX(Option2!U$106:U$117, MATCH($D34, Option2!$G$106:$G$117,0)))*conv_2026*U$7)</f>
        <v>568510.70148495061</v>
      </c>
      <c r="V34" s="31">
        <f>IF($B34=0,0, (INDEX(Option2!V$106:V$117, MATCH($D34, Option2!$G$106:$G$117,0)))*conv_2026*V$7)</f>
        <v>574555.58681211516</v>
      </c>
      <c r="W34" s="31">
        <f>IF($B34=0,0, (INDEX(Option2!W$106:W$117, MATCH($D34, Option2!$G$106:$G$117,0)))*conv_2026*W$7)</f>
        <v>580707.03506815957</v>
      </c>
      <c r="X34" s="31">
        <f>IF($B34=0,0, (INDEX(Option2!X$106:X$117, MATCH($D34, Option2!$G$106:$G$117,0)))*conv_2026*X$7)</f>
        <v>586947.59126430738</v>
      </c>
      <c r="Y34" s="31">
        <f>IF($B34=0,0, (INDEX(Option2!Y$106:Y$117, MATCH($D34, Option2!$G$106:$G$117,0)))*conv_2026*Y$7)</f>
        <v>593263.30349320045</v>
      </c>
      <c r="Z34" s="31">
        <f>IF($B34=0,0, (INDEX(Option2!Z$106:Z$117, MATCH($D34, Option2!$G$106:$G$117,0)))*conv_2026*Z$7)</f>
        <v>599642.83778166282</v>
      </c>
      <c r="AA34" s="31">
        <f>IF($B34=0,0, (INDEX(Option2!AA$106:AA$117, MATCH($D34, Option2!$G$106:$G$117,0)))*conv_2026*AA$7)</f>
        <v>606076.86092642928</v>
      </c>
      <c r="AB34" s="31">
        <f>IF($B34=0,0, (INDEX(Option2!AB$106:AB$117, MATCH($D34, Option2!$G$106:$G$117,0)))*conv_2026*AB$7)</f>
        <v>612557.59809245123</v>
      </c>
      <c r="AC34" s="31">
        <f>IF($B34=0,0, (INDEX(Option2!AC$106:AC$117, MATCH($D34, Option2!$G$106:$G$117,0)))*conv_2026*AC$7)</f>
        <v>619078.50812216464</v>
      </c>
      <c r="AD34" s="31">
        <f>IF($B34=0,0, (INDEX(Option2!AD$106:AD$117, MATCH($D34, Option2!$G$106:$G$117,0)))*conv_2026*AD$7)</f>
        <v>625634.04034766299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2" t="s">
        <v>131</v>
      </c>
      <c r="B35" s="252" t="str">
        <f>Option2!A115</f>
        <v>sens</v>
      </c>
      <c r="C35" s="252">
        <f>Option2!C115</f>
        <v>0</v>
      </c>
      <c r="D35" s="252" t="str">
        <f t="shared" si="2"/>
        <v>Option 2sens</v>
      </c>
      <c r="E35" s="253"/>
      <c r="F35" s="31">
        <f t="shared" si="3"/>
        <v>7903639.1473479485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0</v>
      </c>
      <c r="L35" s="31">
        <f>IF($B35=0,0, (INDEX(Option2!L$106:L$117, MATCH($D35, Option2!$G$106:$G$117,0)))*conv_2026*L$7)</f>
        <v>-101633.04484350275</v>
      </c>
      <c r="M35" s="31">
        <f>IF($B35=0,0, (INDEX(Option2!M$106:M$117, MATCH($D35, Option2!$G$106:$G$117,0)))*conv_2026*M$7)</f>
        <v>567041.60879789072</v>
      </c>
      <c r="N35" s="31">
        <f>IF($B35=0,0, (INDEX(Option2!N$106:N$117, MATCH($D35, Option2!$G$106:$G$117,0)))*conv_2026*N$7)</f>
        <v>588366.23953877715</v>
      </c>
      <c r="O35" s="31">
        <f>IF($B35=0,0, (INDEX(Option2!O$106:O$117, MATCH($D35, Option2!$G$106:$G$117,0)))*conv_2026*O$7)</f>
        <v>619439.52132228296</v>
      </c>
      <c r="P35" s="31">
        <f>IF($B35=0,0, (INDEX(Option2!P$106:P$117, MATCH($D35, Option2!$G$106:$G$117,0)))*conv_2026*P$7)</f>
        <v>655475.78745665913</v>
      </c>
      <c r="Q35" s="31">
        <f>IF($B35=0,0, (INDEX(Option2!Q$106:Q$117, MATCH($D35, Option2!$G$106:$G$117,0)))*conv_2026*Q$7)</f>
        <v>674385.23602642026</v>
      </c>
      <c r="R35" s="31">
        <f>IF($B35=0,0, (INDEX(Option2!R$106:R$117, MATCH($D35, Option2!$G$106:$G$117,0)))*conv_2026*R$7)</f>
        <v>680283.81690052792</v>
      </c>
      <c r="S35" s="31">
        <f>IF($B35=0,0, (INDEX(Option2!S$106:S$117, MATCH($D35, Option2!$G$106:$G$117,0)))*conv_2026*S$7)</f>
        <v>686462.63026789401</v>
      </c>
      <c r="T35" s="31">
        <f>IF($B35=0,0, (INDEX(Option2!T$106:T$117, MATCH($D35, Option2!$G$106:$G$117,0)))*conv_2026*T$7)</f>
        <v>692860.52910666575</v>
      </c>
      <c r="U35" s="31">
        <f>IF($B35=0,0, (INDEX(Option2!U$106:U$117, MATCH($D35, Option2!$G$106:$G$117,0)))*conv_2026*U$7)</f>
        <v>699433.92043450312</v>
      </c>
      <c r="V35" s="31">
        <f>IF($B35=0,0, (INDEX(Option2!V$106:V$117, MATCH($D35, Option2!$G$106:$G$117,0)))*conv_2026*V$7)</f>
        <v>706150.45968690806</v>
      </c>
      <c r="W35" s="31">
        <f>IF($B35=0,0, (INDEX(Option2!W$106:W$117, MATCH($D35, Option2!$G$106:$G$117,0)))*conv_2026*W$7)</f>
        <v>712985.40219362406</v>
      </c>
      <c r="X35" s="31">
        <f>IF($B35=0,0, (INDEX(Option2!X$106:X$117, MATCH($D35, Option2!$G$106:$G$117,0)))*conv_2026*X$7)</f>
        <v>719919.35352267732</v>
      </c>
      <c r="Y35" s="31">
        <f>IF($B35=0,0, (INDEX(Option2!Y$106:Y$117, MATCH($D35, Option2!$G$106:$G$117,0)))*conv_2026*Y$7)</f>
        <v>726936.8115547807</v>
      </c>
      <c r="Z35" s="31">
        <f>IF($B35=0,0, (INDEX(Option2!Z$106:Z$117, MATCH($D35, Option2!$G$106:$G$117,0)))*conv_2026*Z$7)</f>
        <v>734025.18298640545</v>
      </c>
      <c r="AA35" s="31">
        <f>IF($B35=0,0, (INDEX(Option2!AA$106:AA$117, MATCH($D35, Option2!$G$106:$G$117,0)))*conv_2026*AA$7)</f>
        <v>741174.09759170155</v>
      </c>
      <c r="AB35" s="31">
        <f>IF($B35=0,0, (INDEX(Option2!AB$106:AB$117, MATCH($D35, Option2!$G$106:$G$117,0)))*conv_2026*AB$7)</f>
        <v>748374.91666505928</v>
      </c>
      <c r="AC35" s="31">
        <f>IF($B35=0,0, (INDEX(Option2!AC$106:AC$117, MATCH($D35, Option2!$G$106:$G$117,0)))*conv_2026*AC$7)</f>
        <v>755620.37225362973</v>
      </c>
      <c r="AD35" s="31">
        <f>IF($B35=0,0, (INDEX(Option2!AD$106:AD$117, MATCH($D35, Option2!$G$106:$G$117,0)))*conv_2026*AD$7)</f>
        <v>762904.29694862792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2" t="s">
        <v>131</v>
      </c>
      <c r="B36" s="252" t="str">
        <f>Option2!A116</f>
        <v>sens</v>
      </c>
      <c r="C36" s="252">
        <f>Option2!C116</f>
        <v>0</v>
      </c>
      <c r="D36" s="252" t="str">
        <f t="shared" si="2"/>
        <v>Option 2sens</v>
      </c>
      <c r="E36" s="253"/>
      <c r="F36" s="31">
        <f t="shared" si="3"/>
        <v>7903639.1473479485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0</v>
      </c>
      <c r="L36" s="31">
        <f>IF($B36=0,0, (INDEX(Option2!L$106:L$117, MATCH($D36, Option2!$G$106:$G$117,0)))*conv_2026*L$7)</f>
        <v>-101633.04484350275</v>
      </c>
      <c r="M36" s="31">
        <f>IF($B36=0,0, (INDEX(Option2!M$106:M$117, MATCH($D36, Option2!$G$106:$G$117,0)))*conv_2026*M$7)</f>
        <v>567041.60879789072</v>
      </c>
      <c r="N36" s="31">
        <f>IF($B36=0,0, (INDEX(Option2!N$106:N$117, MATCH($D36, Option2!$G$106:$G$117,0)))*conv_2026*N$7)</f>
        <v>588366.23953877715</v>
      </c>
      <c r="O36" s="31">
        <f>IF($B36=0,0, (INDEX(Option2!O$106:O$117, MATCH($D36, Option2!$G$106:$G$117,0)))*conv_2026*O$7)</f>
        <v>619439.52132228296</v>
      </c>
      <c r="P36" s="31">
        <f>IF($B36=0,0, (INDEX(Option2!P$106:P$117, MATCH($D36, Option2!$G$106:$G$117,0)))*conv_2026*P$7)</f>
        <v>655475.78745665913</v>
      </c>
      <c r="Q36" s="31">
        <f>IF($B36=0,0, (INDEX(Option2!Q$106:Q$117, MATCH($D36, Option2!$G$106:$G$117,0)))*conv_2026*Q$7)</f>
        <v>674385.23602642026</v>
      </c>
      <c r="R36" s="31">
        <f>IF($B36=0,0, (INDEX(Option2!R$106:R$117, MATCH($D36, Option2!$G$106:$G$117,0)))*conv_2026*R$7)</f>
        <v>680283.81690052792</v>
      </c>
      <c r="S36" s="31">
        <f>IF($B36=0,0, (INDEX(Option2!S$106:S$117, MATCH($D36, Option2!$G$106:$G$117,0)))*conv_2026*S$7)</f>
        <v>686462.63026789401</v>
      </c>
      <c r="T36" s="31">
        <f>IF($B36=0,0, (INDEX(Option2!T$106:T$117, MATCH($D36, Option2!$G$106:$G$117,0)))*conv_2026*T$7)</f>
        <v>692860.52910666575</v>
      </c>
      <c r="U36" s="31">
        <f>IF($B36=0,0, (INDEX(Option2!U$106:U$117, MATCH($D36, Option2!$G$106:$G$117,0)))*conv_2026*U$7)</f>
        <v>699433.92043450312</v>
      </c>
      <c r="V36" s="31">
        <f>IF($B36=0,0, (INDEX(Option2!V$106:V$117, MATCH($D36, Option2!$G$106:$G$117,0)))*conv_2026*V$7)</f>
        <v>706150.45968690806</v>
      </c>
      <c r="W36" s="31">
        <f>IF($B36=0,0, (INDEX(Option2!W$106:W$117, MATCH($D36, Option2!$G$106:$G$117,0)))*conv_2026*W$7)</f>
        <v>712985.40219362406</v>
      </c>
      <c r="X36" s="31">
        <f>IF($B36=0,0, (INDEX(Option2!X$106:X$117, MATCH($D36, Option2!$G$106:$G$117,0)))*conv_2026*X$7)</f>
        <v>719919.35352267732</v>
      </c>
      <c r="Y36" s="31">
        <f>IF($B36=0,0, (INDEX(Option2!Y$106:Y$117, MATCH($D36, Option2!$G$106:$G$117,0)))*conv_2026*Y$7)</f>
        <v>726936.8115547807</v>
      </c>
      <c r="Z36" s="31">
        <f>IF($B36=0,0, (INDEX(Option2!Z$106:Z$117, MATCH($D36, Option2!$G$106:$G$117,0)))*conv_2026*Z$7)</f>
        <v>734025.18298640545</v>
      </c>
      <c r="AA36" s="31">
        <f>IF($B36=0,0, (INDEX(Option2!AA$106:AA$117, MATCH($D36, Option2!$G$106:$G$117,0)))*conv_2026*AA$7)</f>
        <v>741174.09759170155</v>
      </c>
      <c r="AB36" s="31">
        <f>IF($B36=0,0, (INDEX(Option2!AB$106:AB$117, MATCH($D36, Option2!$G$106:$G$117,0)))*conv_2026*AB$7)</f>
        <v>748374.91666505928</v>
      </c>
      <c r="AC36" s="31">
        <f>IF($B36=0,0, (INDEX(Option2!AC$106:AC$117, MATCH($D36, Option2!$G$106:$G$117,0)))*conv_2026*AC$7)</f>
        <v>755620.37225362973</v>
      </c>
      <c r="AD36" s="31">
        <f>IF($B36=0,0, (INDEX(Option2!AD$106:AD$117, MATCH($D36, Option2!$G$106:$G$117,0)))*conv_2026*AD$7)</f>
        <v>762904.29694862792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2" t="s">
        <v>131</v>
      </c>
      <c r="B37" s="252" t="str">
        <f>Option2!A117</f>
        <v>sens</v>
      </c>
      <c r="C37" s="252">
        <f>Option2!C117</f>
        <v>0</v>
      </c>
      <c r="D37" s="252" t="str">
        <f t="shared" si="2"/>
        <v>Option 2sens</v>
      </c>
      <c r="E37" s="253"/>
      <c r="F37" s="31">
        <f t="shared" si="3"/>
        <v>7903639.1473479485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0</v>
      </c>
      <c r="L37" s="31">
        <f>IF($B37=0,0, (INDEX(Option2!L$106:L$117, MATCH($D37, Option2!$G$106:$G$117,0)))*conv_2026*L$7)</f>
        <v>-101633.04484350275</v>
      </c>
      <c r="M37" s="31">
        <f>IF($B37=0,0, (INDEX(Option2!M$106:M$117, MATCH($D37, Option2!$G$106:$G$117,0)))*conv_2026*M$7)</f>
        <v>567041.60879789072</v>
      </c>
      <c r="N37" s="31">
        <f>IF($B37=0,0, (INDEX(Option2!N$106:N$117, MATCH($D37, Option2!$G$106:$G$117,0)))*conv_2026*N$7)</f>
        <v>588366.23953877715</v>
      </c>
      <c r="O37" s="31">
        <f>IF($B37=0,0, (INDEX(Option2!O$106:O$117, MATCH($D37, Option2!$G$106:$G$117,0)))*conv_2026*O$7)</f>
        <v>619439.52132228296</v>
      </c>
      <c r="P37" s="31">
        <f>IF($B37=0,0, (INDEX(Option2!P$106:P$117, MATCH($D37, Option2!$G$106:$G$117,0)))*conv_2026*P$7)</f>
        <v>655475.78745665913</v>
      </c>
      <c r="Q37" s="31">
        <f>IF($B37=0,0, (INDEX(Option2!Q$106:Q$117, MATCH($D37, Option2!$G$106:$G$117,0)))*conv_2026*Q$7)</f>
        <v>674385.23602642026</v>
      </c>
      <c r="R37" s="31">
        <f>IF($B37=0,0, (INDEX(Option2!R$106:R$117, MATCH($D37, Option2!$G$106:$G$117,0)))*conv_2026*R$7)</f>
        <v>680283.81690052792</v>
      </c>
      <c r="S37" s="31">
        <f>IF($B37=0,0, (INDEX(Option2!S$106:S$117, MATCH($D37, Option2!$G$106:$G$117,0)))*conv_2026*S$7)</f>
        <v>686462.63026789401</v>
      </c>
      <c r="T37" s="31">
        <f>IF($B37=0,0, (INDEX(Option2!T$106:T$117, MATCH($D37, Option2!$G$106:$G$117,0)))*conv_2026*T$7)</f>
        <v>692860.52910666575</v>
      </c>
      <c r="U37" s="31">
        <f>IF($B37=0,0, (INDEX(Option2!U$106:U$117, MATCH($D37, Option2!$G$106:$G$117,0)))*conv_2026*U$7)</f>
        <v>699433.92043450312</v>
      </c>
      <c r="V37" s="31">
        <f>IF($B37=0,0, (INDEX(Option2!V$106:V$117, MATCH($D37, Option2!$G$106:$G$117,0)))*conv_2026*V$7)</f>
        <v>706150.45968690806</v>
      </c>
      <c r="W37" s="31">
        <f>IF($B37=0,0, (INDEX(Option2!W$106:W$117, MATCH($D37, Option2!$G$106:$G$117,0)))*conv_2026*W$7)</f>
        <v>712985.40219362406</v>
      </c>
      <c r="X37" s="31">
        <f>IF($B37=0,0, (INDEX(Option2!X$106:X$117, MATCH($D37, Option2!$G$106:$G$117,0)))*conv_2026*X$7)</f>
        <v>719919.35352267732</v>
      </c>
      <c r="Y37" s="31">
        <f>IF($B37=0,0, (INDEX(Option2!Y$106:Y$117, MATCH($D37, Option2!$G$106:$G$117,0)))*conv_2026*Y$7)</f>
        <v>726936.8115547807</v>
      </c>
      <c r="Z37" s="31">
        <f>IF($B37=0,0, (INDEX(Option2!Z$106:Z$117, MATCH($D37, Option2!$G$106:$G$117,0)))*conv_2026*Z$7)</f>
        <v>734025.18298640545</v>
      </c>
      <c r="AA37" s="31">
        <f>IF($B37=0,0, (INDEX(Option2!AA$106:AA$117, MATCH($D37, Option2!$G$106:$G$117,0)))*conv_2026*AA$7)</f>
        <v>741174.09759170155</v>
      </c>
      <c r="AB37" s="31">
        <f>IF($B37=0,0, (INDEX(Option2!AB$106:AB$117, MATCH($D37, Option2!$G$106:$G$117,0)))*conv_2026*AB$7)</f>
        <v>748374.91666505928</v>
      </c>
      <c r="AC37" s="31">
        <f>IF($B37=0,0, (INDEX(Option2!AC$106:AC$117, MATCH($D37, Option2!$G$106:$G$117,0)))*conv_2026*AC$7)</f>
        <v>755620.37225362973</v>
      </c>
      <c r="AD37" s="31">
        <f>IF($B37=0,0, (INDEX(Option2!AD$106:AD$117, MATCH($D37, Option2!$G$106:$G$117,0)))*conv_2026*AD$7)</f>
        <v>762904.29694862792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2"/>
      <c r="B38" s="252"/>
      <c r="C38" s="252"/>
      <c r="D38" s="252"/>
      <c r="E38" s="252"/>
      <c r="F38" s="31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</row>
    <row r="39" spans="1:35" s="8" customFormat="1" x14ac:dyDescent="0.2">
      <c r="A39" s="252"/>
      <c r="B39" s="252"/>
      <c r="C39" s="252"/>
      <c r="D39" s="252"/>
      <c r="E39" s="252"/>
      <c r="F39" s="31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</row>
    <row r="40" spans="1:35" s="8" customFormat="1" x14ac:dyDescent="0.2">
      <c r="A40" s="252"/>
      <c r="B40" s="252"/>
      <c r="C40" s="252"/>
      <c r="D40" s="252"/>
      <c r="E40" s="252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0</v>
      </c>
      <c r="M40" s="31">
        <f>Consol!M50</f>
        <v>0</v>
      </c>
      <c r="N40" s="31">
        <f>Consol!N50</f>
        <v>0</v>
      </c>
      <c r="O40" s="31">
        <f>Consol!O50</f>
        <v>0</v>
      </c>
      <c r="P40" s="31">
        <f>Consol!P50</f>
        <v>0</v>
      </c>
      <c r="Q40" s="31">
        <f>Consol!Q50</f>
        <v>0</v>
      </c>
      <c r="R40" s="31">
        <f>Consol!R50</f>
        <v>0</v>
      </c>
      <c r="S40" s="31">
        <f>Consol!S50</f>
        <v>0</v>
      </c>
      <c r="T40" s="31">
        <f>Consol!T50</f>
        <v>0</v>
      </c>
      <c r="U40" s="31">
        <f>Consol!U50</f>
        <v>0</v>
      </c>
      <c r="V40" s="31">
        <f>Consol!V50</f>
        <v>0</v>
      </c>
      <c r="W40" s="31">
        <f>Consol!W50</f>
        <v>0</v>
      </c>
      <c r="X40" s="31">
        <f>Consol!X50</f>
        <v>0</v>
      </c>
      <c r="Y40" s="31">
        <f>Consol!Y50</f>
        <v>0</v>
      </c>
      <c r="Z40" s="31">
        <f>Consol!Z50</f>
        <v>0</v>
      </c>
      <c r="AA40" s="31">
        <f>Consol!AA50</f>
        <v>0</v>
      </c>
      <c r="AB40" s="31">
        <f>Consol!AB50</f>
        <v>0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2"/>
      <c r="B41" s="252"/>
      <c r="C41" s="252"/>
      <c r="D41" s="252"/>
      <c r="E41" s="252"/>
      <c r="F41" s="31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</row>
    <row r="42" spans="1:35" s="8" customFormat="1" x14ac:dyDescent="0.2">
      <c r="A42" s="252" t="s">
        <v>132</v>
      </c>
      <c r="B42" s="252" t="s">
        <v>119</v>
      </c>
      <c r="C42" s="252" t="s">
        <v>188</v>
      </c>
      <c r="D42" s="252" t="str">
        <f>A42&amp;B42</f>
        <v>Option 3NPV</v>
      </c>
      <c r="E42" s="253"/>
      <c r="F42" s="31">
        <f t="shared" ref="F42:F51" si="4">SUMPRODUCT($H42:$AG42, $H$5:$AG$5)</f>
        <v>0</v>
      </c>
      <c r="G42" s="245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0</v>
      </c>
      <c r="L42" s="31">
        <f>(INDEX(Option3!L$106:L$117, MATCH($D42, Option3!$G$106:$G$117,0)))*conv_2026*L$7</f>
        <v>0</v>
      </c>
      <c r="M42" s="31">
        <f>(INDEX(Option3!M$106:M$117, MATCH($D42, Option3!$G$106:$G$117,0)))*conv_2026*M$7</f>
        <v>0</v>
      </c>
      <c r="N42" s="31">
        <f>(INDEX(Option3!N$106:N$117, MATCH($D42, Option3!$G$106:$G$117,0)))*conv_2026*N$7</f>
        <v>0</v>
      </c>
      <c r="O42" s="31">
        <f>(INDEX(Option3!O$106:O$117, MATCH($D42, Option3!$G$106:$G$117,0)))*conv_2026*O$7</f>
        <v>0</v>
      </c>
      <c r="P42" s="31">
        <f>(INDEX(Option3!P$106:P$117, MATCH($D42, Option3!$G$106:$G$117,0)))*conv_2026*P$7</f>
        <v>0</v>
      </c>
      <c r="Q42" s="31">
        <f>(INDEX(Option3!Q$106:Q$117, MATCH($D42, Option3!$G$106:$G$117,0)))*conv_2026*Q$7</f>
        <v>0</v>
      </c>
      <c r="R42" s="31">
        <f>(INDEX(Option3!R$106:R$117, MATCH($D42, Option3!$G$106:$G$117,0)))*conv_2026*R$7</f>
        <v>0</v>
      </c>
      <c r="S42" s="31">
        <f>(INDEX(Option3!S$106:S$117, MATCH($D42, Option3!$G$106:$G$117,0)))*conv_2026*S$7</f>
        <v>0</v>
      </c>
      <c r="T42" s="31">
        <f>(INDEX(Option3!T$106:T$117, MATCH($D42, Option3!$G$106:$G$117,0)))*conv_2026*T$7</f>
        <v>0</v>
      </c>
      <c r="U42" s="31">
        <f>(INDEX(Option3!U$106:U$117, MATCH($D42, Option3!$G$106:$G$117,0)))*conv_2026*U$7</f>
        <v>0</v>
      </c>
      <c r="V42" s="31">
        <f>(INDEX(Option3!V$106:V$117, MATCH($D42, Option3!$G$106:$G$117,0)))*conv_2026*V$7</f>
        <v>0</v>
      </c>
      <c r="W42" s="31">
        <f>(INDEX(Option3!W$106:W$117, MATCH($D42, Option3!$G$106:$G$117,0)))*conv_2026*W$7</f>
        <v>0</v>
      </c>
      <c r="X42" s="31">
        <f>(INDEX(Option3!X$106:X$117, MATCH($D42, Option3!$G$106:$G$117,0)))*conv_2026*X$7</f>
        <v>0</v>
      </c>
      <c r="Y42" s="31">
        <f>(INDEX(Option3!Y$106:Y$117, MATCH($D42, Option3!$G$106:$G$117,0)))*conv_2026*Y$7</f>
        <v>0</v>
      </c>
      <c r="Z42" s="31">
        <f>(INDEX(Option3!Z$106:Z$117, MATCH($D42, Option3!$G$106:$G$117,0)))*conv_2026*Z$7</f>
        <v>0</v>
      </c>
      <c r="AA42" s="31">
        <f>(INDEX(Option3!AA$106:AA$117, MATCH($D42, Option3!$G$106:$G$117,0)))*conv_2026*AA$7</f>
        <v>0</v>
      </c>
      <c r="AB42" s="31">
        <f>(INDEX(Option3!AB$106:AB$117, MATCH($D42, Option3!$G$106:$G$117,0)))*conv_2026*AB$7</f>
        <v>0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4"/>
      <c r="B43" s="244"/>
      <c r="C43" s="244"/>
      <c r="D43" s="244"/>
      <c r="E43" s="244"/>
      <c r="F43" s="244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7"/>
      <c r="AI43" s="7"/>
    </row>
    <row r="44" spans="1:35" s="8" customFormat="1" x14ac:dyDescent="0.2">
      <c r="A44" s="252" t="s">
        <v>132</v>
      </c>
      <c r="B44" s="252" t="str">
        <f>Option3!A110</f>
        <v>sens1</v>
      </c>
      <c r="C44" s="252" t="str">
        <f>Option3!C110</f>
        <v>Capex 10% higher</v>
      </c>
      <c r="D44" s="252" t="str">
        <f t="shared" ref="D44:D51" si="5">A44&amp;B44</f>
        <v>Option 3sens1</v>
      </c>
      <c r="E44" s="253"/>
      <c r="F44" s="31">
        <f t="shared" si="4"/>
        <v>0</v>
      </c>
      <c r="G44" s="245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0</v>
      </c>
      <c r="L44" s="31">
        <f>(INDEX(Option3!L$106:L$117, MATCH($D44, Option3!$G$106:$G$117,0)))*conv_2026*L$7</f>
        <v>0</v>
      </c>
      <c r="M44" s="31">
        <f>(INDEX(Option3!M$106:M$117, MATCH($D44, Option3!$G$106:$G$117,0)))*conv_2026*M$7</f>
        <v>0</v>
      </c>
      <c r="N44" s="31">
        <f>(INDEX(Option3!N$106:N$117, MATCH($D44, Option3!$G$106:$G$117,0)))*conv_2026*N$7</f>
        <v>0</v>
      </c>
      <c r="O44" s="31">
        <f>(INDEX(Option3!O$106:O$117, MATCH($D44, Option3!$G$106:$G$117,0)))*conv_2026*O$7</f>
        <v>0</v>
      </c>
      <c r="P44" s="31">
        <f>(INDEX(Option3!P$106:P$117, MATCH($D44, Option3!$G$106:$G$117,0)))*conv_2026*P$7</f>
        <v>0</v>
      </c>
      <c r="Q44" s="31">
        <f>(INDEX(Option3!Q$106:Q$117, MATCH($D44, Option3!$G$106:$G$117,0)))*conv_2026*Q$7</f>
        <v>0</v>
      </c>
      <c r="R44" s="31">
        <f>(INDEX(Option3!R$106:R$117, MATCH($D44, Option3!$G$106:$G$117,0)))*conv_2026*R$7</f>
        <v>0</v>
      </c>
      <c r="S44" s="31">
        <f>(INDEX(Option3!S$106:S$117, MATCH($D44, Option3!$G$106:$G$117,0)))*conv_2026*S$7</f>
        <v>0</v>
      </c>
      <c r="T44" s="31">
        <f>(INDEX(Option3!T$106:T$117, MATCH($D44, Option3!$G$106:$G$117,0)))*conv_2026*T$7</f>
        <v>0</v>
      </c>
      <c r="U44" s="31">
        <f>(INDEX(Option3!U$106:U$117, MATCH($D44, Option3!$G$106:$G$117,0)))*conv_2026*U$7</f>
        <v>0</v>
      </c>
      <c r="V44" s="31">
        <f>(INDEX(Option3!V$106:V$117, MATCH($D44, Option3!$G$106:$G$117,0)))*conv_2026*V$7</f>
        <v>0</v>
      </c>
      <c r="W44" s="31">
        <f>(INDEX(Option3!W$106:W$117, MATCH($D44, Option3!$G$106:$G$117,0)))*conv_2026*W$7</f>
        <v>0</v>
      </c>
      <c r="X44" s="31">
        <f>(INDEX(Option3!X$106:X$117, MATCH($D44, Option3!$G$106:$G$117,0)))*conv_2026*X$7</f>
        <v>0</v>
      </c>
      <c r="Y44" s="31">
        <f>(INDEX(Option3!Y$106:Y$117, MATCH($D44, Option3!$G$106:$G$117,0)))*conv_2026*Y$7</f>
        <v>0</v>
      </c>
      <c r="Z44" s="31">
        <f>(INDEX(Option3!Z$106:Z$117, MATCH($D44, Option3!$G$106:$G$117,0)))*conv_2026*Z$7</f>
        <v>0</v>
      </c>
      <c r="AA44" s="31">
        <f>(INDEX(Option3!AA$106:AA$117, MATCH($D44, Option3!$G$106:$G$117,0)))*conv_2026*AA$7</f>
        <v>0</v>
      </c>
      <c r="AB44" s="31">
        <f>(INDEX(Option3!AB$106:AB$117, MATCH($D44, Option3!$G$106:$G$117,0)))*conv_2026*AB$7</f>
        <v>0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2" t="s">
        <v>132</v>
      </c>
      <c r="B45" s="252" t="str">
        <f>Option3!A111</f>
        <v>sens2</v>
      </c>
      <c r="C45" s="252" t="str">
        <f>Option3!C111</f>
        <v>Capex 10% lower</v>
      </c>
      <c r="D45" s="252" t="str">
        <f t="shared" si="5"/>
        <v>Option 3sens2</v>
      </c>
      <c r="E45" s="253"/>
      <c r="F45" s="31">
        <f t="shared" si="4"/>
        <v>0</v>
      </c>
      <c r="G45" s="252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0</v>
      </c>
      <c r="L45" s="31">
        <f>(INDEX(Option3!L$106:L$117, MATCH($D45, Option3!$G$106:$G$117,0)))*conv_2026*L$7</f>
        <v>0</v>
      </c>
      <c r="M45" s="31">
        <f>(INDEX(Option3!M$106:M$117, MATCH($D45, Option3!$G$106:$G$117,0)))*conv_2026*M$7</f>
        <v>0</v>
      </c>
      <c r="N45" s="31">
        <f>(INDEX(Option3!N$106:N$117, MATCH($D45, Option3!$G$106:$G$117,0)))*conv_2026*N$7</f>
        <v>0</v>
      </c>
      <c r="O45" s="31">
        <f>(INDEX(Option3!O$106:O$117, MATCH($D45, Option3!$G$106:$G$117,0)))*conv_2026*O$7</f>
        <v>0</v>
      </c>
      <c r="P45" s="31">
        <f>(INDEX(Option3!P$106:P$117, MATCH($D45, Option3!$G$106:$G$117,0)))*conv_2026*P$7</f>
        <v>0</v>
      </c>
      <c r="Q45" s="31">
        <f>(INDEX(Option3!Q$106:Q$117, MATCH($D45, Option3!$G$106:$G$117,0)))*conv_2026*Q$7</f>
        <v>0</v>
      </c>
      <c r="R45" s="31">
        <f>(INDEX(Option3!R$106:R$117, MATCH($D45, Option3!$G$106:$G$117,0)))*conv_2026*R$7</f>
        <v>0</v>
      </c>
      <c r="S45" s="31">
        <f>(INDEX(Option3!S$106:S$117, MATCH($D45, Option3!$G$106:$G$117,0)))*conv_2026*S$7</f>
        <v>0</v>
      </c>
      <c r="T45" s="31">
        <f>(INDEX(Option3!T$106:T$117, MATCH($D45, Option3!$G$106:$G$117,0)))*conv_2026*T$7</f>
        <v>0</v>
      </c>
      <c r="U45" s="31">
        <f>(INDEX(Option3!U$106:U$117, MATCH($D45, Option3!$G$106:$G$117,0)))*conv_2026*U$7</f>
        <v>0</v>
      </c>
      <c r="V45" s="31">
        <f>(INDEX(Option3!V$106:V$117, MATCH($D45, Option3!$G$106:$G$117,0)))*conv_2026*V$7</f>
        <v>0</v>
      </c>
      <c r="W45" s="31">
        <f>(INDEX(Option3!W$106:W$117, MATCH($D45, Option3!$G$106:$G$117,0)))*conv_2026*W$7</f>
        <v>0</v>
      </c>
      <c r="X45" s="31">
        <f>(INDEX(Option3!X$106:X$117, MATCH($D45, Option3!$G$106:$G$117,0)))*conv_2026*X$7</f>
        <v>0</v>
      </c>
      <c r="Y45" s="31">
        <f>(INDEX(Option3!Y$106:Y$117, MATCH($D45, Option3!$G$106:$G$117,0)))*conv_2026*Y$7</f>
        <v>0</v>
      </c>
      <c r="Z45" s="31">
        <f>(INDEX(Option3!Z$106:Z$117, MATCH($D45, Option3!$G$106:$G$117,0)))*conv_2026*Z$7</f>
        <v>0</v>
      </c>
      <c r="AA45" s="31">
        <f>(INDEX(Option3!AA$106:AA$117, MATCH($D45, Option3!$G$106:$G$117,0)))*conv_2026*AA$7</f>
        <v>0</v>
      </c>
      <c r="AB45" s="31">
        <f>(INDEX(Option3!AB$106:AB$117, MATCH($D45, Option3!$G$106:$G$117,0)))*conv_2026*AB$7</f>
        <v>0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2" t="s">
        <v>132</v>
      </c>
      <c r="B46" s="252" t="str">
        <f>Option3!A112</f>
        <v>sens3</v>
      </c>
      <c r="C46" s="252" t="str">
        <f>Option3!C112</f>
        <v>Total benefits 10% higher</v>
      </c>
      <c r="D46" s="252" t="str">
        <f t="shared" si="5"/>
        <v>Option 3sens3</v>
      </c>
      <c r="E46" s="253"/>
      <c r="F46" s="31">
        <f t="shared" si="4"/>
        <v>0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0</v>
      </c>
      <c r="L46" s="31">
        <f>(INDEX(Option3!L$106:L$117, MATCH($D46, Option3!$G$106:$G$117,0)))*conv_2026*L$7</f>
        <v>0</v>
      </c>
      <c r="M46" s="31">
        <f>(INDEX(Option3!M$106:M$117, MATCH($D46, Option3!$G$106:$G$117,0)))*conv_2026*M$7</f>
        <v>0</v>
      </c>
      <c r="N46" s="31">
        <f>(INDEX(Option3!N$106:N$117, MATCH($D46, Option3!$G$106:$G$117,0)))*conv_2026*N$7</f>
        <v>0</v>
      </c>
      <c r="O46" s="31">
        <f>(INDEX(Option3!O$106:O$117, MATCH($D46, Option3!$G$106:$G$117,0)))*conv_2026*O$7</f>
        <v>0</v>
      </c>
      <c r="P46" s="31">
        <f>(INDEX(Option3!P$106:P$117, MATCH($D46, Option3!$G$106:$G$117,0)))*conv_2026*P$7</f>
        <v>0</v>
      </c>
      <c r="Q46" s="31">
        <f>(INDEX(Option3!Q$106:Q$117, MATCH($D46, Option3!$G$106:$G$117,0)))*conv_2026*Q$7</f>
        <v>0</v>
      </c>
      <c r="R46" s="31">
        <f>(INDEX(Option3!R$106:R$117, MATCH($D46, Option3!$G$106:$G$117,0)))*conv_2026*R$7</f>
        <v>0</v>
      </c>
      <c r="S46" s="31">
        <f>(INDEX(Option3!S$106:S$117, MATCH($D46, Option3!$G$106:$G$117,0)))*conv_2026*S$7</f>
        <v>0</v>
      </c>
      <c r="T46" s="31">
        <f>(INDEX(Option3!T$106:T$117, MATCH($D46, Option3!$G$106:$G$117,0)))*conv_2026*T$7</f>
        <v>0</v>
      </c>
      <c r="U46" s="31">
        <f>(INDEX(Option3!U$106:U$117, MATCH($D46, Option3!$G$106:$G$117,0)))*conv_2026*U$7</f>
        <v>0</v>
      </c>
      <c r="V46" s="31">
        <f>(INDEX(Option3!V$106:V$117, MATCH($D46, Option3!$G$106:$G$117,0)))*conv_2026*V$7</f>
        <v>0</v>
      </c>
      <c r="W46" s="31">
        <f>(INDEX(Option3!W$106:W$117, MATCH($D46, Option3!$G$106:$G$117,0)))*conv_2026*W$7</f>
        <v>0</v>
      </c>
      <c r="X46" s="31">
        <f>(INDEX(Option3!X$106:X$117, MATCH($D46, Option3!$G$106:$G$117,0)))*conv_2026*X$7</f>
        <v>0</v>
      </c>
      <c r="Y46" s="31">
        <f>(INDEX(Option3!Y$106:Y$117, MATCH($D46, Option3!$G$106:$G$117,0)))*conv_2026*Y$7</f>
        <v>0</v>
      </c>
      <c r="Z46" s="31">
        <f>(INDEX(Option3!Z$106:Z$117, MATCH($D46, Option3!$G$106:$G$117,0)))*conv_2026*Z$7</f>
        <v>0</v>
      </c>
      <c r="AA46" s="31">
        <f>(INDEX(Option3!AA$106:AA$117, MATCH($D46, Option3!$G$106:$G$117,0)))*conv_2026*AA$7</f>
        <v>0</v>
      </c>
      <c r="AB46" s="31">
        <f>(INDEX(Option3!AB$106:AB$117, MATCH($D46, Option3!$G$106:$G$117,0)))*conv_2026*AB$7</f>
        <v>0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2" t="s">
        <v>132</v>
      </c>
      <c r="B47" s="252" t="str">
        <f>Option3!A113</f>
        <v>sens4</v>
      </c>
      <c r="C47" s="252" t="str">
        <f>Option3!C113</f>
        <v>Total benefits 10% lower</v>
      </c>
      <c r="D47" s="252" t="str">
        <f t="shared" si="5"/>
        <v>Option 3sens4</v>
      </c>
      <c r="E47" s="253"/>
      <c r="F47" s="31">
        <f t="shared" si="4"/>
        <v>0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0</v>
      </c>
      <c r="L47" s="31">
        <f>(INDEX(Option3!L$106:L$117, MATCH($D47, Option3!$G$106:$G$117,0)))*conv_2026*L$7</f>
        <v>0</v>
      </c>
      <c r="M47" s="31">
        <f>(INDEX(Option3!M$106:M$117, MATCH($D47, Option3!$G$106:$G$117,0)))*conv_2026*M$7</f>
        <v>0</v>
      </c>
      <c r="N47" s="31">
        <f>(INDEX(Option3!N$106:N$117, MATCH($D47, Option3!$G$106:$G$117,0)))*conv_2026*N$7</f>
        <v>0</v>
      </c>
      <c r="O47" s="31">
        <f>(INDEX(Option3!O$106:O$117, MATCH($D47, Option3!$G$106:$G$117,0)))*conv_2026*O$7</f>
        <v>0</v>
      </c>
      <c r="P47" s="31">
        <f>(INDEX(Option3!P$106:P$117, MATCH($D47, Option3!$G$106:$G$117,0)))*conv_2026*P$7</f>
        <v>0</v>
      </c>
      <c r="Q47" s="31">
        <f>(INDEX(Option3!Q$106:Q$117, MATCH($D47, Option3!$G$106:$G$117,0)))*conv_2026*Q$7</f>
        <v>0</v>
      </c>
      <c r="R47" s="31">
        <f>(INDEX(Option3!R$106:R$117, MATCH($D47, Option3!$G$106:$G$117,0)))*conv_2026*R$7</f>
        <v>0</v>
      </c>
      <c r="S47" s="31">
        <f>(INDEX(Option3!S$106:S$117, MATCH($D47, Option3!$G$106:$G$117,0)))*conv_2026*S$7</f>
        <v>0</v>
      </c>
      <c r="T47" s="31">
        <f>(INDEX(Option3!T$106:T$117, MATCH($D47, Option3!$G$106:$G$117,0)))*conv_2026*T$7</f>
        <v>0</v>
      </c>
      <c r="U47" s="31">
        <f>(INDEX(Option3!U$106:U$117, MATCH($D47, Option3!$G$106:$G$117,0)))*conv_2026*U$7</f>
        <v>0</v>
      </c>
      <c r="V47" s="31">
        <f>(INDEX(Option3!V$106:V$117, MATCH($D47, Option3!$G$106:$G$117,0)))*conv_2026*V$7</f>
        <v>0</v>
      </c>
      <c r="W47" s="31">
        <f>(INDEX(Option3!W$106:W$117, MATCH($D47, Option3!$G$106:$G$117,0)))*conv_2026*W$7</f>
        <v>0</v>
      </c>
      <c r="X47" s="31">
        <f>(INDEX(Option3!X$106:X$117, MATCH($D47, Option3!$G$106:$G$117,0)))*conv_2026*X$7</f>
        <v>0</v>
      </c>
      <c r="Y47" s="31">
        <f>(INDEX(Option3!Y$106:Y$117, MATCH($D47, Option3!$G$106:$G$117,0)))*conv_2026*Y$7</f>
        <v>0</v>
      </c>
      <c r="Z47" s="31">
        <f>(INDEX(Option3!Z$106:Z$117, MATCH($D47, Option3!$G$106:$G$117,0)))*conv_2026*Z$7</f>
        <v>0</v>
      </c>
      <c r="AA47" s="31">
        <f>(INDEX(Option3!AA$106:AA$117, MATCH($D47, Option3!$G$106:$G$117,0)))*conv_2026*AA$7</f>
        <v>0</v>
      </c>
      <c r="AB47" s="31">
        <f>(INDEX(Option3!AB$106:AB$117, MATCH($D47, Option3!$G$106:$G$117,0)))*conv_2026*AB$7</f>
        <v>0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2" t="s">
        <v>132</v>
      </c>
      <c r="B48" s="252" t="str">
        <f>Option3!A114</f>
        <v>sens5</v>
      </c>
      <c r="C48" s="252" t="str">
        <f>Option3!C114</f>
        <v>Capex 10% higher &amp; Total benefits 10% lower</v>
      </c>
      <c r="D48" s="252" t="str">
        <f t="shared" si="5"/>
        <v>Option 3sens5</v>
      </c>
      <c r="E48" s="253"/>
      <c r="F48" s="31">
        <f t="shared" si="4"/>
        <v>0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0</v>
      </c>
      <c r="L48" s="31">
        <f>(INDEX(Option3!L$106:L$117, MATCH($D48, Option3!$G$106:$G$117,0)))*conv_2026*L$7</f>
        <v>0</v>
      </c>
      <c r="M48" s="31">
        <f>(INDEX(Option3!M$106:M$117, MATCH($D48, Option3!$G$106:$G$117,0)))*conv_2026*M$7</f>
        <v>0</v>
      </c>
      <c r="N48" s="31">
        <f>(INDEX(Option3!N$106:N$117, MATCH($D48, Option3!$G$106:$G$117,0)))*conv_2026*N$7</f>
        <v>0</v>
      </c>
      <c r="O48" s="31">
        <f>(INDEX(Option3!O$106:O$117, MATCH($D48, Option3!$G$106:$G$117,0)))*conv_2026*O$7</f>
        <v>0</v>
      </c>
      <c r="P48" s="31">
        <f>(INDEX(Option3!P$106:P$117, MATCH($D48, Option3!$G$106:$G$117,0)))*conv_2026*P$7</f>
        <v>0</v>
      </c>
      <c r="Q48" s="31">
        <f>(INDEX(Option3!Q$106:Q$117, MATCH($D48, Option3!$G$106:$G$117,0)))*conv_2026*Q$7</f>
        <v>0</v>
      </c>
      <c r="R48" s="31">
        <f>(INDEX(Option3!R$106:R$117, MATCH($D48, Option3!$G$106:$G$117,0)))*conv_2026*R$7</f>
        <v>0</v>
      </c>
      <c r="S48" s="31">
        <f>(INDEX(Option3!S$106:S$117, MATCH($D48, Option3!$G$106:$G$117,0)))*conv_2026*S$7</f>
        <v>0</v>
      </c>
      <c r="T48" s="31">
        <f>(INDEX(Option3!T$106:T$117, MATCH($D48, Option3!$G$106:$G$117,0)))*conv_2026*T$7</f>
        <v>0</v>
      </c>
      <c r="U48" s="31">
        <f>(INDEX(Option3!U$106:U$117, MATCH($D48, Option3!$G$106:$G$117,0)))*conv_2026*U$7</f>
        <v>0</v>
      </c>
      <c r="V48" s="31">
        <f>(INDEX(Option3!V$106:V$117, MATCH($D48, Option3!$G$106:$G$117,0)))*conv_2026*V$7</f>
        <v>0</v>
      </c>
      <c r="W48" s="31">
        <f>(INDEX(Option3!W$106:W$117, MATCH($D48, Option3!$G$106:$G$117,0)))*conv_2026*W$7</f>
        <v>0</v>
      </c>
      <c r="X48" s="31">
        <f>(INDEX(Option3!X$106:X$117, MATCH($D48, Option3!$G$106:$G$117,0)))*conv_2026*X$7</f>
        <v>0</v>
      </c>
      <c r="Y48" s="31">
        <f>(INDEX(Option3!Y$106:Y$117, MATCH($D48, Option3!$G$106:$G$117,0)))*conv_2026*Y$7</f>
        <v>0</v>
      </c>
      <c r="Z48" s="31">
        <f>(INDEX(Option3!Z$106:Z$117, MATCH($D48, Option3!$G$106:$G$117,0)))*conv_2026*Z$7</f>
        <v>0</v>
      </c>
      <c r="AA48" s="31">
        <f>(INDEX(Option3!AA$106:AA$117, MATCH($D48, Option3!$G$106:$G$117,0)))*conv_2026*AA$7</f>
        <v>0</v>
      </c>
      <c r="AB48" s="31">
        <f>(INDEX(Option3!AB$106:AB$117, MATCH($D48, Option3!$G$106:$G$117,0)))*conv_2026*AB$7</f>
        <v>0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2" t="s">
        <v>132</v>
      </c>
      <c r="B49" s="252" t="str">
        <f>Option3!A115</f>
        <v>sens</v>
      </c>
      <c r="C49" s="252">
        <f>Option3!C115</f>
        <v>0</v>
      </c>
      <c r="D49" s="252" t="str">
        <f t="shared" si="5"/>
        <v>Option 3sens</v>
      </c>
      <c r="E49" s="253"/>
      <c r="F49" s="31">
        <f t="shared" si="4"/>
        <v>0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0</v>
      </c>
      <c r="L49" s="31">
        <f>(INDEX(Option3!L$106:L$117, MATCH($D49, Option3!$G$106:$G$117,0)))*conv_2026*L$7</f>
        <v>0</v>
      </c>
      <c r="M49" s="31">
        <f>(INDEX(Option3!M$106:M$117, MATCH($D49, Option3!$G$106:$G$117,0)))*conv_2026*M$7</f>
        <v>0</v>
      </c>
      <c r="N49" s="31">
        <f>(INDEX(Option3!N$106:N$117, MATCH($D49, Option3!$G$106:$G$117,0)))*conv_2026*N$7</f>
        <v>0</v>
      </c>
      <c r="O49" s="31">
        <f>(INDEX(Option3!O$106:O$117, MATCH($D49, Option3!$G$106:$G$117,0)))*conv_2026*O$7</f>
        <v>0</v>
      </c>
      <c r="P49" s="31">
        <f>(INDEX(Option3!P$106:P$117, MATCH($D49, Option3!$G$106:$G$117,0)))*conv_2026*P$7</f>
        <v>0</v>
      </c>
      <c r="Q49" s="31">
        <f>(INDEX(Option3!Q$106:Q$117, MATCH($D49, Option3!$G$106:$G$117,0)))*conv_2026*Q$7</f>
        <v>0</v>
      </c>
      <c r="R49" s="31">
        <f>(INDEX(Option3!R$106:R$117, MATCH($D49, Option3!$G$106:$G$117,0)))*conv_2026*R$7</f>
        <v>0</v>
      </c>
      <c r="S49" s="31">
        <f>(INDEX(Option3!S$106:S$117, MATCH($D49, Option3!$G$106:$G$117,0)))*conv_2026*S$7</f>
        <v>0</v>
      </c>
      <c r="T49" s="31">
        <f>(INDEX(Option3!T$106:T$117, MATCH($D49, Option3!$G$106:$G$117,0)))*conv_2026*T$7</f>
        <v>0</v>
      </c>
      <c r="U49" s="31">
        <f>(INDEX(Option3!U$106:U$117, MATCH($D49, Option3!$G$106:$G$117,0)))*conv_2026*U$7</f>
        <v>0</v>
      </c>
      <c r="V49" s="31">
        <f>(INDEX(Option3!V$106:V$117, MATCH($D49, Option3!$G$106:$G$117,0)))*conv_2026*V$7</f>
        <v>0</v>
      </c>
      <c r="W49" s="31">
        <f>(INDEX(Option3!W$106:W$117, MATCH($D49, Option3!$G$106:$G$117,0)))*conv_2026*W$7</f>
        <v>0</v>
      </c>
      <c r="X49" s="31">
        <f>(INDEX(Option3!X$106:X$117, MATCH($D49, Option3!$G$106:$G$117,0)))*conv_2026*X$7</f>
        <v>0</v>
      </c>
      <c r="Y49" s="31">
        <f>(INDEX(Option3!Y$106:Y$117, MATCH($D49, Option3!$G$106:$G$117,0)))*conv_2026*Y$7</f>
        <v>0</v>
      </c>
      <c r="Z49" s="31">
        <f>(INDEX(Option3!Z$106:Z$117, MATCH($D49, Option3!$G$106:$G$117,0)))*conv_2026*Z$7</f>
        <v>0</v>
      </c>
      <c r="AA49" s="31">
        <f>(INDEX(Option3!AA$106:AA$117, MATCH($D49, Option3!$G$106:$G$117,0)))*conv_2026*AA$7</f>
        <v>0</v>
      </c>
      <c r="AB49" s="31">
        <f>(INDEX(Option3!AB$106:AB$117, MATCH($D49, Option3!$G$106:$G$117,0)))*conv_2026*AB$7</f>
        <v>0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2" t="s">
        <v>132</v>
      </c>
      <c r="B50" s="252" t="str">
        <f>Option3!A116</f>
        <v>sens</v>
      </c>
      <c r="C50" s="252">
        <f>Option3!C116</f>
        <v>0</v>
      </c>
      <c r="D50" s="252" t="str">
        <f t="shared" si="5"/>
        <v>Option 3sens</v>
      </c>
      <c r="E50" s="253"/>
      <c r="F50" s="31">
        <f t="shared" si="4"/>
        <v>0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0</v>
      </c>
      <c r="L50" s="31">
        <f>(INDEX(Option3!L$106:L$117, MATCH($D50, Option3!$G$106:$G$117,0)))*conv_2026*L$7</f>
        <v>0</v>
      </c>
      <c r="M50" s="31">
        <f>(INDEX(Option3!M$106:M$117, MATCH($D50, Option3!$G$106:$G$117,0)))*conv_2026*M$7</f>
        <v>0</v>
      </c>
      <c r="N50" s="31">
        <f>(INDEX(Option3!N$106:N$117, MATCH($D50, Option3!$G$106:$G$117,0)))*conv_2026*N$7</f>
        <v>0</v>
      </c>
      <c r="O50" s="31">
        <f>(INDEX(Option3!O$106:O$117, MATCH($D50, Option3!$G$106:$G$117,0)))*conv_2026*O$7</f>
        <v>0</v>
      </c>
      <c r="P50" s="31">
        <f>(INDEX(Option3!P$106:P$117, MATCH($D50, Option3!$G$106:$G$117,0)))*conv_2026*P$7</f>
        <v>0</v>
      </c>
      <c r="Q50" s="31">
        <f>(INDEX(Option3!Q$106:Q$117, MATCH($D50, Option3!$G$106:$G$117,0)))*conv_2026*Q$7</f>
        <v>0</v>
      </c>
      <c r="R50" s="31">
        <f>(INDEX(Option3!R$106:R$117, MATCH($D50, Option3!$G$106:$G$117,0)))*conv_2026*R$7</f>
        <v>0</v>
      </c>
      <c r="S50" s="31">
        <f>(INDEX(Option3!S$106:S$117, MATCH($D50, Option3!$G$106:$G$117,0)))*conv_2026*S$7</f>
        <v>0</v>
      </c>
      <c r="T50" s="31">
        <f>(INDEX(Option3!T$106:T$117, MATCH($D50, Option3!$G$106:$G$117,0)))*conv_2026*T$7</f>
        <v>0</v>
      </c>
      <c r="U50" s="31">
        <f>(INDEX(Option3!U$106:U$117, MATCH($D50, Option3!$G$106:$G$117,0)))*conv_2026*U$7</f>
        <v>0</v>
      </c>
      <c r="V50" s="31">
        <f>(INDEX(Option3!V$106:V$117, MATCH($D50, Option3!$G$106:$G$117,0)))*conv_2026*V$7</f>
        <v>0</v>
      </c>
      <c r="W50" s="31">
        <f>(INDEX(Option3!W$106:W$117, MATCH($D50, Option3!$G$106:$G$117,0)))*conv_2026*W$7</f>
        <v>0</v>
      </c>
      <c r="X50" s="31">
        <f>(INDEX(Option3!X$106:X$117, MATCH($D50, Option3!$G$106:$G$117,0)))*conv_2026*X$7</f>
        <v>0</v>
      </c>
      <c r="Y50" s="31">
        <f>(INDEX(Option3!Y$106:Y$117, MATCH($D50, Option3!$G$106:$G$117,0)))*conv_2026*Y$7</f>
        <v>0</v>
      </c>
      <c r="Z50" s="31">
        <f>(INDEX(Option3!Z$106:Z$117, MATCH($D50, Option3!$G$106:$G$117,0)))*conv_2026*Z$7</f>
        <v>0</v>
      </c>
      <c r="AA50" s="31">
        <f>(INDEX(Option3!AA$106:AA$117, MATCH($D50, Option3!$G$106:$G$117,0)))*conv_2026*AA$7</f>
        <v>0</v>
      </c>
      <c r="AB50" s="31">
        <f>(INDEX(Option3!AB$106:AB$117, MATCH($D50, Option3!$G$106:$G$117,0)))*conv_2026*AB$7</f>
        <v>0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2" t="s">
        <v>132</v>
      </c>
      <c r="B51" s="252" t="str">
        <f>Option3!A117</f>
        <v>sens</v>
      </c>
      <c r="C51" s="252">
        <f>Option3!C117</f>
        <v>0</v>
      </c>
      <c r="D51" s="252" t="str">
        <f t="shared" si="5"/>
        <v>Option 3sens</v>
      </c>
      <c r="E51" s="253"/>
      <c r="F51" s="31">
        <f t="shared" si="4"/>
        <v>0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0</v>
      </c>
      <c r="L51" s="31">
        <f>(INDEX(Option3!L$106:L$117, MATCH($D51, Option3!$G$106:$G$117,0)))*conv_2026*L$7</f>
        <v>0</v>
      </c>
      <c r="M51" s="31">
        <f>(INDEX(Option3!M$106:M$117, MATCH($D51, Option3!$G$106:$G$117,0)))*conv_2026*M$7</f>
        <v>0</v>
      </c>
      <c r="N51" s="31">
        <f>(INDEX(Option3!N$106:N$117, MATCH($D51, Option3!$G$106:$G$117,0)))*conv_2026*N$7</f>
        <v>0</v>
      </c>
      <c r="O51" s="31">
        <f>(INDEX(Option3!O$106:O$117, MATCH($D51, Option3!$G$106:$G$117,0)))*conv_2026*O$7</f>
        <v>0</v>
      </c>
      <c r="P51" s="31">
        <f>(INDEX(Option3!P$106:P$117, MATCH($D51, Option3!$G$106:$G$117,0)))*conv_2026*P$7</f>
        <v>0</v>
      </c>
      <c r="Q51" s="31">
        <f>(INDEX(Option3!Q$106:Q$117, MATCH($D51, Option3!$G$106:$G$117,0)))*conv_2026*Q$7</f>
        <v>0</v>
      </c>
      <c r="R51" s="31">
        <f>(INDEX(Option3!R$106:R$117, MATCH($D51, Option3!$G$106:$G$117,0)))*conv_2026*R$7</f>
        <v>0</v>
      </c>
      <c r="S51" s="31">
        <f>(INDEX(Option3!S$106:S$117, MATCH($D51, Option3!$G$106:$G$117,0)))*conv_2026*S$7</f>
        <v>0</v>
      </c>
      <c r="T51" s="31">
        <f>(INDEX(Option3!T$106:T$117, MATCH($D51, Option3!$G$106:$G$117,0)))*conv_2026*T$7</f>
        <v>0</v>
      </c>
      <c r="U51" s="31">
        <f>(INDEX(Option3!U$106:U$117, MATCH($D51, Option3!$G$106:$G$117,0)))*conv_2026*U$7</f>
        <v>0</v>
      </c>
      <c r="V51" s="31">
        <f>(INDEX(Option3!V$106:V$117, MATCH($D51, Option3!$G$106:$G$117,0)))*conv_2026*V$7</f>
        <v>0</v>
      </c>
      <c r="W51" s="31">
        <f>(INDEX(Option3!W$106:W$117, MATCH($D51, Option3!$G$106:$G$117,0)))*conv_2026*W$7</f>
        <v>0</v>
      </c>
      <c r="X51" s="31">
        <f>(INDEX(Option3!X$106:X$117, MATCH($D51, Option3!$G$106:$G$117,0)))*conv_2026*X$7</f>
        <v>0</v>
      </c>
      <c r="Y51" s="31">
        <f>(INDEX(Option3!Y$106:Y$117, MATCH($D51, Option3!$G$106:$G$117,0)))*conv_2026*Y$7</f>
        <v>0</v>
      </c>
      <c r="Z51" s="31">
        <f>(INDEX(Option3!Z$106:Z$117, MATCH($D51, Option3!$G$106:$G$117,0)))*conv_2026*Z$7</f>
        <v>0</v>
      </c>
      <c r="AA51" s="31">
        <f>(INDEX(Option3!AA$106:AA$117, MATCH($D51, Option3!$G$106:$G$117,0)))*conv_2026*AA$7</f>
        <v>0</v>
      </c>
      <c r="AB51" s="31">
        <f>(INDEX(Option3!AB$106:AB$117, MATCH($D51, Option3!$G$106:$G$117,0)))*conv_2026*AB$7</f>
        <v>0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2"/>
      <c r="B52" s="252"/>
      <c r="C52" s="252"/>
      <c r="D52" s="252"/>
      <c r="E52" s="252"/>
      <c r="F52" s="3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35" s="8" customFormat="1" x14ac:dyDescent="0.2">
      <c r="A53" s="252"/>
      <c r="B53" s="252"/>
      <c r="C53" s="252"/>
      <c r="D53" s="252"/>
      <c r="E53" s="252"/>
      <c r="F53" s="31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</row>
    <row r="54" spans="1:35" s="8" customFormat="1" x14ac:dyDescent="0.2">
      <c r="A54" s="252"/>
      <c r="B54" s="252"/>
      <c r="C54" s="252"/>
      <c r="D54" s="252"/>
      <c r="E54" s="252"/>
      <c r="F54" s="31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</row>
    <row r="55" spans="1:35" s="8" customFormat="1" x14ac:dyDescent="0.2">
      <c r="A55" s="252"/>
      <c r="B55" s="252"/>
      <c r="C55" s="252"/>
      <c r="D55" s="252"/>
      <c r="E55" s="252"/>
      <c r="F55" s="31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</row>
    <row r="56" spans="1:35" s="8" customFormat="1" x14ac:dyDescent="0.2">
      <c r="A56" s="252" t="s">
        <v>133</v>
      </c>
      <c r="B56" s="252" t="s">
        <v>119</v>
      </c>
      <c r="C56" s="252" t="s">
        <v>188</v>
      </c>
      <c r="D56" s="252" t="str">
        <f>A56&amp;B56</f>
        <v>Option 4NPV</v>
      </c>
      <c r="E56" s="253"/>
      <c r="F56" s="31">
        <f t="shared" ref="F56:F65" si="6">SUMPRODUCT($H56:$AG56, $H$5:$AG$5)</f>
        <v>0</v>
      </c>
      <c r="G56" s="245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4"/>
      <c r="B57" s="244"/>
      <c r="C57" s="244"/>
      <c r="D57" s="244"/>
      <c r="E57" s="244"/>
      <c r="F57" s="244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7"/>
      <c r="AI57" s="7"/>
    </row>
    <row r="58" spans="1:35" s="8" customFormat="1" x14ac:dyDescent="0.2">
      <c r="A58" s="252" t="s">
        <v>133</v>
      </c>
      <c r="B58" s="252" t="str">
        <f>Option4!A110</f>
        <v>sens1</v>
      </c>
      <c r="C58" s="252" t="str">
        <f>Option4!C110</f>
        <v>Capex 10% higher</v>
      </c>
      <c r="D58" s="252" t="str">
        <f t="shared" ref="D58:D65" si="7">A58&amp;B58</f>
        <v>Option 4sens1</v>
      </c>
      <c r="E58" s="253"/>
      <c r="F58" s="31">
        <f t="shared" si="6"/>
        <v>0</v>
      </c>
      <c r="G58" s="245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2" t="s">
        <v>133</v>
      </c>
      <c r="B59" s="252" t="str">
        <f>Option4!A111</f>
        <v>sens2</v>
      </c>
      <c r="C59" s="252" t="str">
        <f>Option4!C111</f>
        <v>Capex 10% lower</v>
      </c>
      <c r="D59" s="252" t="str">
        <f t="shared" si="7"/>
        <v>Option 4sens2</v>
      </c>
      <c r="E59" s="253"/>
      <c r="F59" s="31">
        <f t="shared" si="6"/>
        <v>0</v>
      </c>
      <c r="G59" s="252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2" t="s">
        <v>133</v>
      </c>
      <c r="B60" s="252" t="str">
        <f>Option4!A112</f>
        <v>sens3</v>
      </c>
      <c r="C60" s="252" t="str">
        <f>Option4!C112</f>
        <v>Total benefits 10% higher</v>
      </c>
      <c r="D60" s="252" t="str">
        <f t="shared" si="7"/>
        <v>Option 4sens3</v>
      </c>
      <c r="E60" s="253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2" t="s">
        <v>133</v>
      </c>
      <c r="B61" s="252" t="str">
        <f>Option4!A113</f>
        <v>sens4</v>
      </c>
      <c r="C61" s="252" t="str">
        <f>Option4!C113</f>
        <v>Total benefits 10% lower</v>
      </c>
      <c r="D61" s="252" t="str">
        <f t="shared" si="7"/>
        <v>Option 4sens4</v>
      </c>
      <c r="E61" s="253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2" t="s">
        <v>133</v>
      </c>
      <c r="B62" s="252" t="str">
        <f>Option4!A114</f>
        <v>sens5</v>
      </c>
      <c r="C62" s="252" t="str">
        <f>Option4!C114</f>
        <v>Capex 10% higher &amp; Total benefits 10% lower</v>
      </c>
      <c r="D62" s="252" t="str">
        <f t="shared" si="7"/>
        <v>Option 4sens5</v>
      </c>
      <c r="E62" s="253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2" t="s">
        <v>133</v>
      </c>
      <c r="B63" s="252" t="str">
        <f>Option4!A115</f>
        <v>sens</v>
      </c>
      <c r="C63" s="252">
        <f>Option4!C115</f>
        <v>0</v>
      </c>
      <c r="D63" s="252" t="str">
        <f t="shared" si="7"/>
        <v>Option 4sens</v>
      </c>
      <c r="E63" s="253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2" t="s">
        <v>133</v>
      </c>
      <c r="B64" s="252" t="str">
        <f>Option4!A116</f>
        <v>sens</v>
      </c>
      <c r="C64" s="252">
        <f>Option4!C116</f>
        <v>0</v>
      </c>
      <c r="D64" s="252" t="str">
        <f t="shared" si="7"/>
        <v>Option 4sens</v>
      </c>
      <c r="E64" s="253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2" t="s">
        <v>133</v>
      </c>
      <c r="B65" s="252" t="str">
        <f>Option4!A117</f>
        <v>sens</v>
      </c>
      <c r="C65" s="252">
        <f>Option4!C117</f>
        <v>0</v>
      </c>
      <c r="D65" s="252" t="str">
        <f t="shared" si="7"/>
        <v>Option 4sens</v>
      </c>
      <c r="E65" s="253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2"/>
      <c r="B66" s="252"/>
      <c r="C66" s="252"/>
      <c r="D66" s="252"/>
      <c r="E66" s="252"/>
      <c r="F66" s="31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</row>
    <row r="67" spans="1:35" s="8" customFormat="1" x14ac:dyDescent="0.2">
      <c r="A67" s="252"/>
      <c r="B67" s="252"/>
      <c r="C67" s="252"/>
      <c r="D67" s="252"/>
      <c r="E67" s="252"/>
      <c r="F67" s="31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</row>
    <row r="68" spans="1:35" s="8" customFormat="1" x14ac:dyDescent="0.2">
      <c r="A68" s="252"/>
      <c r="B68" s="252"/>
      <c r="C68" s="252"/>
      <c r="D68" s="252"/>
      <c r="E68" s="252"/>
      <c r="F68" s="31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</row>
    <row r="69" spans="1:35" s="8" customFormat="1" x14ac:dyDescent="0.2">
      <c r="A69" s="252"/>
      <c r="B69" s="252"/>
      <c r="C69" s="252"/>
      <c r="D69" s="252"/>
      <c r="E69" s="252"/>
      <c r="F69" s="31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</row>
    <row r="70" spans="1:35" s="8" customFormat="1" x14ac:dyDescent="0.2">
      <c r="A70" s="252" t="s">
        <v>154</v>
      </c>
      <c r="B70" s="252" t="s">
        <v>119</v>
      </c>
      <c r="C70" s="252" t="s">
        <v>188</v>
      </c>
      <c r="D70" s="252" t="str">
        <f>A70&amp;B70</f>
        <v>Option 5NPV</v>
      </c>
      <c r="E70" s="253"/>
      <c r="F70" s="31">
        <f t="shared" ref="F70:F79" si="8">SUMPRODUCT($H70:$AG70, $H$5:$AG$5)</f>
        <v>0</v>
      </c>
      <c r="G70" s="245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4"/>
      <c r="B71" s="244"/>
      <c r="C71" s="244"/>
      <c r="D71" s="244"/>
      <c r="E71" s="244"/>
      <c r="F71" s="244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7"/>
      <c r="AI71" s="7"/>
    </row>
    <row r="72" spans="1:35" s="8" customFormat="1" x14ac:dyDescent="0.2">
      <c r="A72" s="252" t="s">
        <v>154</v>
      </c>
      <c r="B72" s="252" t="str">
        <f>Option5!A110</f>
        <v>sens1</v>
      </c>
      <c r="C72" s="252" t="str">
        <f>Option5!C110</f>
        <v>Capex 10% higher</v>
      </c>
      <c r="D72" s="252" t="str">
        <f t="shared" ref="D72:D79" si="9">A72&amp;B72</f>
        <v>Option 5sens1</v>
      </c>
      <c r="E72" s="253"/>
      <c r="F72" s="31">
        <f t="shared" si="8"/>
        <v>0</v>
      </c>
      <c r="G72" s="245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2" t="s">
        <v>154</v>
      </c>
      <c r="B73" s="252" t="str">
        <f>Option5!A111</f>
        <v>sens2</v>
      </c>
      <c r="C73" s="252" t="str">
        <f>Option5!C111</f>
        <v>Capex 10% lower</v>
      </c>
      <c r="D73" s="252" t="str">
        <f t="shared" si="9"/>
        <v>Option 5sens2</v>
      </c>
      <c r="E73" s="253"/>
      <c r="F73" s="31">
        <f t="shared" si="8"/>
        <v>0</v>
      </c>
      <c r="G73" s="252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2" t="s">
        <v>154</v>
      </c>
      <c r="B74" s="252" t="str">
        <f>Option5!A112</f>
        <v>sens3</v>
      </c>
      <c r="C74" s="252" t="str">
        <f>Option5!C112</f>
        <v>Total benefits 10% higher</v>
      </c>
      <c r="D74" s="252" t="str">
        <f t="shared" si="9"/>
        <v>Option 5sens3</v>
      </c>
      <c r="E74" s="253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2" t="s">
        <v>154</v>
      </c>
      <c r="B75" s="252" t="str">
        <f>Option5!A113</f>
        <v>sens4</v>
      </c>
      <c r="C75" s="252" t="str">
        <f>Option5!C113</f>
        <v>Total benefits 10% lower</v>
      </c>
      <c r="D75" s="252" t="str">
        <f t="shared" si="9"/>
        <v>Option 5sens4</v>
      </c>
      <c r="E75" s="253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2" t="s">
        <v>154</v>
      </c>
      <c r="B76" s="252" t="str">
        <f>Option5!A114</f>
        <v>sens5</v>
      </c>
      <c r="C76" s="252" t="str">
        <f>Option5!C114</f>
        <v>Capex 10% higher &amp; Total benefits 10% lower</v>
      </c>
      <c r="D76" s="252" t="str">
        <f t="shared" si="9"/>
        <v>Option 5sens5</v>
      </c>
      <c r="E76" s="253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2" t="s">
        <v>154</v>
      </c>
      <c r="B77" s="252" t="str">
        <f>Option5!A115</f>
        <v>sens</v>
      </c>
      <c r="C77" s="252">
        <f>Option5!C115</f>
        <v>0</v>
      </c>
      <c r="D77" s="252" t="str">
        <f t="shared" si="9"/>
        <v>Option 5sens</v>
      </c>
      <c r="E77" s="253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2" t="s">
        <v>154</v>
      </c>
      <c r="B78" s="252" t="str">
        <f>Option5!A116</f>
        <v>sens</v>
      </c>
      <c r="C78" s="252">
        <f>Option5!C116</f>
        <v>0</v>
      </c>
      <c r="D78" s="252" t="str">
        <f t="shared" si="9"/>
        <v>Option 5sens</v>
      </c>
      <c r="E78" s="253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2" t="s">
        <v>154</v>
      </c>
      <c r="B79" s="252" t="str">
        <f>Option5!A117</f>
        <v>sens</v>
      </c>
      <c r="C79" s="252">
        <f>Option5!C117</f>
        <v>0</v>
      </c>
      <c r="D79" s="252" t="str">
        <f t="shared" si="9"/>
        <v>Option 5sens</v>
      </c>
      <c r="E79" s="253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8"/>
    </row>
    <row r="81" spans="1:34" s="8" customFormat="1" x14ac:dyDescent="0.2">
      <c r="F81" s="248"/>
    </row>
    <row r="82" spans="1:34" s="8" customFormat="1" x14ac:dyDescent="0.2">
      <c r="F82" s="248"/>
    </row>
    <row r="83" spans="1:34" s="8" customFormat="1" x14ac:dyDescent="0.2">
      <c r="F83" s="248"/>
    </row>
    <row r="84" spans="1:34" s="8" customFormat="1" ht="15" x14ac:dyDescent="0.25">
      <c r="A84" s="201" t="s">
        <v>159</v>
      </c>
      <c r="B84" s="54"/>
      <c r="C84" s="19"/>
      <c r="D84" s="19"/>
      <c r="E84" s="83"/>
      <c r="F84" s="19"/>
      <c r="G84" s="222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0"/>
      <c r="AH84" s="10"/>
    </row>
    <row r="85" spans="1:34" s="8" customFormat="1" x14ac:dyDescent="0.2">
      <c r="F85" s="248"/>
    </row>
    <row r="86" spans="1:34" s="8" customFormat="1" x14ac:dyDescent="0.2">
      <c r="F86" s="248"/>
    </row>
    <row r="87" spans="1:34" s="8" customFormat="1" x14ac:dyDescent="0.2">
      <c r="E87" s="248"/>
    </row>
    <row r="88" spans="1:34" s="8" customFormat="1" x14ac:dyDescent="0.2">
      <c r="C88" s="274" t="b" cm="1">
        <f t="array" ref="C88:G88">TRANSPOSE(Data!F9:F13)</f>
        <v>0</v>
      </c>
      <c r="D88" s="274" t="b">
        <v>0</v>
      </c>
      <c r="E88" s="275" t="b">
        <v>1</v>
      </c>
      <c r="F88" s="274" t="b">
        <v>1</v>
      </c>
      <c r="G88" s="274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6" t="str" cm="1">
        <f t="array" ref="C89:G89">TRANSPOSE(options)</f>
        <v>Option 1 (base case)</v>
      </c>
      <c r="D89" s="276" t="str">
        <v>Option 2</v>
      </c>
      <c r="E89" s="276" t="str">
        <v>Option 3</v>
      </c>
      <c r="F89" s="276" t="str">
        <v>Option 4</v>
      </c>
      <c r="G89" s="276" t="str">
        <v>Option 5</v>
      </c>
      <c r="I89" s="276" t="s">
        <v>228</v>
      </c>
      <c r="K89" s="282" t="s">
        <v>229</v>
      </c>
    </row>
    <row r="90" spans="1:34" s="8" customFormat="1" x14ac:dyDescent="0.2">
      <c r="A90" s="260" t="s">
        <v>119</v>
      </c>
      <c r="B90" s="260" t="s">
        <v>219</v>
      </c>
      <c r="C90" s="104">
        <f t="shared" ref="C90:G98" si="10">IF(OR($B90=0,C$88),"", INDEX($F$14:$F$81, MATCH(C$89&amp;$A90,$D$14:$D$81,0))/10^6)</f>
        <v>0</v>
      </c>
      <c r="D90" s="104">
        <f t="shared" si="10"/>
        <v>7.9036391473479481</v>
      </c>
      <c r="E90" s="104" t="str">
        <f t="shared" si="10"/>
        <v/>
      </c>
      <c r="F90" s="104" t="str">
        <f t="shared" si="10"/>
        <v/>
      </c>
      <c r="G90" s="104" t="str">
        <f t="shared" si="10"/>
        <v/>
      </c>
      <c r="H90" s="185"/>
      <c r="I90" s="104">
        <f t="shared" ref="I90:I98" si="11">_xlfn.MAXIFS(C90:G90,_xlfn.ANCHORARRAY( C$88),FALSE)</f>
        <v>7.9036391473479481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0" t="str">
        <f>"sens"&amp;Assumptions!B111</f>
        <v>sens1</v>
      </c>
      <c r="B91" s="260" t="str">
        <f>Assumptions!C111</f>
        <v>Capex 10% higher</v>
      </c>
      <c r="C91" s="104">
        <f t="shared" si="10"/>
        <v>0</v>
      </c>
      <c r="D91" s="104">
        <f t="shared" si="10"/>
        <v>7.538096124390206</v>
      </c>
      <c r="E91" s="104" t="str">
        <f t="shared" si="10"/>
        <v/>
      </c>
      <c r="F91" s="104" t="str">
        <f t="shared" si="10"/>
        <v/>
      </c>
      <c r="G91" s="104" t="str">
        <f t="shared" si="10"/>
        <v/>
      </c>
      <c r="H91" s="185"/>
      <c r="I91" s="104">
        <f t="shared" si="11"/>
        <v>7.538096124390206</v>
      </c>
      <c r="K91" s="8" t="str">
        <f t="shared" si="12"/>
        <v>Option 2</v>
      </c>
    </row>
    <row r="92" spans="1:34" s="8" customFormat="1" x14ac:dyDescent="0.2">
      <c r="A92" s="260" t="str">
        <f>"sens"&amp;Assumptions!B112</f>
        <v>sens2</v>
      </c>
      <c r="B92" s="260" t="str">
        <f>Assumptions!C112</f>
        <v>Capex 10% lower</v>
      </c>
      <c r="C92" s="104">
        <f t="shared" si="10"/>
        <v>0</v>
      </c>
      <c r="D92" s="104">
        <f t="shared" si="10"/>
        <v>8.2691821703056956</v>
      </c>
      <c r="E92" s="104" t="str">
        <f t="shared" si="10"/>
        <v/>
      </c>
      <c r="F92" s="104" t="str">
        <f t="shared" si="10"/>
        <v/>
      </c>
      <c r="G92" s="104" t="str">
        <f t="shared" si="10"/>
        <v/>
      </c>
      <c r="H92" s="185"/>
      <c r="I92" s="104">
        <f t="shared" si="11"/>
        <v>8.2691821703056956</v>
      </c>
      <c r="K92" s="8" t="str">
        <f t="shared" si="12"/>
        <v>Option 2</v>
      </c>
    </row>
    <row r="93" spans="1:34" s="8" customFormat="1" x14ac:dyDescent="0.2">
      <c r="A93" s="260" t="str">
        <f>"sens"&amp;Assumptions!B113</f>
        <v>sens3</v>
      </c>
      <c r="B93" s="260" t="str">
        <f>Assumptions!C113</f>
        <v>Total benefits 10% higher</v>
      </c>
      <c r="C93" s="104">
        <f t="shared" si="10"/>
        <v>0</v>
      </c>
      <c r="D93" s="104">
        <f t="shared" si="10"/>
        <v>9.0595460850404912</v>
      </c>
      <c r="E93" s="104" t="str">
        <f t="shared" si="10"/>
        <v/>
      </c>
      <c r="F93" s="104" t="str">
        <f t="shared" si="10"/>
        <v/>
      </c>
      <c r="G93" s="104" t="str">
        <f t="shared" si="10"/>
        <v/>
      </c>
      <c r="H93" s="185"/>
      <c r="I93" s="104">
        <f t="shared" si="11"/>
        <v>9.0595460850404912</v>
      </c>
      <c r="K93" s="8" t="str">
        <f t="shared" si="12"/>
        <v>Option 2</v>
      </c>
    </row>
    <row r="94" spans="1:34" s="8" customFormat="1" x14ac:dyDescent="0.2">
      <c r="A94" s="260" t="str">
        <f>"sens"&amp;Assumptions!B114</f>
        <v>sens4</v>
      </c>
      <c r="B94" s="260" t="str">
        <f>Assumptions!C114</f>
        <v>Total benefits 10% lower</v>
      </c>
      <c r="C94" s="104">
        <f t="shared" si="10"/>
        <v>0</v>
      </c>
      <c r="D94" s="104">
        <f t="shared" si="10"/>
        <v>6.7477322096554104</v>
      </c>
      <c r="E94" s="104" t="str">
        <f t="shared" si="10"/>
        <v/>
      </c>
      <c r="F94" s="104" t="str">
        <f t="shared" si="10"/>
        <v/>
      </c>
      <c r="G94" s="104" t="str">
        <f t="shared" si="10"/>
        <v/>
      </c>
      <c r="H94" s="185"/>
      <c r="I94" s="104">
        <f t="shared" si="11"/>
        <v>6.7477322096554104</v>
      </c>
      <c r="K94" s="8" t="str">
        <f t="shared" si="12"/>
        <v>Option 2</v>
      </c>
    </row>
    <row r="95" spans="1:34" s="8" customFormat="1" x14ac:dyDescent="0.2">
      <c r="A95" s="260" t="str">
        <f>"sens"&amp;Assumptions!B115</f>
        <v>sens5</v>
      </c>
      <c r="B95" s="260" t="str">
        <f>Assumptions!C115</f>
        <v>Capex 10% higher &amp; Total benefits 10% lower</v>
      </c>
      <c r="C95" s="104">
        <f t="shared" si="10"/>
        <v>0</v>
      </c>
      <c r="D95" s="104">
        <f t="shared" si="10"/>
        <v>6.3821891866976639</v>
      </c>
      <c r="E95" s="104" t="str">
        <f t="shared" si="10"/>
        <v/>
      </c>
      <c r="F95" s="104" t="str">
        <f t="shared" si="10"/>
        <v/>
      </c>
      <c r="G95" s="104" t="str">
        <f t="shared" si="10"/>
        <v/>
      </c>
      <c r="H95" s="185"/>
      <c r="I95" s="104">
        <f t="shared" si="11"/>
        <v>6.3821891866976639</v>
      </c>
      <c r="K95" s="8" t="str">
        <f t="shared" si="12"/>
        <v>Option 2</v>
      </c>
    </row>
    <row r="96" spans="1:34" s="8" customFormat="1" x14ac:dyDescent="0.2">
      <c r="A96" s="260" t="str">
        <f>"sens"&amp;Assumptions!B116</f>
        <v>sens</v>
      </c>
      <c r="B96" s="260">
        <f>Assumptions!C116</f>
        <v>0</v>
      </c>
      <c r="C96" s="104" t="str">
        <f t="shared" si="10"/>
        <v/>
      </c>
      <c r="D96" s="104" t="str">
        <f t="shared" si="10"/>
        <v/>
      </c>
      <c r="E96" s="104" t="str">
        <f t="shared" si="10"/>
        <v/>
      </c>
      <c r="F96" s="104" t="str">
        <f t="shared" si="10"/>
        <v/>
      </c>
      <c r="G96" s="104" t="str">
        <f t="shared" si="10"/>
        <v/>
      </c>
      <c r="H96" s="185"/>
      <c r="I96" s="104">
        <f t="shared" si="11"/>
        <v>0</v>
      </c>
      <c r="K96" s="8" t="str">
        <f t="shared" si="12"/>
        <v/>
      </c>
    </row>
    <row r="97" spans="1:11" x14ac:dyDescent="0.2">
      <c r="A97" s="260" t="str">
        <f>"sens"&amp;Assumptions!B117</f>
        <v>sens</v>
      </c>
      <c r="B97" s="260">
        <f>Assumptions!C117</f>
        <v>0</v>
      </c>
      <c r="C97" s="104" t="str">
        <f t="shared" si="10"/>
        <v/>
      </c>
      <c r="D97" s="104" t="str">
        <f t="shared" si="10"/>
        <v/>
      </c>
      <c r="E97" s="104" t="str">
        <f t="shared" si="10"/>
        <v/>
      </c>
      <c r="F97" s="104" t="str">
        <f t="shared" si="10"/>
        <v/>
      </c>
      <c r="G97" s="104" t="str">
        <f t="shared" si="10"/>
        <v/>
      </c>
      <c r="H97" s="281"/>
      <c r="I97" s="104">
        <f t="shared" si="11"/>
        <v>0</v>
      </c>
      <c r="K97" s="8" t="str">
        <f t="shared" si="12"/>
        <v/>
      </c>
    </row>
    <row r="98" spans="1:11" x14ac:dyDescent="0.2">
      <c r="A98" s="260" t="str">
        <f>"sens"&amp;Assumptions!B118</f>
        <v>sens</v>
      </c>
      <c r="B98" s="260">
        <f>Assumptions!C118</f>
        <v>0</v>
      </c>
      <c r="C98" s="104" t="str">
        <f t="shared" si="10"/>
        <v/>
      </c>
      <c r="D98" s="104" t="str">
        <f t="shared" si="10"/>
        <v/>
      </c>
      <c r="E98" s="104" t="str">
        <f t="shared" si="10"/>
        <v/>
      </c>
      <c r="F98" s="104" t="str">
        <f t="shared" si="10"/>
        <v/>
      </c>
      <c r="G98" s="104" t="str">
        <f t="shared" si="10"/>
        <v/>
      </c>
      <c r="H98" s="281"/>
      <c r="I98" s="104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5163-69F2-4B23-A1D3-4374371C1F1C}">
  <sheetPr codeName="Sheet4">
    <tabColor rgb="FFFFFF00"/>
  </sheetPr>
  <dimension ref="A1:AR30"/>
  <sheetViews>
    <sheetView showGridLines="0" zoomScale="90" zoomScaleNormal="90" workbookViewId="0">
      <pane xSplit="4" ySplit="5" topLeftCell="E6" activePane="bottomRight" state="frozen"/>
      <selection activeCell="F23" sqref="F23:G23"/>
      <selection pane="topRight" activeCell="F23" sqref="F23:G23"/>
      <selection pane="bottomLeft" activeCell="F23" sqref="F23:G23"/>
      <selection pane="bottomRight" activeCell="E6" sqref="E6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31.75" style="1" bestFit="1" customWidth="1"/>
    <col min="5" max="5" width="25" style="1" customWidth="1"/>
    <col min="6" max="6" width="15.125" style="1" customWidth="1"/>
    <col min="7" max="7" width="14" style="1" customWidth="1"/>
    <col min="8" max="8" width="14.75" style="1" customWidth="1"/>
    <col min="9" max="28" width="8.625" style="1" customWidth="1"/>
    <col min="29" max="16384" width="8" style="1"/>
  </cols>
  <sheetData>
    <row r="1" spans="1:44" ht="18.75" x14ac:dyDescent="0.3">
      <c r="A1" s="15" t="str">
        <f>bus</f>
        <v>CitiPower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44" ht="18.75" x14ac:dyDescent="0.3">
      <c r="A2" s="56" t="str">
        <f>proj</f>
        <v>AR transformer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44" ht="18.75" x14ac:dyDescent="0.3">
      <c r="A3" s="5" t="s">
        <v>247</v>
      </c>
      <c r="B3" s="329"/>
      <c r="C3" s="5"/>
      <c r="D3" s="5"/>
    </row>
    <row r="5" spans="1:44" ht="15" x14ac:dyDescent="0.2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</row>
    <row r="6" spans="1:44" x14ac:dyDescent="0.2">
      <c r="C6" s="3"/>
      <c r="D6" s="3"/>
    </row>
    <row r="7" spans="1:44" x14ac:dyDescent="0.2">
      <c r="A7" s="331"/>
      <c r="B7" s="332" t="s">
        <v>248</v>
      </c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1"/>
    </row>
    <row r="8" spans="1:44" x14ac:dyDescent="0.2">
      <c r="A8" s="334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</row>
    <row r="9" spans="1:44" x14ac:dyDescent="0.2">
      <c r="A9" s="334"/>
      <c r="B9" s="334"/>
      <c r="C9" s="334"/>
      <c r="D9" s="335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</row>
    <row r="10" spans="1:44" x14ac:dyDescent="0.2">
      <c r="A10" s="334"/>
      <c r="B10" s="334"/>
      <c r="C10" s="334"/>
      <c r="D10" s="334"/>
      <c r="E10" s="336" t="s">
        <v>19</v>
      </c>
      <c r="F10" s="336" t="s">
        <v>21</v>
      </c>
      <c r="G10" s="336" t="s">
        <v>20</v>
      </c>
      <c r="H10" s="336" t="s">
        <v>22</v>
      </c>
      <c r="I10" s="336" t="s">
        <v>93</v>
      </c>
      <c r="J10" s="336" t="s">
        <v>94</v>
      </c>
      <c r="K10" s="336" t="s">
        <v>249</v>
      </c>
      <c r="L10" s="336" t="s">
        <v>250</v>
      </c>
      <c r="M10" s="336" t="s">
        <v>251</v>
      </c>
      <c r="N10" s="336" t="s">
        <v>252</v>
      </c>
      <c r="O10" s="336" t="s">
        <v>253</v>
      </c>
      <c r="P10" s="336" t="s">
        <v>254</v>
      </c>
      <c r="Q10" s="336" t="s">
        <v>255</v>
      </c>
      <c r="R10" s="336" t="s">
        <v>256</v>
      </c>
      <c r="S10" s="336" t="s">
        <v>257</v>
      </c>
      <c r="T10" s="336" t="s">
        <v>258</v>
      </c>
      <c r="U10" s="336" t="s">
        <v>259</v>
      </c>
      <c r="V10" s="336" t="s">
        <v>260</v>
      </c>
      <c r="W10" s="336" t="s">
        <v>261</v>
      </c>
      <c r="X10" s="336" t="s">
        <v>262</v>
      </c>
      <c r="Y10" s="336" t="s">
        <v>263</v>
      </c>
      <c r="Z10" s="336" t="s">
        <v>264</v>
      </c>
      <c r="AA10" s="336" t="s">
        <v>265</v>
      </c>
      <c r="AB10" s="336" t="s">
        <v>266</v>
      </c>
      <c r="AC10" s="336" t="s">
        <v>267</v>
      </c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</row>
    <row r="11" spans="1:44" x14ac:dyDescent="0.2">
      <c r="A11" s="334"/>
      <c r="B11" s="334"/>
      <c r="C11" s="334"/>
      <c r="D11" s="337" t="s">
        <v>2</v>
      </c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</row>
    <row r="12" spans="1:44" x14ac:dyDescent="0.2">
      <c r="A12" s="334"/>
      <c r="B12" s="334"/>
      <c r="C12" s="334"/>
      <c r="D12" s="338" t="s">
        <v>268</v>
      </c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</row>
    <row r="13" spans="1:44" x14ac:dyDescent="0.2">
      <c r="A13" s="334"/>
      <c r="B13" s="334"/>
      <c r="C13" s="334"/>
      <c r="D13" s="340" t="s">
        <v>269</v>
      </c>
      <c r="E13" s="341">
        <f>E12</f>
        <v>0</v>
      </c>
      <c r="F13" s="341">
        <f t="shared" ref="F13:AC13" si="0">F12</f>
        <v>0</v>
      </c>
      <c r="G13" s="341">
        <f t="shared" si="0"/>
        <v>0</v>
      </c>
      <c r="H13" s="341">
        <f t="shared" si="0"/>
        <v>0</v>
      </c>
      <c r="I13" s="341">
        <f t="shared" si="0"/>
        <v>0</v>
      </c>
      <c r="J13" s="341">
        <f t="shared" si="0"/>
        <v>0</v>
      </c>
      <c r="K13" s="341">
        <f t="shared" si="0"/>
        <v>0</v>
      </c>
      <c r="L13" s="341">
        <f t="shared" si="0"/>
        <v>0</v>
      </c>
      <c r="M13" s="341">
        <f t="shared" si="0"/>
        <v>0</v>
      </c>
      <c r="N13" s="341">
        <f t="shared" si="0"/>
        <v>0</v>
      </c>
      <c r="O13" s="341">
        <f t="shared" si="0"/>
        <v>0</v>
      </c>
      <c r="P13" s="341">
        <f t="shared" si="0"/>
        <v>0</v>
      </c>
      <c r="Q13" s="341">
        <f t="shared" si="0"/>
        <v>0</v>
      </c>
      <c r="R13" s="341">
        <f t="shared" si="0"/>
        <v>0</v>
      </c>
      <c r="S13" s="341">
        <f t="shared" si="0"/>
        <v>0</v>
      </c>
      <c r="T13" s="341">
        <f t="shared" si="0"/>
        <v>0</v>
      </c>
      <c r="U13" s="341">
        <f t="shared" si="0"/>
        <v>0</v>
      </c>
      <c r="V13" s="341">
        <f t="shared" si="0"/>
        <v>0</v>
      </c>
      <c r="W13" s="341">
        <f t="shared" si="0"/>
        <v>0</v>
      </c>
      <c r="X13" s="341">
        <f t="shared" si="0"/>
        <v>0</v>
      </c>
      <c r="Y13" s="341">
        <f t="shared" si="0"/>
        <v>0</v>
      </c>
      <c r="Z13" s="341">
        <f t="shared" si="0"/>
        <v>0</v>
      </c>
      <c r="AA13" s="341">
        <f t="shared" si="0"/>
        <v>0</v>
      </c>
      <c r="AB13" s="341">
        <f t="shared" si="0"/>
        <v>0</v>
      </c>
      <c r="AC13" s="341">
        <f t="shared" si="0"/>
        <v>0</v>
      </c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</row>
    <row r="14" spans="1:44" x14ac:dyDescent="0.2">
      <c r="A14" s="334"/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</row>
    <row r="15" spans="1:44" x14ac:dyDescent="0.2">
      <c r="A15" s="334"/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</row>
    <row r="16" spans="1:44" x14ac:dyDescent="0.2">
      <c r="A16" s="342"/>
      <c r="B16" s="332" t="str">
        <f>Assumptions!C15&amp;" - "&amp;Assumptions!E15</f>
        <v>Option 2 - Replace #2 transformer completed in 2029-2030</v>
      </c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</row>
    <row r="17" spans="1:44" x14ac:dyDescent="0.2">
      <c r="A17" s="334"/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</row>
    <row r="18" spans="1:44" x14ac:dyDescent="0.2">
      <c r="A18" s="334"/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</row>
    <row r="19" spans="1:44" x14ac:dyDescent="0.2">
      <c r="A19" s="334"/>
      <c r="B19" s="334"/>
      <c r="C19" s="334"/>
      <c r="D19" s="334"/>
      <c r="E19" s="336" t="s">
        <v>19</v>
      </c>
      <c r="F19" s="336" t="s">
        <v>21</v>
      </c>
      <c r="G19" s="336" t="s">
        <v>20</v>
      </c>
      <c r="H19" s="336" t="s">
        <v>22</v>
      </c>
      <c r="I19" s="336" t="s">
        <v>93</v>
      </c>
      <c r="J19" s="336" t="s">
        <v>94</v>
      </c>
      <c r="K19" s="336" t="s">
        <v>249</v>
      </c>
      <c r="L19" s="336" t="s">
        <v>250</v>
      </c>
      <c r="M19" s="336" t="s">
        <v>251</v>
      </c>
      <c r="N19" s="336" t="s">
        <v>252</v>
      </c>
      <c r="O19" s="336" t="s">
        <v>253</v>
      </c>
      <c r="P19" s="336" t="s">
        <v>254</v>
      </c>
      <c r="Q19" s="336" t="s">
        <v>255</v>
      </c>
      <c r="R19" s="336" t="s">
        <v>256</v>
      </c>
      <c r="S19" s="336" t="s">
        <v>257</v>
      </c>
      <c r="T19" s="336" t="s">
        <v>258</v>
      </c>
      <c r="U19" s="336" t="s">
        <v>259</v>
      </c>
      <c r="V19" s="336" t="s">
        <v>260</v>
      </c>
      <c r="W19" s="336" t="s">
        <v>261</v>
      </c>
      <c r="X19" s="336" t="s">
        <v>262</v>
      </c>
      <c r="Y19" s="336" t="s">
        <v>263</v>
      </c>
      <c r="Z19" s="336" t="s">
        <v>264</v>
      </c>
      <c r="AA19" s="336" t="s">
        <v>265</v>
      </c>
      <c r="AB19" s="336" t="s">
        <v>266</v>
      </c>
      <c r="AC19" s="336" t="s">
        <v>267</v>
      </c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</row>
    <row r="20" spans="1:44" x14ac:dyDescent="0.2">
      <c r="A20" s="334"/>
      <c r="B20" s="334"/>
      <c r="C20" s="334"/>
      <c r="D20" s="337" t="s">
        <v>270</v>
      </c>
      <c r="E20" s="339"/>
      <c r="F20" s="339"/>
      <c r="G20" s="339">
        <v>2142006.2666666666</v>
      </c>
      <c r="H20" s="339">
        <v>4284012.5333333332</v>
      </c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</row>
    <row r="21" spans="1:44" x14ac:dyDescent="0.2">
      <c r="A21" s="334"/>
      <c r="B21" s="334"/>
      <c r="C21" s="334"/>
      <c r="D21" s="343" t="s">
        <v>271</v>
      </c>
      <c r="E21" s="344">
        <f>E20</f>
        <v>0</v>
      </c>
      <c r="F21" s="344">
        <f t="shared" ref="F21:AC21" si="1">F20</f>
        <v>0</v>
      </c>
      <c r="G21" s="344">
        <f t="shared" si="1"/>
        <v>2142006.2666666666</v>
      </c>
      <c r="H21" s="344">
        <f t="shared" si="1"/>
        <v>4284012.5333333332</v>
      </c>
      <c r="I21" s="344">
        <f t="shared" si="1"/>
        <v>0</v>
      </c>
      <c r="J21" s="344">
        <f t="shared" si="1"/>
        <v>0</v>
      </c>
      <c r="K21" s="344">
        <f t="shared" si="1"/>
        <v>0</v>
      </c>
      <c r="L21" s="344">
        <f t="shared" si="1"/>
        <v>0</v>
      </c>
      <c r="M21" s="344">
        <f t="shared" si="1"/>
        <v>0</v>
      </c>
      <c r="N21" s="344">
        <f t="shared" si="1"/>
        <v>0</v>
      </c>
      <c r="O21" s="344">
        <f t="shared" si="1"/>
        <v>0</v>
      </c>
      <c r="P21" s="344">
        <f t="shared" si="1"/>
        <v>0</v>
      </c>
      <c r="Q21" s="344">
        <f t="shared" si="1"/>
        <v>0</v>
      </c>
      <c r="R21" s="344">
        <f t="shared" si="1"/>
        <v>0</v>
      </c>
      <c r="S21" s="344">
        <f t="shared" si="1"/>
        <v>0</v>
      </c>
      <c r="T21" s="344">
        <f t="shared" si="1"/>
        <v>0</v>
      </c>
      <c r="U21" s="344">
        <f t="shared" si="1"/>
        <v>0</v>
      </c>
      <c r="V21" s="344">
        <f t="shared" si="1"/>
        <v>0</v>
      </c>
      <c r="W21" s="344">
        <f t="shared" si="1"/>
        <v>0</v>
      </c>
      <c r="X21" s="344">
        <f t="shared" si="1"/>
        <v>0</v>
      </c>
      <c r="Y21" s="344">
        <f t="shared" si="1"/>
        <v>0</v>
      </c>
      <c r="Z21" s="344">
        <f t="shared" si="1"/>
        <v>0</v>
      </c>
      <c r="AA21" s="344">
        <f t="shared" si="1"/>
        <v>0</v>
      </c>
      <c r="AB21" s="344">
        <f t="shared" si="1"/>
        <v>0</v>
      </c>
      <c r="AC21" s="344">
        <f t="shared" si="1"/>
        <v>0</v>
      </c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</row>
    <row r="22" spans="1:44" x14ac:dyDescent="0.2">
      <c r="A22" s="334"/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</row>
    <row r="23" spans="1:44" x14ac:dyDescent="0.2">
      <c r="A23" s="334"/>
      <c r="B23" s="334"/>
      <c r="C23" s="334"/>
      <c r="D23" s="334"/>
      <c r="E23" s="336" t="s">
        <v>19</v>
      </c>
      <c r="F23" s="336" t="s">
        <v>21</v>
      </c>
      <c r="G23" s="336" t="s">
        <v>20</v>
      </c>
      <c r="H23" s="336" t="s">
        <v>22</v>
      </c>
      <c r="I23" s="336" t="s">
        <v>93</v>
      </c>
      <c r="J23" s="336" t="s">
        <v>94</v>
      </c>
      <c r="K23" s="336" t="s">
        <v>249</v>
      </c>
      <c r="L23" s="336" t="s">
        <v>250</v>
      </c>
      <c r="M23" s="336" t="s">
        <v>251</v>
      </c>
      <c r="N23" s="336" t="s">
        <v>252</v>
      </c>
      <c r="O23" s="336" t="s">
        <v>253</v>
      </c>
      <c r="P23" s="336" t="s">
        <v>254</v>
      </c>
      <c r="Q23" s="336" t="s">
        <v>255</v>
      </c>
      <c r="R23" s="336" t="s">
        <v>256</v>
      </c>
      <c r="S23" s="336" t="s">
        <v>257</v>
      </c>
      <c r="T23" s="336" t="s">
        <v>258</v>
      </c>
      <c r="U23" s="336" t="s">
        <v>259</v>
      </c>
      <c r="V23" s="336" t="s">
        <v>260</v>
      </c>
      <c r="W23" s="336" t="s">
        <v>261</v>
      </c>
      <c r="X23" s="336" t="s">
        <v>262</v>
      </c>
      <c r="Y23" s="336" t="s">
        <v>263</v>
      </c>
      <c r="Z23" s="336" t="s">
        <v>264</v>
      </c>
      <c r="AA23" s="336" t="s">
        <v>265</v>
      </c>
      <c r="AB23" s="336" t="s">
        <v>266</v>
      </c>
      <c r="AC23" s="336" t="s">
        <v>267</v>
      </c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</row>
    <row r="24" spans="1:44" x14ac:dyDescent="0.2">
      <c r="A24" s="334"/>
      <c r="B24" s="334"/>
      <c r="C24" s="334"/>
      <c r="D24" s="337" t="s">
        <v>2</v>
      </c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</row>
    <row r="25" spans="1:44" x14ac:dyDescent="0.2">
      <c r="A25" s="334"/>
      <c r="B25" s="334"/>
      <c r="C25" s="334"/>
      <c r="D25" s="338" t="s">
        <v>272</v>
      </c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</row>
    <row r="26" spans="1:44" x14ac:dyDescent="0.2">
      <c r="A26" s="334"/>
      <c r="B26" s="334"/>
      <c r="C26" s="334"/>
      <c r="D26" s="340" t="s">
        <v>269</v>
      </c>
      <c r="E26" s="341">
        <f>E25</f>
        <v>0</v>
      </c>
      <c r="F26" s="341">
        <f t="shared" ref="F26:AC26" si="2">F25</f>
        <v>0</v>
      </c>
      <c r="G26" s="341">
        <f t="shared" si="2"/>
        <v>0</v>
      </c>
      <c r="H26" s="341">
        <f t="shared" si="2"/>
        <v>0</v>
      </c>
      <c r="I26" s="341">
        <f t="shared" si="2"/>
        <v>0</v>
      </c>
      <c r="J26" s="341">
        <f t="shared" si="2"/>
        <v>0</v>
      </c>
      <c r="K26" s="341">
        <f t="shared" si="2"/>
        <v>0</v>
      </c>
      <c r="L26" s="341">
        <f t="shared" si="2"/>
        <v>0</v>
      </c>
      <c r="M26" s="341">
        <f t="shared" si="2"/>
        <v>0</v>
      </c>
      <c r="N26" s="341">
        <f t="shared" si="2"/>
        <v>0</v>
      </c>
      <c r="O26" s="341">
        <f t="shared" si="2"/>
        <v>0</v>
      </c>
      <c r="P26" s="341">
        <f t="shared" si="2"/>
        <v>0</v>
      </c>
      <c r="Q26" s="341">
        <f t="shared" si="2"/>
        <v>0</v>
      </c>
      <c r="R26" s="341">
        <f t="shared" si="2"/>
        <v>0</v>
      </c>
      <c r="S26" s="341">
        <f t="shared" si="2"/>
        <v>0</v>
      </c>
      <c r="T26" s="341">
        <f t="shared" si="2"/>
        <v>0</v>
      </c>
      <c r="U26" s="341">
        <f t="shared" si="2"/>
        <v>0</v>
      </c>
      <c r="V26" s="341">
        <f t="shared" si="2"/>
        <v>0</v>
      </c>
      <c r="W26" s="341">
        <f t="shared" si="2"/>
        <v>0</v>
      </c>
      <c r="X26" s="341">
        <f t="shared" si="2"/>
        <v>0</v>
      </c>
      <c r="Y26" s="341">
        <f t="shared" si="2"/>
        <v>0</v>
      </c>
      <c r="Z26" s="341">
        <f t="shared" si="2"/>
        <v>0</v>
      </c>
      <c r="AA26" s="341">
        <f t="shared" si="2"/>
        <v>0</v>
      </c>
      <c r="AB26" s="341">
        <f t="shared" si="2"/>
        <v>0</v>
      </c>
      <c r="AC26" s="341">
        <f t="shared" si="2"/>
        <v>0</v>
      </c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</row>
    <row r="27" spans="1:44" x14ac:dyDescent="0.2">
      <c r="A27" s="334"/>
      <c r="B27" s="334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</row>
    <row r="28" spans="1:44" x14ac:dyDescent="0.2">
      <c r="A28" s="334"/>
      <c r="B28" s="334"/>
      <c r="C28" s="334"/>
      <c r="D28" s="334"/>
      <c r="E28" s="334"/>
      <c r="F28" s="346"/>
      <c r="G28" s="334"/>
      <c r="H28" s="334"/>
      <c r="I28" s="334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  <c r="AA28" s="347"/>
      <c r="AB28" s="347"/>
      <c r="AC28" s="347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</row>
    <row r="29" spans="1:44" x14ac:dyDescent="0.2">
      <c r="A29" s="334"/>
      <c r="B29" s="334"/>
      <c r="C29" s="334"/>
      <c r="D29" s="334"/>
      <c r="E29" s="334"/>
      <c r="F29" s="346"/>
      <c r="G29" s="334"/>
      <c r="H29" s="334"/>
      <c r="I29" s="334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  <c r="AA29" s="347"/>
      <c r="AB29" s="347"/>
      <c r="AC29" s="347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</row>
    <row r="30" spans="1:44" x14ac:dyDescent="0.2">
      <c r="A30" s="334"/>
      <c r="B30" s="334"/>
      <c r="C30" s="334"/>
      <c r="D30" s="334"/>
      <c r="E30" s="334"/>
      <c r="F30" s="346"/>
      <c r="G30" s="334"/>
      <c r="H30" s="334"/>
      <c r="I30" s="334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5710-E35D-4694-9BC6-D8FD8F8BE172}">
  <sheetPr codeName="Sheet10">
    <tabColor rgb="FFFFFF00"/>
  </sheetPr>
  <dimension ref="A1:AR28"/>
  <sheetViews>
    <sheetView showGridLines="0" zoomScale="90" zoomScaleNormal="90" workbookViewId="0">
      <pane xSplit="4" ySplit="5" topLeftCell="E6" activePane="bottomRight" state="frozen"/>
      <selection activeCell="F23" sqref="F23:G23"/>
      <selection pane="topRight" activeCell="F23" sqref="F23:G23"/>
      <selection pane="bottomLeft" activeCell="F23" sqref="F23:G23"/>
      <selection pane="bottomRight" activeCell="E6" sqref="E6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23.875" style="1" bestFit="1" customWidth="1"/>
    <col min="5" max="5" width="12.125" style="1" customWidth="1"/>
    <col min="6" max="6" width="15.125" style="1" customWidth="1"/>
    <col min="7" max="7" width="14" style="1" customWidth="1"/>
    <col min="8" max="8" width="14.75" style="1" customWidth="1"/>
    <col min="9" max="28" width="8.625" style="1" customWidth="1"/>
    <col min="29" max="16384" width="8" style="1"/>
  </cols>
  <sheetData>
    <row r="1" spans="1:44" ht="18.75" x14ac:dyDescent="0.3">
      <c r="A1" s="15" t="str">
        <f>bus</f>
        <v>CitiPower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44" ht="18.75" x14ac:dyDescent="0.3">
      <c r="A2" s="56" t="str">
        <f>proj</f>
        <v>AR transformer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44" ht="18.75" x14ac:dyDescent="0.3">
      <c r="A3" s="5" t="s">
        <v>273</v>
      </c>
      <c r="B3" s="329"/>
      <c r="C3" s="5"/>
      <c r="D3" s="5"/>
    </row>
    <row r="5" spans="1:44" ht="15" x14ac:dyDescent="0.2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</row>
    <row r="6" spans="1:44" x14ac:dyDescent="0.2">
      <c r="C6" s="3"/>
      <c r="D6" s="3"/>
    </row>
    <row r="7" spans="1:44" x14ac:dyDescent="0.2">
      <c r="A7" s="331"/>
      <c r="B7" s="332" t="s">
        <v>248</v>
      </c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1"/>
    </row>
    <row r="8" spans="1:44" x14ac:dyDescent="0.2">
      <c r="A8" s="334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</row>
    <row r="9" spans="1:44" x14ac:dyDescent="0.2">
      <c r="A9" s="334"/>
      <c r="B9" s="334"/>
      <c r="C9" s="334"/>
      <c r="D9" s="334"/>
      <c r="E9" s="336" t="s">
        <v>19</v>
      </c>
      <c r="F9" s="336" t="s">
        <v>21</v>
      </c>
      <c r="G9" s="336" t="s">
        <v>20</v>
      </c>
      <c r="H9" s="336" t="s">
        <v>22</v>
      </c>
      <c r="I9" s="336" t="s">
        <v>93</v>
      </c>
      <c r="J9" s="336" t="s">
        <v>94</v>
      </c>
      <c r="K9" s="336" t="s">
        <v>249</v>
      </c>
      <c r="L9" s="336" t="s">
        <v>250</v>
      </c>
      <c r="M9" s="336" t="s">
        <v>251</v>
      </c>
      <c r="N9" s="336" t="s">
        <v>252</v>
      </c>
      <c r="O9" s="336" t="s">
        <v>253</v>
      </c>
      <c r="P9" s="336" t="s">
        <v>254</v>
      </c>
      <c r="Q9" s="336" t="s">
        <v>255</v>
      </c>
      <c r="R9" s="336" t="s">
        <v>256</v>
      </c>
      <c r="S9" s="336" t="s">
        <v>257</v>
      </c>
      <c r="T9" s="336" t="s">
        <v>258</v>
      </c>
      <c r="U9" s="336" t="s">
        <v>259</v>
      </c>
      <c r="V9" s="336" t="s">
        <v>260</v>
      </c>
      <c r="W9" s="336" t="s">
        <v>261</v>
      </c>
      <c r="X9" s="336" t="s">
        <v>262</v>
      </c>
      <c r="Y9" s="336" t="s">
        <v>263</v>
      </c>
      <c r="Z9" s="336" t="s">
        <v>264</v>
      </c>
      <c r="AA9" s="336" t="s">
        <v>265</v>
      </c>
      <c r="AB9" s="336" t="s">
        <v>266</v>
      </c>
      <c r="AC9" s="336" t="s">
        <v>267</v>
      </c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</row>
    <row r="10" spans="1:44" x14ac:dyDescent="0.2">
      <c r="A10" s="334"/>
      <c r="B10" s="334"/>
      <c r="C10" s="334"/>
      <c r="D10" s="348" t="s">
        <v>274</v>
      </c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</row>
    <row r="11" spans="1:44" x14ac:dyDescent="0.2">
      <c r="A11" s="334"/>
      <c r="B11" s="334"/>
      <c r="C11" s="334"/>
      <c r="D11" s="334" t="s">
        <v>275</v>
      </c>
      <c r="E11" s="349">
        <v>658521.46054253797</v>
      </c>
      <c r="F11" s="349">
        <v>684771.2791440828</v>
      </c>
      <c r="G11" s="349">
        <v>715333.70269178669</v>
      </c>
      <c r="H11" s="349">
        <v>750991.75556090975</v>
      </c>
      <c r="I11" s="349">
        <v>783967.79149800737</v>
      </c>
      <c r="J11" s="349">
        <v>821733.67388533393</v>
      </c>
      <c r="K11" s="349">
        <v>868662.25033271615</v>
      </c>
      <c r="L11" s="349">
        <v>921025.74531176407</v>
      </c>
      <c r="M11" s="349">
        <v>957101.38584787003</v>
      </c>
      <c r="N11" s="349">
        <v>980232.24783483916</v>
      </c>
      <c r="O11" s="349">
        <v>1003593.9364207588</v>
      </c>
      <c r="P11" s="349">
        <v>1027185.6591070354</v>
      </c>
      <c r="Q11" s="349">
        <v>1051006.6404550248</v>
      </c>
      <c r="R11" s="349">
        <v>1075056.1215768747</v>
      </c>
      <c r="S11" s="349">
        <v>1099333.3596484335</v>
      </c>
      <c r="T11" s="349">
        <v>1123837.6274430221</v>
      </c>
      <c r="U11" s="349">
        <v>1148568.2128848941</v>
      </c>
      <c r="V11" s="349">
        <v>1173524.4186213107</v>
      </c>
      <c r="W11" s="349">
        <v>1198705.5616122435</v>
      </c>
      <c r="X11" s="349">
        <v>1224110.9727367433</v>
      </c>
      <c r="Y11" s="349">
        <v>1249739.9964151259</v>
      </c>
      <c r="Z11" s="349">
        <v>1275591.990246132</v>
      </c>
      <c r="AA11" s="349">
        <v>1301666.3246583131</v>
      </c>
      <c r="AB11" s="349">
        <v>1327962.382574887</v>
      </c>
      <c r="AC11" s="349">
        <v>1354479.5590914534</v>
      </c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</row>
    <row r="12" spans="1:44" x14ac:dyDescent="0.2">
      <c r="A12" s="334"/>
      <c r="B12" s="334"/>
      <c r="C12" s="334"/>
      <c r="D12" s="334" t="s">
        <v>321</v>
      </c>
      <c r="E12" s="349">
        <v>558.94147449060438</v>
      </c>
      <c r="F12" s="349">
        <v>574.10768182484969</v>
      </c>
      <c r="G12" s="349">
        <v>589.44068446244296</v>
      </c>
      <c r="H12" s="349">
        <v>604.93970835695484</v>
      </c>
      <c r="I12" s="349">
        <v>620.60399479146929</v>
      </c>
      <c r="J12" s="349">
        <v>636.43279984949004</v>
      </c>
      <c r="K12" s="349">
        <v>652.42539391166656</v>
      </c>
      <c r="L12" s="349">
        <v>668.58106117671628</v>
      </c>
      <c r="M12" s="349">
        <v>684.8990992050484</v>
      </c>
      <c r="N12" s="349">
        <v>701.37881848371387</v>
      </c>
      <c r="O12" s="349">
        <v>718.01954201138676</v>
      </c>
      <c r="P12" s="349">
        <v>734.82060490221204</v>
      </c>
      <c r="Q12" s="349">
        <v>751.78135400739791</v>
      </c>
      <c r="R12" s="349">
        <v>768.90114755354796</v>
      </c>
      <c r="S12" s="349">
        <v>786.17935479675998</v>
      </c>
      <c r="T12" s="349">
        <v>803.61535569163129</v>
      </c>
      <c r="U12" s="349">
        <v>821.20854057432996</v>
      </c>
      <c r="V12" s="349">
        <v>838.95830985895975</v>
      </c>
      <c r="W12" s="349">
        <v>856.86407374651776</v>
      </c>
      <c r="X12" s="349">
        <v>874.92525194574898</v>
      </c>
      <c r="Y12" s="349">
        <v>893.14127340529933</v>
      </c>
      <c r="Z12" s="349">
        <v>911.51157605655271</v>
      </c>
      <c r="AA12" s="349">
        <v>911.51157605655271</v>
      </c>
      <c r="AB12" s="349">
        <v>911.51157605655271</v>
      </c>
      <c r="AC12" s="349">
        <v>911.51157605655271</v>
      </c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</row>
    <row r="13" spans="1:44" x14ac:dyDescent="0.2">
      <c r="A13" s="334"/>
      <c r="B13" s="334"/>
      <c r="C13" s="334"/>
      <c r="D13" s="334" t="s">
        <v>322</v>
      </c>
      <c r="E13" s="349">
        <v>24285.357871907087</v>
      </c>
      <c r="F13" s="349">
        <v>24944.311965459296</v>
      </c>
      <c r="G13" s="349">
        <v>25610.513121213942</v>
      </c>
      <c r="H13" s="349">
        <v>26283.927707752711</v>
      </c>
      <c r="I13" s="349">
        <v>26964.522759706822</v>
      </c>
      <c r="J13" s="349">
        <v>27652.265954768562</v>
      </c>
      <c r="K13" s="349">
        <v>28347.125591824577</v>
      </c>
      <c r="L13" s="349">
        <v>29049.07057014051</v>
      </c>
      <c r="M13" s="349">
        <v>29758.07036953203</v>
      </c>
      <c r="N13" s="349">
        <v>30474.095031462322</v>
      </c>
      <c r="O13" s="349">
        <v>31197.115141010112</v>
      </c>
      <c r="P13" s="349">
        <v>31927.101809657241</v>
      </c>
      <c r="Q13" s="349">
        <v>32664.026658847313</v>
      </c>
      <c r="R13" s="349">
        <v>33407.86180427167</v>
      </c>
      <c r="S13" s="349">
        <v>34158.579840840328</v>
      </c>
      <c r="T13" s="349">
        <v>34916.153828300732</v>
      </c>
      <c r="U13" s="349">
        <v>35680.557277467473</v>
      </c>
      <c r="V13" s="349">
        <v>36451.764137029772</v>
      </c>
      <c r="W13" s="349">
        <v>37229.748780905982</v>
      </c>
      <c r="X13" s="349">
        <v>38014.485996115065</v>
      </c>
      <c r="Y13" s="349">
        <v>38805.950971138955</v>
      </c>
      <c r="Z13" s="349">
        <v>39604.119284749097</v>
      </c>
      <c r="AA13" s="349">
        <v>39604.119284749097</v>
      </c>
      <c r="AB13" s="349">
        <v>39604.119284749097</v>
      </c>
      <c r="AC13" s="349">
        <v>39604.119284749097</v>
      </c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</row>
    <row r="14" spans="1:44" x14ac:dyDescent="0.2">
      <c r="A14" s="334"/>
      <c r="B14" s="334"/>
      <c r="C14" s="334"/>
      <c r="D14" s="334" t="s">
        <v>323</v>
      </c>
      <c r="E14" s="349">
        <v>2102.5077138073384</v>
      </c>
      <c r="F14" s="349">
        <v>2159.5567419520344</v>
      </c>
      <c r="G14" s="349">
        <v>2217.2331853591872</v>
      </c>
      <c r="H14" s="349">
        <v>2275.534132384802</v>
      </c>
      <c r="I14" s="349">
        <v>2334.4567290481982</v>
      </c>
      <c r="J14" s="349">
        <v>2393.9981770417858</v>
      </c>
      <c r="K14" s="349">
        <v>2454.1557318379469</v>
      </c>
      <c r="L14" s="349">
        <v>2514.9267008869483</v>
      </c>
      <c r="M14" s="349">
        <v>2576.3084419002403</v>
      </c>
      <c r="N14" s="349">
        <v>2638.2983612139769</v>
      </c>
      <c r="O14" s="349">
        <v>2700.8939122278884</v>
      </c>
      <c r="P14" s="349">
        <v>2764.092593915118</v>
      </c>
      <c r="Q14" s="349">
        <v>2827.8919493988083</v>
      </c>
      <c r="R14" s="349">
        <v>2892.2895645916574</v>
      </c>
      <c r="S14" s="349">
        <v>2957.2830668947786</v>
      </c>
      <c r="T14" s="349">
        <v>3022.8701239526367</v>
      </c>
      <c r="U14" s="349">
        <v>3089.0484424608912</v>
      </c>
      <c r="V14" s="349">
        <v>3155.8157670242467</v>
      </c>
      <c r="W14" s="349">
        <v>3223.1698790616715</v>
      </c>
      <c r="X14" s="349">
        <v>3291.1085957563673</v>
      </c>
      <c r="Y14" s="349">
        <v>3359.6297690482384</v>
      </c>
      <c r="Z14" s="349">
        <v>3428.7312846665518</v>
      </c>
      <c r="AA14" s="349">
        <v>3428.7312846665518</v>
      </c>
      <c r="AB14" s="349">
        <v>3428.7312846665518</v>
      </c>
      <c r="AC14" s="349">
        <v>3428.7312846665518</v>
      </c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</row>
    <row r="15" spans="1:44" x14ac:dyDescent="0.2">
      <c r="A15" s="334"/>
      <c r="B15" s="334"/>
      <c r="C15" s="334"/>
      <c r="D15" s="334" t="s">
        <v>324</v>
      </c>
      <c r="E15" s="349">
        <v>13512.5</v>
      </c>
      <c r="F15" s="349">
        <v>13512.5</v>
      </c>
      <c r="G15" s="349">
        <v>13512.5</v>
      </c>
      <c r="H15" s="349">
        <v>13512.5</v>
      </c>
      <c r="I15" s="349">
        <v>13512.5</v>
      </c>
      <c r="J15" s="349">
        <v>13512.5</v>
      </c>
      <c r="K15" s="349">
        <v>13512.5</v>
      </c>
      <c r="L15" s="349">
        <v>13512.5</v>
      </c>
      <c r="M15" s="349">
        <v>13512.5</v>
      </c>
      <c r="N15" s="349">
        <v>13512.5</v>
      </c>
      <c r="O15" s="349">
        <v>13512.5</v>
      </c>
      <c r="P15" s="349">
        <v>13512.5</v>
      </c>
      <c r="Q15" s="349">
        <v>13512.5</v>
      </c>
      <c r="R15" s="349">
        <v>13512.5</v>
      </c>
      <c r="S15" s="349">
        <v>13512.5</v>
      </c>
      <c r="T15" s="349">
        <v>13512.5</v>
      </c>
      <c r="U15" s="349">
        <v>13512.5</v>
      </c>
      <c r="V15" s="349">
        <v>13512.5</v>
      </c>
      <c r="W15" s="349">
        <v>13512.5</v>
      </c>
      <c r="X15" s="349">
        <v>13512.5</v>
      </c>
      <c r="Y15" s="349">
        <v>13512.5</v>
      </c>
      <c r="Z15" s="349">
        <v>13512.5</v>
      </c>
      <c r="AA15" s="349">
        <v>13512.5</v>
      </c>
      <c r="AB15" s="349">
        <v>13512.5</v>
      </c>
      <c r="AC15" s="349">
        <v>13512.5</v>
      </c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</row>
    <row r="16" spans="1:44" x14ac:dyDescent="0.2">
      <c r="A16" s="334"/>
      <c r="B16" s="334"/>
      <c r="C16" s="334"/>
      <c r="D16" s="350" t="s">
        <v>280</v>
      </c>
      <c r="E16" s="344">
        <f>SUM(E11:E15)</f>
        <v>698980.76760274288</v>
      </c>
      <c r="F16" s="344">
        <f t="shared" ref="F16:AC16" si="0">SUM(F11:F15)</f>
        <v>725961.75553331897</v>
      </c>
      <c r="G16" s="344">
        <f t="shared" si="0"/>
        <v>757263.38968282228</v>
      </c>
      <c r="H16" s="344">
        <f t="shared" si="0"/>
        <v>793668.65710940422</v>
      </c>
      <c r="I16" s="344">
        <f t="shared" si="0"/>
        <v>827399.87498155388</v>
      </c>
      <c r="J16" s="344">
        <f t="shared" si="0"/>
        <v>865928.87081699376</v>
      </c>
      <c r="K16" s="344">
        <f t="shared" si="0"/>
        <v>913628.45705029031</v>
      </c>
      <c r="L16" s="344">
        <f t="shared" si="0"/>
        <v>966770.82364396821</v>
      </c>
      <c r="M16" s="344">
        <f t="shared" si="0"/>
        <v>1003633.1637585072</v>
      </c>
      <c r="N16" s="344">
        <f t="shared" si="0"/>
        <v>1027558.5200459992</v>
      </c>
      <c r="O16" s="344">
        <f t="shared" si="0"/>
        <v>1051722.4650160084</v>
      </c>
      <c r="P16" s="344">
        <f t="shared" si="0"/>
        <v>1076124.17411551</v>
      </c>
      <c r="Q16" s="344">
        <f t="shared" si="0"/>
        <v>1100762.8404172782</v>
      </c>
      <c r="R16" s="344">
        <f t="shared" si="0"/>
        <v>1125637.6740932914</v>
      </c>
      <c r="S16" s="344">
        <f t="shared" si="0"/>
        <v>1150747.9019109653</v>
      </c>
      <c r="T16" s="344">
        <f t="shared" si="0"/>
        <v>1176092.7667509671</v>
      </c>
      <c r="U16" s="344">
        <f t="shared" si="0"/>
        <v>1201671.5271453969</v>
      </c>
      <c r="V16" s="344">
        <f t="shared" si="0"/>
        <v>1227483.4568352238</v>
      </c>
      <c r="W16" s="344">
        <f t="shared" si="0"/>
        <v>1253527.8443459577</v>
      </c>
      <c r="X16" s="344">
        <f t="shared" si="0"/>
        <v>1279803.9925805605</v>
      </c>
      <c r="Y16" s="344">
        <f t="shared" si="0"/>
        <v>1306311.2184287184</v>
      </c>
      <c r="Z16" s="344">
        <f t="shared" si="0"/>
        <v>1333048.8523916041</v>
      </c>
      <c r="AA16" s="344">
        <f t="shared" si="0"/>
        <v>1359123.1868037852</v>
      </c>
      <c r="AB16" s="344">
        <f t="shared" si="0"/>
        <v>1385419.2447203591</v>
      </c>
      <c r="AC16" s="344">
        <f t="shared" si="0"/>
        <v>1411936.4212369255</v>
      </c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</row>
    <row r="17" spans="1:44" x14ac:dyDescent="0.2">
      <c r="A17" s="334"/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</row>
    <row r="18" spans="1:44" x14ac:dyDescent="0.2">
      <c r="A18" s="334"/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</row>
    <row r="19" spans="1:44" x14ac:dyDescent="0.2">
      <c r="A19" s="331"/>
      <c r="B19" s="332" t="s">
        <v>281</v>
      </c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1"/>
    </row>
    <row r="20" spans="1:44" x14ac:dyDescent="0.2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</row>
    <row r="21" spans="1:44" x14ac:dyDescent="0.2">
      <c r="A21" s="334"/>
      <c r="B21" s="334"/>
      <c r="C21" s="334"/>
      <c r="D21" s="334"/>
      <c r="E21" s="336" t="s">
        <v>19</v>
      </c>
      <c r="F21" s="336" t="s">
        <v>21</v>
      </c>
      <c r="G21" s="336" t="s">
        <v>20</v>
      </c>
      <c r="H21" s="336" t="s">
        <v>22</v>
      </c>
      <c r="I21" s="336" t="s">
        <v>93</v>
      </c>
      <c r="J21" s="336" t="s">
        <v>94</v>
      </c>
      <c r="K21" s="336" t="s">
        <v>249</v>
      </c>
      <c r="L21" s="336" t="s">
        <v>250</v>
      </c>
      <c r="M21" s="336" t="s">
        <v>251</v>
      </c>
      <c r="N21" s="336" t="s">
        <v>252</v>
      </c>
      <c r="O21" s="336" t="s">
        <v>253</v>
      </c>
      <c r="P21" s="336" t="s">
        <v>254</v>
      </c>
      <c r="Q21" s="336" t="s">
        <v>255</v>
      </c>
      <c r="R21" s="336" t="s">
        <v>256</v>
      </c>
      <c r="S21" s="336" t="s">
        <v>257</v>
      </c>
      <c r="T21" s="336" t="s">
        <v>258</v>
      </c>
      <c r="U21" s="336" t="s">
        <v>259</v>
      </c>
      <c r="V21" s="336" t="s">
        <v>260</v>
      </c>
      <c r="W21" s="336" t="s">
        <v>261</v>
      </c>
      <c r="X21" s="336" t="s">
        <v>262</v>
      </c>
      <c r="Y21" s="336" t="s">
        <v>263</v>
      </c>
      <c r="Z21" s="336" t="s">
        <v>264</v>
      </c>
      <c r="AA21" s="336" t="s">
        <v>265</v>
      </c>
      <c r="AB21" s="336" t="s">
        <v>266</v>
      </c>
      <c r="AC21" s="336" t="s">
        <v>267</v>
      </c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</row>
    <row r="22" spans="1:44" x14ac:dyDescent="0.2">
      <c r="A22" s="334"/>
      <c r="B22" s="334"/>
      <c r="C22" s="334"/>
      <c r="D22" s="348" t="s">
        <v>274</v>
      </c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</row>
    <row r="23" spans="1:44" x14ac:dyDescent="0.2">
      <c r="A23" s="334"/>
      <c r="B23" s="334"/>
      <c r="C23" s="334"/>
      <c r="D23" s="334" t="s">
        <v>275</v>
      </c>
      <c r="E23" s="349">
        <v>658521.46054253797</v>
      </c>
      <c r="F23" s="349">
        <v>684771.2791440828</v>
      </c>
      <c r="G23" s="349">
        <v>715333.70269178669</v>
      </c>
      <c r="H23" s="349">
        <v>750991.75556090905</v>
      </c>
      <c r="I23" s="349">
        <v>21901.963271019566</v>
      </c>
      <c r="J23" s="349">
        <v>40861.842264481784</v>
      </c>
      <c r="K23" s="349">
        <v>60217.309184131154</v>
      </c>
      <c r="L23" s="349">
        <v>80542.063155789103</v>
      </c>
      <c r="M23" s="349">
        <v>99962.804741500498</v>
      </c>
      <c r="N23" s="349">
        <v>118124.84060921417</v>
      </c>
      <c r="O23" s="349">
        <v>136261.59670744225</v>
      </c>
      <c r="P23" s="349">
        <v>154427.57960244382</v>
      </c>
      <c r="Q23" s="349">
        <v>172661.47632264427</v>
      </c>
      <c r="R23" s="349">
        <v>190991.83688473838</v>
      </c>
      <c r="S23" s="349">
        <v>209440.36337593116</v>
      </c>
      <c r="T23" s="349">
        <v>228023.93860086234</v>
      </c>
      <c r="U23" s="349">
        <v>246755.94114255102</v>
      </c>
      <c r="V23" s="349">
        <v>265647.13270104333</v>
      </c>
      <c r="W23" s="349">
        <v>284706.2769134916</v>
      </c>
      <c r="X23" s="349">
        <v>303940.58301590837</v>
      </c>
      <c r="Y23" s="349">
        <v>323356.03149721422</v>
      </c>
      <c r="Z23" s="349">
        <v>342957.61802483012</v>
      </c>
      <c r="AA23" s="349">
        <v>362749.53940090875</v>
      </c>
      <c r="AB23" s="349">
        <v>382735.33753534837</v>
      </c>
      <c r="AC23" s="349">
        <v>402918.0124496842</v>
      </c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</row>
    <row r="24" spans="1:44" x14ac:dyDescent="0.2">
      <c r="A24" s="334"/>
      <c r="B24" s="334"/>
      <c r="C24" s="334"/>
      <c r="D24" s="334" t="s">
        <v>321</v>
      </c>
      <c r="E24" s="349">
        <v>558.94147449060438</v>
      </c>
      <c r="F24" s="349">
        <v>574.10768182484969</v>
      </c>
      <c r="G24" s="349">
        <v>589.44068446244296</v>
      </c>
      <c r="H24" s="349">
        <v>604.93970835695484</v>
      </c>
      <c r="I24" s="349">
        <v>310.54603704853218</v>
      </c>
      <c r="J24" s="349">
        <v>319.00928163363108</v>
      </c>
      <c r="K24" s="349">
        <v>327.7923566591395</v>
      </c>
      <c r="L24" s="349">
        <v>336.86661086063691</v>
      </c>
      <c r="M24" s="349">
        <v>346.21404190895419</v>
      </c>
      <c r="N24" s="349">
        <v>355.82173875960825</v>
      </c>
      <c r="O24" s="349">
        <v>365.67974398503236</v>
      </c>
      <c r="P24" s="349">
        <v>375.78001194856381</v>
      </c>
      <c r="Q24" s="349">
        <v>386.11582664761158</v>
      </c>
      <c r="R24" s="349">
        <v>396.68144536462353</v>
      </c>
      <c r="S24" s="349">
        <v>407.47186572512351</v>
      </c>
      <c r="T24" s="349">
        <v>418.48266564454917</v>
      </c>
      <c r="U24" s="349">
        <v>429.70988895982811</v>
      </c>
      <c r="V24" s="349">
        <v>441.14996107387765</v>
      </c>
      <c r="W24" s="349">
        <v>452.79962508611294</v>
      </c>
      <c r="X24" s="349">
        <v>464.65589235733717</v>
      </c>
      <c r="Y24" s="349">
        <v>476.71600352147681</v>
      </c>
      <c r="Z24" s="349">
        <v>488.97739723375309</v>
      </c>
      <c r="AA24" s="349">
        <v>488.97739723375309</v>
      </c>
      <c r="AB24" s="349">
        <v>488.97739723375309</v>
      </c>
      <c r="AC24" s="349">
        <v>488.97739723375309</v>
      </c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</row>
    <row r="25" spans="1:44" x14ac:dyDescent="0.2">
      <c r="A25" s="334"/>
      <c r="B25" s="334"/>
      <c r="C25" s="334"/>
      <c r="D25" s="334" t="s">
        <v>322</v>
      </c>
      <c r="E25" s="349">
        <v>24285.357871907087</v>
      </c>
      <c r="F25" s="349">
        <v>24944.311965459296</v>
      </c>
      <c r="G25" s="349">
        <v>25610.513121213942</v>
      </c>
      <c r="H25" s="349">
        <v>26283.927707752711</v>
      </c>
      <c r="I25" s="349">
        <v>13492.864619322312</v>
      </c>
      <c r="J25" s="349">
        <v>13860.582766725705</v>
      </c>
      <c r="K25" s="349">
        <v>14242.197175290887</v>
      </c>
      <c r="L25" s="349">
        <v>14636.462980856411</v>
      </c>
      <c r="M25" s="349">
        <v>15042.598003129084</v>
      </c>
      <c r="N25" s="349">
        <v>15460.041272221921</v>
      </c>
      <c r="O25" s="349">
        <v>15888.360149472421</v>
      </c>
      <c r="P25" s="349">
        <v>16327.205061312368</v>
      </c>
      <c r="Q25" s="349">
        <v>16776.284205229629</v>
      </c>
      <c r="R25" s="349">
        <v>17235.348066816568</v>
      </c>
      <c r="S25" s="349">
        <v>17704.179298712315</v>
      </c>
      <c r="T25" s="349">
        <v>18182.585766478762</v>
      </c>
      <c r="U25" s="349">
        <v>18670.395579425374</v>
      </c>
      <c r="V25" s="349">
        <v>19167.453425460721</v>
      </c>
      <c r="W25" s="349">
        <v>19673.617796037172</v>
      </c>
      <c r="X25" s="349">
        <v>20188.758838252852</v>
      </c>
      <c r="Y25" s="349">
        <v>20712.756660856794</v>
      </c>
      <c r="Z25" s="349">
        <v>21245.499976393286</v>
      </c>
      <c r="AA25" s="349">
        <v>21245.499976393286</v>
      </c>
      <c r="AB25" s="349">
        <v>21245.499976393286</v>
      </c>
      <c r="AC25" s="349">
        <v>21245.499976393286</v>
      </c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</row>
    <row r="26" spans="1:44" x14ac:dyDescent="0.2">
      <c r="A26" s="334"/>
      <c r="B26" s="334"/>
      <c r="C26" s="334"/>
      <c r="D26" s="334" t="s">
        <v>323</v>
      </c>
      <c r="E26" s="349">
        <v>2102.5077138073384</v>
      </c>
      <c r="F26" s="349">
        <v>2159.5567419520344</v>
      </c>
      <c r="G26" s="349">
        <v>2217.2331853591872</v>
      </c>
      <c r="H26" s="349">
        <v>2275.534132384802</v>
      </c>
      <c r="I26" s="349">
        <v>1168.1463412280991</v>
      </c>
      <c r="J26" s="349">
        <v>1199.981583084548</v>
      </c>
      <c r="K26" s="349">
        <v>1233.0198953853298</v>
      </c>
      <c r="L26" s="349">
        <v>1267.1535038692673</v>
      </c>
      <c r="M26" s="349">
        <v>1302.3146911854892</v>
      </c>
      <c r="N26" s="349">
        <v>1338.4548913000579</v>
      </c>
      <c r="O26" s="349">
        <v>1375.536648469888</v>
      </c>
      <c r="P26" s="349">
        <v>1413.5296983221995</v>
      </c>
      <c r="Q26" s="349">
        <v>1452.4087780201874</v>
      </c>
      <c r="R26" s="349">
        <v>1492.1522858246672</v>
      </c>
      <c r="S26" s="349">
        <v>1532.7414048623104</v>
      </c>
      <c r="T26" s="349">
        <v>1574.1595010715423</v>
      </c>
      <c r="U26" s="349">
        <v>1616.3916929956151</v>
      </c>
      <c r="V26" s="349">
        <v>1659.4245344719473</v>
      </c>
      <c r="W26" s="349">
        <v>1703.2457743813864</v>
      </c>
      <c r="X26" s="349">
        <v>1747.844170693681</v>
      </c>
      <c r="Y26" s="349">
        <v>1793.2093438096795</v>
      </c>
      <c r="Z26" s="349">
        <v>1839.3316590048153</v>
      </c>
      <c r="AA26" s="349">
        <v>1839.3316590048153</v>
      </c>
      <c r="AB26" s="349">
        <v>1839.3316590048153</v>
      </c>
      <c r="AC26" s="349">
        <v>1839.3316590048153</v>
      </c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</row>
    <row r="27" spans="1:44" x14ac:dyDescent="0.2">
      <c r="A27" s="334"/>
      <c r="B27" s="334"/>
      <c r="C27" s="334"/>
      <c r="D27" s="334" t="s">
        <v>324</v>
      </c>
      <c r="E27" s="349">
        <v>13512.5</v>
      </c>
      <c r="F27" s="349">
        <v>13512.5</v>
      </c>
      <c r="G27" s="349">
        <v>13512.5</v>
      </c>
      <c r="H27" s="349">
        <v>13512.5</v>
      </c>
      <c r="I27" s="349">
        <v>7050</v>
      </c>
      <c r="J27" s="349">
        <v>7050</v>
      </c>
      <c r="K27" s="349">
        <v>7050</v>
      </c>
      <c r="L27" s="349">
        <v>7050</v>
      </c>
      <c r="M27" s="349">
        <v>7050</v>
      </c>
      <c r="N27" s="349">
        <v>7050</v>
      </c>
      <c r="O27" s="349">
        <v>7050</v>
      </c>
      <c r="P27" s="349">
        <v>7050</v>
      </c>
      <c r="Q27" s="349">
        <v>7050</v>
      </c>
      <c r="R27" s="349">
        <v>7050</v>
      </c>
      <c r="S27" s="349">
        <v>7050</v>
      </c>
      <c r="T27" s="349">
        <v>7050</v>
      </c>
      <c r="U27" s="349">
        <v>7050</v>
      </c>
      <c r="V27" s="349">
        <v>7050</v>
      </c>
      <c r="W27" s="349">
        <v>7050</v>
      </c>
      <c r="X27" s="349">
        <v>7050</v>
      </c>
      <c r="Y27" s="349">
        <v>7050</v>
      </c>
      <c r="Z27" s="349">
        <v>7050</v>
      </c>
      <c r="AA27" s="349">
        <v>7050</v>
      </c>
      <c r="AB27" s="349">
        <v>7050</v>
      </c>
      <c r="AC27" s="349">
        <v>7050</v>
      </c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</row>
    <row r="28" spans="1:44" x14ac:dyDescent="0.2">
      <c r="A28" s="334"/>
      <c r="B28" s="334"/>
      <c r="C28" s="334"/>
      <c r="D28" s="350" t="s">
        <v>280</v>
      </c>
      <c r="E28" s="344">
        <f>SUM(E23:E27)</f>
        <v>698980.76760274288</v>
      </c>
      <c r="F28" s="344">
        <f t="shared" ref="F28:AC28" si="1">SUM(F23:F27)</f>
        <v>725961.75553331897</v>
      </c>
      <c r="G28" s="344">
        <f t="shared" si="1"/>
        <v>757263.38968282228</v>
      </c>
      <c r="H28" s="344">
        <f t="shared" si="1"/>
        <v>793668.65710940352</v>
      </c>
      <c r="I28" s="344">
        <f t="shared" si="1"/>
        <v>43923.520268618508</v>
      </c>
      <c r="J28" s="344">
        <f t="shared" si="1"/>
        <v>63291.415895925667</v>
      </c>
      <c r="K28" s="344">
        <f t="shared" si="1"/>
        <v>83070.318611466515</v>
      </c>
      <c r="L28" s="344">
        <f t="shared" si="1"/>
        <v>103832.54625137542</v>
      </c>
      <c r="M28" s="344">
        <f t="shared" si="1"/>
        <v>123703.93147772402</v>
      </c>
      <c r="N28" s="344">
        <f t="shared" si="1"/>
        <v>142329.15851149577</v>
      </c>
      <c r="O28" s="344">
        <f t="shared" si="1"/>
        <v>160941.1732493696</v>
      </c>
      <c r="P28" s="344">
        <f t="shared" si="1"/>
        <v>179594.09437402696</v>
      </c>
      <c r="Q28" s="344">
        <f t="shared" si="1"/>
        <v>198326.2851325417</v>
      </c>
      <c r="R28" s="344">
        <f t="shared" si="1"/>
        <v>217166.01868274427</v>
      </c>
      <c r="S28" s="344">
        <f t="shared" si="1"/>
        <v>236134.75594523092</v>
      </c>
      <c r="T28" s="344">
        <f t="shared" si="1"/>
        <v>255249.16653405721</v>
      </c>
      <c r="U28" s="344">
        <f t="shared" si="1"/>
        <v>274522.43830393185</v>
      </c>
      <c r="V28" s="344">
        <f t="shared" si="1"/>
        <v>293965.16062204988</v>
      </c>
      <c r="W28" s="344">
        <f t="shared" si="1"/>
        <v>313585.94010899629</v>
      </c>
      <c r="X28" s="344">
        <f t="shared" si="1"/>
        <v>333391.84191721224</v>
      </c>
      <c r="Y28" s="344">
        <f t="shared" si="1"/>
        <v>353388.71350540215</v>
      </c>
      <c r="Z28" s="344">
        <f t="shared" si="1"/>
        <v>373581.42705746199</v>
      </c>
      <c r="AA28" s="344">
        <f t="shared" si="1"/>
        <v>393373.34843354061</v>
      </c>
      <c r="AB28" s="344">
        <f t="shared" si="1"/>
        <v>413359.14656798023</v>
      </c>
      <c r="AC28" s="344">
        <f t="shared" si="1"/>
        <v>433541.82148231607</v>
      </c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5D41-0DA1-4029-A2C0-179BECD38DA6}">
  <sheetPr codeName="Sheet12"/>
  <dimension ref="A1:AJ69"/>
  <sheetViews>
    <sheetView showGridLines="0" zoomScale="85" zoomScaleNormal="85" workbookViewId="0">
      <selection activeCell="A6" sqref="A6"/>
    </sheetView>
  </sheetViews>
  <sheetFormatPr defaultRowHeight="12.75" x14ac:dyDescent="0.2"/>
  <cols>
    <col min="1" max="1" width="27.875" bestFit="1" customWidth="1"/>
    <col min="3" max="3" width="19.125" bestFit="1" customWidth="1"/>
    <col min="4" max="4" width="9.875" bestFit="1" customWidth="1"/>
    <col min="5" max="5" width="10.125" bestFit="1" customWidth="1"/>
    <col min="6" max="6" width="12.125" bestFit="1" customWidth="1"/>
    <col min="7" max="7" width="9.875" bestFit="1" customWidth="1"/>
  </cols>
  <sheetData>
    <row r="1" spans="1:36" ht="18.75" x14ac:dyDescent="0.3">
      <c r="A1" s="15" t="str">
        <f>bus</f>
        <v>CitiPower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36" ht="18.75" x14ac:dyDescent="0.3">
      <c r="A2" s="56" t="str">
        <f>proj</f>
        <v>AR transformer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5" spans="1:36" x14ac:dyDescent="0.2">
      <c r="A5" s="351" t="s">
        <v>282</v>
      </c>
      <c r="B5" s="351"/>
      <c r="C5" s="352" t="s">
        <v>283</v>
      </c>
      <c r="D5" s="352"/>
      <c r="E5" s="205"/>
      <c r="F5" s="353" t="s">
        <v>284</v>
      </c>
      <c r="G5" s="354" t="s">
        <v>285</v>
      </c>
      <c r="H5" s="352" t="s">
        <v>286</v>
      </c>
      <c r="I5" s="352" t="s">
        <v>287</v>
      </c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</row>
    <row r="6" spans="1:36" x14ac:dyDescent="0.2">
      <c r="A6" s="355" t="s">
        <v>288</v>
      </c>
      <c r="B6" s="356" t="s">
        <v>329</v>
      </c>
      <c r="C6" s="357" t="s">
        <v>289</v>
      </c>
      <c r="D6" s="358"/>
      <c r="E6" s="205"/>
      <c r="F6" s="357" t="s">
        <v>290</v>
      </c>
      <c r="G6" s="359">
        <v>1.5324214142647691E-3</v>
      </c>
      <c r="H6" s="354">
        <v>1</v>
      </c>
      <c r="I6" s="360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</row>
    <row r="7" spans="1:36" x14ac:dyDescent="0.2">
      <c r="A7" s="355" t="s">
        <v>291</v>
      </c>
      <c r="B7" s="356" t="s">
        <v>292</v>
      </c>
      <c r="C7" s="357" t="s">
        <v>293</v>
      </c>
      <c r="D7" s="358"/>
      <c r="E7" s="205"/>
      <c r="F7" s="357" t="s">
        <v>294</v>
      </c>
      <c r="G7" s="359">
        <v>1.5324214142647691E-3</v>
      </c>
      <c r="H7" s="354">
        <v>1</v>
      </c>
      <c r="I7" s="360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</row>
    <row r="8" spans="1:36" x14ac:dyDescent="0.2">
      <c r="A8" s="361" t="s">
        <v>8</v>
      </c>
      <c r="B8" s="362">
        <v>35.598999999999997</v>
      </c>
      <c r="C8" s="361" t="s">
        <v>295</v>
      </c>
      <c r="D8" s="363">
        <v>7711222.5599999996</v>
      </c>
      <c r="E8" s="205"/>
      <c r="F8" s="357" t="s">
        <v>296</v>
      </c>
      <c r="G8" s="359" t="b">
        <v>1</v>
      </c>
      <c r="H8" s="354">
        <v>1</v>
      </c>
      <c r="I8" s="360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</row>
    <row r="9" spans="1:36" x14ac:dyDescent="0.2">
      <c r="A9" s="361" t="s">
        <v>297</v>
      </c>
      <c r="B9" s="364">
        <v>0.5</v>
      </c>
      <c r="C9" s="361" t="s">
        <v>298</v>
      </c>
      <c r="D9" s="363">
        <v>166900</v>
      </c>
      <c r="E9" s="205"/>
      <c r="F9" s="357" t="s">
        <v>299</v>
      </c>
      <c r="G9" s="365">
        <v>0</v>
      </c>
      <c r="H9" s="354">
        <v>1</v>
      </c>
      <c r="I9" s="360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</row>
    <row r="10" spans="1:36" ht="19.5" customHeight="1" x14ac:dyDescent="0.2">
      <c r="A10" s="366" t="s">
        <v>331</v>
      </c>
      <c r="B10" s="367" t="s">
        <v>300</v>
      </c>
      <c r="C10" s="352" t="s">
        <v>301</v>
      </c>
      <c r="D10" s="351" t="s">
        <v>302</v>
      </c>
      <c r="E10" s="352">
        <v>2025</v>
      </c>
      <c r="F10" s="352">
        <v>2026</v>
      </c>
      <c r="G10" s="352">
        <v>2027</v>
      </c>
      <c r="H10" s="352">
        <v>2028</v>
      </c>
      <c r="I10" s="352">
        <v>2029</v>
      </c>
      <c r="J10" s="352">
        <v>2030</v>
      </c>
      <c r="K10" s="352">
        <v>2031</v>
      </c>
      <c r="L10" s="352">
        <v>2032</v>
      </c>
      <c r="M10" s="352">
        <v>2033</v>
      </c>
      <c r="N10" s="352">
        <v>2034</v>
      </c>
      <c r="O10" s="352">
        <v>2035</v>
      </c>
      <c r="P10" s="352">
        <v>2036</v>
      </c>
      <c r="Q10" s="352">
        <v>2037</v>
      </c>
      <c r="R10" s="352">
        <v>2038</v>
      </c>
      <c r="S10" s="352">
        <v>2039</v>
      </c>
      <c r="T10" s="352">
        <v>2040</v>
      </c>
      <c r="U10" s="352">
        <v>2041</v>
      </c>
      <c r="V10" s="352">
        <v>2042</v>
      </c>
      <c r="W10" s="352">
        <v>2043</v>
      </c>
      <c r="X10" s="352">
        <v>2044</v>
      </c>
      <c r="Y10" s="352">
        <v>2045</v>
      </c>
      <c r="Z10" s="352">
        <v>2046</v>
      </c>
      <c r="AA10" s="352">
        <v>2047</v>
      </c>
      <c r="AB10" s="368">
        <v>2048</v>
      </c>
      <c r="AC10" s="368">
        <v>2049</v>
      </c>
      <c r="AD10" s="368">
        <v>2050</v>
      </c>
      <c r="AE10" s="368">
        <v>2051</v>
      </c>
      <c r="AF10" s="368">
        <v>2052</v>
      </c>
      <c r="AG10" s="368">
        <v>2053</v>
      </c>
      <c r="AH10" s="368">
        <v>2054</v>
      </c>
      <c r="AI10" s="368">
        <v>2055</v>
      </c>
      <c r="AJ10" s="368">
        <v>2056</v>
      </c>
    </row>
    <row r="11" spans="1:36" x14ac:dyDescent="0.2">
      <c r="A11" s="355" t="s">
        <v>303</v>
      </c>
      <c r="B11" s="369" t="b">
        <v>0</v>
      </c>
      <c r="C11" s="370">
        <v>0</v>
      </c>
      <c r="D11" s="355" t="s">
        <v>23</v>
      </c>
      <c r="E11" s="371">
        <v>16308.593002998043</v>
      </c>
      <c r="F11" s="371">
        <v>17434.6342797219</v>
      </c>
      <c r="G11" s="371">
        <v>18104.212325471195</v>
      </c>
      <c r="H11" s="371">
        <v>18894.215671144153</v>
      </c>
      <c r="I11" s="371">
        <v>19837.972111901454</v>
      </c>
      <c r="J11" s="371">
        <v>20718.055013611342</v>
      </c>
      <c r="K11" s="371">
        <v>21709.355959609977</v>
      </c>
      <c r="L11" s="371">
        <v>22909.894773159609</v>
      </c>
      <c r="M11" s="371">
        <v>24338.657253413097</v>
      </c>
      <c r="N11" s="371">
        <v>25298.68552910729</v>
      </c>
      <c r="O11" s="371">
        <v>25910.101320040834</v>
      </c>
      <c r="P11" s="371">
        <v>26527.618849955277</v>
      </c>
      <c r="Q11" s="371">
        <v>27151.217180181182</v>
      </c>
      <c r="R11" s="371">
        <v>27780.875823032056</v>
      </c>
      <c r="S11" s="371">
        <v>28416.574728345775</v>
      </c>
      <c r="T11" s="371">
        <v>29058.294270609182</v>
      </c>
      <c r="U11" s="371">
        <v>29706.01523663427</v>
      </c>
      <c r="V11" s="371">
        <v>30359.718813754698</v>
      </c>
      <c r="W11" s="371">
        <v>31019.386578514415</v>
      </c>
      <c r="X11" s="371">
        <v>31685.000485822125</v>
      </c>
      <c r="Y11" s="371">
        <v>32356.542858546385</v>
      </c>
      <c r="Z11" s="371">
        <v>33033.996377528783</v>
      </c>
      <c r="AA11" s="371">
        <v>33717.344071992891</v>
      </c>
      <c r="AB11" s="371">
        <v>34406.569310329171</v>
      </c>
      <c r="AC11" s="371">
        <v>35101.655791236124</v>
      </c>
      <c r="AD11" s="371">
        <v>35802.587535201186</v>
      </c>
      <c r="AE11" s="371">
        <v>36509.348876302378</v>
      </c>
      <c r="AF11" s="371">
        <v>37221.924454317552</v>
      </c>
      <c r="AG11" s="371">
        <v>37221.924454317552</v>
      </c>
      <c r="AH11" s="371">
        <v>37221.924454317552</v>
      </c>
      <c r="AI11" s="371">
        <v>37221.924454317552</v>
      </c>
      <c r="AJ11" s="371">
        <v>37221.924454317552</v>
      </c>
    </row>
    <row r="12" spans="1:36" x14ac:dyDescent="0.2">
      <c r="A12" s="355" t="s">
        <v>304</v>
      </c>
      <c r="B12" s="369" t="b">
        <v>0</v>
      </c>
      <c r="C12" s="370">
        <v>0</v>
      </c>
      <c r="D12" s="355" t="s">
        <v>23</v>
      </c>
      <c r="E12" s="372">
        <v>19698.589643462416</v>
      </c>
      <c r="F12" s="372">
        <v>20980.231517351996</v>
      </c>
      <c r="G12" s="372">
        <v>21875.799970220938</v>
      </c>
      <c r="H12" s="372">
        <v>22894.18936092253</v>
      </c>
      <c r="I12" s="372">
        <v>24030.953782672175</v>
      </c>
      <c r="J12" s="372">
        <v>25065.157560354914</v>
      </c>
      <c r="K12" s="372">
        <v>26288.352661687612</v>
      </c>
      <c r="L12" s="372">
        <v>27881.28032734252</v>
      </c>
      <c r="M12" s="372">
        <v>29450.587901981071</v>
      </c>
      <c r="N12" s="372">
        <v>30588.485776041154</v>
      </c>
      <c r="O12" s="372">
        <v>31327.720817096517</v>
      </c>
      <c r="P12" s="372">
        <v>32074.332051749425</v>
      </c>
      <c r="Q12" s="372">
        <v>32828.294130822644</v>
      </c>
      <c r="R12" s="372">
        <v>33589.582250263797</v>
      </c>
      <c r="S12" s="372">
        <v>34358.172134873457</v>
      </c>
      <c r="T12" s="372">
        <v>35134.040022738685</v>
      </c>
      <c r="U12" s="372">
        <v>35917.162650333055</v>
      </c>
      <c r="V12" s="372">
        <v>36707.517238246081</v>
      </c>
      <c r="W12" s="372">
        <v>37505.081477507461</v>
      </c>
      <c r="X12" s="372">
        <v>38309.833516474857</v>
      </c>
      <c r="Y12" s="372">
        <v>39121.751948254023</v>
      </c>
      <c r="Z12" s="372">
        <v>39940.815798624768</v>
      </c>
      <c r="AA12" s="372">
        <v>40767.004514445143</v>
      </c>
      <c r="AB12" s="372">
        <v>41600.297952510598</v>
      </c>
      <c r="AC12" s="372">
        <v>42440.6763688434</v>
      </c>
      <c r="AD12" s="372">
        <v>43288.120408393013</v>
      </c>
      <c r="AE12" s="372">
        <v>44142.611095124543</v>
      </c>
      <c r="AF12" s="372">
        <v>45004.129822478564</v>
      </c>
      <c r="AG12" s="372">
        <v>45004.129822478564</v>
      </c>
      <c r="AH12" s="372">
        <v>45004.129822478564</v>
      </c>
      <c r="AI12" s="372">
        <v>45004.129822478564</v>
      </c>
      <c r="AJ12" s="372">
        <v>45004.129822478564</v>
      </c>
    </row>
    <row r="13" spans="1:36" x14ac:dyDescent="0.2">
      <c r="A13" s="355" t="s">
        <v>305</v>
      </c>
      <c r="B13" s="369" t="b">
        <v>0</v>
      </c>
      <c r="C13" s="370">
        <v>300000</v>
      </c>
      <c r="D13" s="355" t="s">
        <v>23</v>
      </c>
      <c r="E13" s="372">
        <v>16308.593002998043</v>
      </c>
      <c r="F13" s="372">
        <v>17434.6342797219</v>
      </c>
      <c r="G13" s="372">
        <v>18104.212325471195</v>
      </c>
      <c r="H13" s="372">
        <v>18894.215671144153</v>
      </c>
      <c r="I13" s="372">
        <v>19837.972111901454</v>
      </c>
      <c r="J13" s="372">
        <v>20718.055013611342</v>
      </c>
      <c r="K13" s="372">
        <v>21709.355959609977</v>
      </c>
      <c r="L13" s="372">
        <v>22909.894773159609</v>
      </c>
      <c r="M13" s="372">
        <v>24338.657253413097</v>
      </c>
      <c r="N13" s="372">
        <v>25298.68552910729</v>
      </c>
      <c r="O13" s="372">
        <v>25910.101320040834</v>
      </c>
      <c r="P13" s="372">
        <v>26527.618849955277</v>
      </c>
      <c r="Q13" s="372">
        <v>27151.217180181182</v>
      </c>
      <c r="R13" s="372">
        <v>27780.875823032056</v>
      </c>
      <c r="S13" s="372">
        <v>28416.574728345775</v>
      </c>
      <c r="T13" s="372">
        <v>29058.294270609182</v>
      </c>
      <c r="U13" s="372">
        <v>29706.01523663427</v>
      </c>
      <c r="V13" s="372">
        <v>30359.718813754698</v>
      </c>
      <c r="W13" s="372">
        <v>31019.386578514415</v>
      </c>
      <c r="X13" s="372">
        <v>31685.000485822125</v>
      </c>
      <c r="Y13" s="372">
        <v>32356.542858546385</v>
      </c>
      <c r="Z13" s="372">
        <v>33033.996377528783</v>
      </c>
      <c r="AA13" s="372">
        <v>33717.344071992891</v>
      </c>
      <c r="AB13" s="372">
        <v>34406.569310329171</v>
      </c>
      <c r="AC13" s="372">
        <v>35101.655791236124</v>
      </c>
      <c r="AD13" s="372">
        <v>35802.587535201186</v>
      </c>
      <c r="AE13" s="372">
        <v>36509.348876302378</v>
      </c>
      <c r="AF13" s="372">
        <v>37221.924454317552</v>
      </c>
      <c r="AG13" s="372">
        <v>37221.924454317552</v>
      </c>
      <c r="AH13" s="372">
        <v>37221.924454317552</v>
      </c>
      <c r="AI13" s="372">
        <v>37221.924454317552</v>
      </c>
      <c r="AJ13" s="372">
        <v>37221.924454317552</v>
      </c>
    </row>
    <row r="14" spans="1:36" x14ac:dyDescent="0.2">
      <c r="A14" s="355" t="s">
        <v>306</v>
      </c>
      <c r="B14" s="369" t="b">
        <v>0</v>
      </c>
      <c r="C14" s="370">
        <v>4000</v>
      </c>
      <c r="D14" s="355" t="s">
        <v>307</v>
      </c>
      <c r="E14" s="373">
        <v>3.0648428285295383E-3</v>
      </c>
      <c r="F14" s="373">
        <v>3.1493524772428678E-3</v>
      </c>
      <c r="G14" s="373">
        <v>3.2348063839904651E-3</v>
      </c>
      <c r="H14" s="373">
        <v>3.3212000979017187E-3</v>
      </c>
      <c r="I14" s="373">
        <v>3.4085292576165396E-3</v>
      </c>
      <c r="J14" s="373">
        <v>3.4967895881488891E-3</v>
      </c>
      <c r="K14" s="373">
        <v>3.5859768979056108E-3</v>
      </c>
      <c r="L14" s="373">
        <v>3.6760870758507295E-3</v>
      </c>
      <c r="M14" s="373">
        <v>3.7671160888060936E-3</v>
      </c>
      <c r="N14" s="373">
        <v>3.8590599788799287E-3</v>
      </c>
      <c r="O14" s="373">
        <v>3.9519148610155435E-3</v>
      </c>
      <c r="P14" s="373">
        <v>4.0456769206529183E-3</v>
      </c>
      <c r="Q14" s="373">
        <v>4.1403424114965816E-3</v>
      </c>
      <c r="R14" s="373">
        <v>4.2359076533834755E-3</v>
      </c>
      <c r="S14" s="373">
        <v>4.3323690302451432E-3</v>
      </c>
      <c r="T14" s="373">
        <v>4.4297229881587455E-3</v>
      </c>
      <c r="U14" s="373">
        <v>4.5279660334820804E-3</v>
      </c>
      <c r="V14" s="373">
        <v>4.6270947310678417E-3</v>
      </c>
      <c r="W14" s="373">
        <v>4.727105702552796E-3</v>
      </c>
      <c r="X14" s="373">
        <v>4.8279956247179023E-3</v>
      </c>
      <c r="Y14" s="373">
        <v>4.929761227915469E-3</v>
      </c>
      <c r="Z14" s="373">
        <v>5.0323992945599735E-3</v>
      </c>
      <c r="AA14" s="373">
        <v>5.135906657679077E-3</v>
      </c>
      <c r="AB14" s="373">
        <v>5.135906657679077E-3</v>
      </c>
      <c r="AC14" s="373">
        <v>5.135906657679077E-3</v>
      </c>
      <c r="AD14" s="373">
        <v>5.135906657679077E-3</v>
      </c>
      <c r="AE14" s="373">
        <v>5.135906657679077E-3</v>
      </c>
      <c r="AF14" s="373">
        <v>5.135906657679077E-3</v>
      </c>
      <c r="AG14" s="373">
        <v>5.135906657679077E-3</v>
      </c>
      <c r="AH14" s="373">
        <v>5.135906657679077E-3</v>
      </c>
      <c r="AI14" s="373">
        <v>5.135906657679077E-3</v>
      </c>
      <c r="AJ14" s="373">
        <v>5.135906657679077E-3</v>
      </c>
    </row>
    <row r="15" spans="1:36" x14ac:dyDescent="0.2">
      <c r="A15" s="355" t="s">
        <v>308</v>
      </c>
      <c r="B15" s="369" t="b">
        <v>0</v>
      </c>
      <c r="C15" s="370">
        <v>650</v>
      </c>
      <c r="D15" s="355" t="s">
        <v>309</v>
      </c>
      <c r="E15" s="373">
        <v>1.2259371314118153E-2</v>
      </c>
      <c r="F15" s="373">
        <v>1.2597409908971471E-2</v>
      </c>
      <c r="G15" s="373">
        <v>1.293922553596186E-2</v>
      </c>
      <c r="H15" s="373">
        <v>1.3284800391606875E-2</v>
      </c>
      <c r="I15" s="373">
        <v>1.3634117030466159E-2</v>
      </c>
      <c r="J15" s="373">
        <v>1.3987158352595556E-2</v>
      </c>
      <c r="K15" s="373">
        <v>1.4343907591622443E-2</v>
      </c>
      <c r="L15" s="373">
        <v>1.4704348303402918E-2</v>
      </c>
      <c r="M15" s="373">
        <v>1.5068464355224374E-2</v>
      </c>
      <c r="N15" s="373">
        <v>1.5436239915519715E-2</v>
      </c>
      <c r="O15" s="373">
        <v>1.5807659444062174E-2</v>
      </c>
      <c r="P15" s="373">
        <v>1.6182707682611673E-2</v>
      </c>
      <c r="Q15" s="373">
        <v>1.6561369645986326E-2</v>
      </c>
      <c r="R15" s="373">
        <v>1.6943630613533902E-2</v>
      </c>
      <c r="S15" s="373">
        <v>1.7329476120980573E-2</v>
      </c>
      <c r="T15" s="373">
        <v>1.7718891952634982E-2</v>
      </c>
      <c r="U15" s="373">
        <v>1.8111864133928322E-2</v>
      </c>
      <c r="V15" s="373">
        <v>1.8508378924271367E-2</v>
      </c>
      <c r="W15" s="373">
        <v>1.8908422810211184E-2</v>
      </c>
      <c r="X15" s="373">
        <v>1.9311982498871609E-2</v>
      </c>
      <c r="Y15" s="373">
        <v>1.9719044911661876E-2</v>
      </c>
      <c r="Z15" s="373">
        <v>2.0129597178239894E-2</v>
      </c>
      <c r="AA15" s="373">
        <v>2.0543626630716308E-2</v>
      </c>
      <c r="AB15" s="373">
        <v>2.0543626630716308E-2</v>
      </c>
      <c r="AC15" s="373">
        <v>2.0543626630716308E-2</v>
      </c>
      <c r="AD15" s="373">
        <v>2.0543626630716308E-2</v>
      </c>
      <c r="AE15" s="373">
        <v>2.0543626630716308E-2</v>
      </c>
      <c r="AF15" s="373">
        <v>2.0543626630716308E-2</v>
      </c>
      <c r="AG15" s="373">
        <v>2.0543626630716308E-2</v>
      </c>
      <c r="AH15" s="373">
        <v>2.0543626630716308E-2</v>
      </c>
      <c r="AI15" s="373">
        <v>2.0543626630716308E-2</v>
      </c>
      <c r="AJ15" s="373">
        <v>2.0543626630716308E-2</v>
      </c>
    </row>
    <row r="16" spans="1:36" x14ac:dyDescent="0.2">
      <c r="A16" s="355" t="s">
        <v>310</v>
      </c>
      <c r="B16" s="374" t="b">
        <v>0</v>
      </c>
      <c r="C16" s="370">
        <v>300000</v>
      </c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</row>
    <row r="17" spans="1:36" x14ac:dyDescent="0.2">
      <c r="A17" s="355" t="s">
        <v>311</v>
      </c>
      <c r="B17" s="374" t="b">
        <v>0</v>
      </c>
      <c r="C17" s="370">
        <v>500000</v>
      </c>
      <c r="D17" s="355" t="s">
        <v>275</v>
      </c>
      <c r="E17" s="375">
        <v>616773.74943489465</v>
      </c>
      <c r="F17" s="375">
        <v>658521.46054253797</v>
      </c>
      <c r="G17" s="375">
        <v>684771.2791440828</v>
      </c>
      <c r="H17" s="375">
        <v>715333.70269178669</v>
      </c>
      <c r="I17" s="375">
        <v>750991.75556090975</v>
      </c>
      <c r="J17" s="375">
        <v>783967.79149800737</v>
      </c>
      <c r="K17" s="375">
        <v>821733.67388533393</v>
      </c>
      <c r="L17" s="375">
        <v>868662.25033271615</v>
      </c>
      <c r="M17" s="375">
        <v>921025.74531176407</v>
      </c>
      <c r="N17" s="375">
        <v>957101.38584787003</v>
      </c>
      <c r="O17" s="375">
        <v>980232.24783483916</v>
      </c>
      <c r="P17" s="375">
        <v>1003593.9364207588</v>
      </c>
      <c r="Q17" s="375">
        <v>1027185.6591070354</v>
      </c>
      <c r="R17" s="375">
        <v>1051006.6404550248</v>
      </c>
      <c r="S17" s="375">
        <v>1075056.1215768747</v>
      </c>
      <c r="T17" s="375">
        <v>1099333.3596484335</v>
      </c>
      <c r="U17" s="375">
        <v>1123837.6274430221</v>
      </c>
      <c r="V17" s="375">
        <v>1148568.2128848941</v>
      </c>
      <c r="W17" s="375">
        <v>1173524.4186213107</v>
      </c>
      <c r="X17" s="375">
        <v>1198705.5616122435</v>
      </c>
      <c r="Y17" s="375">
        <v>1224110.9727367433</v>
      </c>
      <c r="Z17" s="375">
        <v>1249739.9964151259</v>
      </c>
      <c r="AA17" s="375">
        <v>1275591.990246132</v>
      </c>
      <c r="AB17" s="375">
        <v>1301666.3246583131</v>
      </c>
      <c r="AC17" s="375">
        <v>1327962.382574887</v>
      </c>
      <c r="AD17" s="375">
        <v>1354479.5590914534</v>
      </c>
      <c r="AE17" s="375">
        <v>1381217.2611658431</v>
      </c>
      <c r="AF17" s="375">
        <v>1408174.9073195995</v>
      </c>
      <c r="AG17" s="375">
        <v>1408174.9073195995</v>
      </c>
      <c r="AH17" s="375">
        <v>1408174.9073195995</v>
      </c>
      <c r="AI17" s="375">
        <v>1408174.9073195995</v>
      </c>
      <c r="AJ17" s="375">
        <v>1408174.9073195995</v>
      </c>
    </row>
    <row r="18" spans="1:36" x14ac:dyDescent="0.2">
      <c r="A18" s="355" t="s">
        <v>312</v>
      </c>
      <c r="B18" s="369" t="b">
        <v>0</v>
      </c>
      <c r="C18" s="370">
        <v>6426018.7999999998</v>
      </c>
      <c r="D18" s="355" t="s">
        <v>276</v>
      </c>
      <c r="E18" s="375">
        <v>543.94285239230419</v>
      </c>
      <c r="F18" s="375">
        <v>558.94147449060438</v>
      </c>
      <c r="G18" s="375">
        <v>574.10768182484969</v>
      </c>
      <c r="H18" s="375">
        <v>589.44068446244296</v>
      </c>
      <c r="I18" s="375">
        <v>604.93970835695484</v>
      </c>
      <c r="J18" s="375">
        <v>620.60399479146929</v>
      </c>
      <c r="K18" s="375">
        <v>636.43279984949004</v>
      </c>
      <c r="L18" s="375">
        <v>652.42539391166656</v>
      </c>
      <c r="M18" s="375">
        <v>668.58106117671628</v>
      </c>
      <c r="N18" s="375">
        <v>684.8990992050484</v>
      </c>
      <c r="O18" s="375">
        <v>701.37881848371387</v>
      </c>
      <c r="P18" s="375">
        <v>718.01954201138676</v>
      </c>
      <c r="Q18" s="375">
        <v>734.82060490221204</v>
      </c>
      <c r="R18" s="375">
        <v>751.78135400739791</v>
      </c>
      <c r="S18" s="375">
        <v>768.90114755354796</v>
      </c>
      <c r="T18" s="375">
        <v>786.17935479675998</v>
      </c>
      <c r="U18" s="375">
        <v>803.61535569163129</v>
      </c>
      <c r="V18" s="375">
        <v>821.20854057432996</v>
      </c>
      <c r="W18" s="375">
        <v>838.95830985895975</v>
      </c>
      <c r="X18" s="375">
        <v>856.86407374651776</v>
      </c>
      <c r="Y18" s="375">
        <v>874.92525194574898</v>
      </c>
      <c r="Z18" s="375">
        <v>893.14127340529933</v>
      </c>
      <c r="AA18" s="375">
        <v>911.51157605655271</v>
      </c>
      <c r="AB18" s="375">
        <v>911.51157605655271</v>
      </c>
      <c r="AC18" s="375">
        <v>911.51157605655271</v>
      </c>
      <c r="AD18" s="375">
        <v>911.51157605655271</v>
      </c>
      <c r="AE18" s="375">
        <v>911.51157605655271</v>
      </c>
      <c r="AF18" s="375">
        <v>911.51157605655271</v>
      </c>
      <c r="AG18" s="375">
        <v>911.51157605655271</v>
      </c>
      <c r="AH18" s="375">
        <v>911.51157605655271</v>
      </c>
      <c r="AI18" s="375">
        <v>911.51157605655271</v>
      </c>
      <c r="AJ18" s="375">
        <v>911.51157605655271</v>
      </c>
    </row>
    <row r="19" spans="1:36" x14ac:dyDescent="0.2">
      <c r="A19" s="355" t="s">
        <v>313</v>
      </c>
      <c r="B19" s="369" t="b">
        <v>0</v>
      </c>
      <c r="C19" s="370">
        <v>11616012.6</v>
      </c>
      <c r="D19" s="355" t="s">
        <v>277</v>
      </c>
      <c r="E19" s="375">
        <v>23633.685162211186</v>
      </c>
      <c r="F19" s="375">
        <v>24285.357871907087</v>
      </c>
      <c r="G19" s="375">
        <v>24944.311965459296</v>
      </c>
      <c r="H19" s="375">
        <v>25610.513121213942</v>
      </c>
      <c r="I19" s="375">
        <v>26283.927707752711</v>
      </c>
      <c r="J19" s="375">
        <v>26964.522759706822</v>
      </c>
      <c r="K19" s="375">
        <v>27652.265954768562</v>
      </c>
      <c r="L19" s="375">
        <v>28347.125591824577</v>
      </c>
      <c r="M19" s="375">
        <v>29049.07057014051</v>
      </c>
      <c r="N19" s="375">
        <v>29758.07036953203</v>
      </c>
      <c r="O19" s="375">
        <v>30474.095031462322</v>
      </c>
      <c r="P19" s="375">
        <v>31197.115141010112</v>
      </c>
      <c r="Q19" s="375">
        <v>31927.101809657241</v>
      </c>
      <c r="R19" s="375">
        <v>32664.026658847313</v>
      </c>
      <c r="S19" s="375">
        <v>33407.86180427167</v>
      </c>
      <c r="T19" s="375">
        <v>34158.579840840328</v>
      </c>
      <c r="U19" s="375">
        <v>34916.153828300732</v>
      </c>
      <c r="V19" s="375">
        <v>35680.557277467473</v>
      </c>
      <c r="W19" s="375">
        <v>36451.764137029772</v>
      </c>
      <c r="X19" s="375">
        <v>37229.748780905982</v>
      </c>
      <c r="Y19" s="375">
        <v>38014.485996115065</v>
      </c>
      <c r="Z19" s="375">
        <v>38805.950971138955</v>
      </c>
      <c r="AA19" s="375">
        <v>39604.119284749097</v>
      </c>
      <c r="AB19" s="375">
        <v>39604.119284749097</v>
      </c>
      <c r="AC19" s="375">
        <v>39604.119284749097</v>
      </c>
      <c r="AD19" s="375">
        <v>39604.119284749097</v>
      </c>
      <c r="AE19" s="375">
        <v>39604.119284749097</v>
      </c>
      <c r="AF19" s="375">
        <v>39604.119284749097</v>
      </c>
      <c r="AG19" s="375">
        <v>39604.119284749097</v>
      </c>
      <c r="AH19" s="375">
        <v>39604.119284749097</v>
      </c>
      <c r="AI19" s="375">
        <v>39604.119284749097</v>
      </c>
      <c r="AJ19" s="375">
        <v>39604.119284749097</v>
      </c>
    </row>
    <row r="20" spans="1:36" x14ac:dyDescent="0.2">
      <c r="A20" s="355" t="s">
        <v>314</v>
      </c>
      <c r="B20" s="369" t="b">
        <v>0</v>
      </c>
      <c r="C20" s="370">
        <v>0</v>
      </c>
      <c r="D20" s="355" t="s">
        <v>278</v>
      </c>
      <c r="E20" s="375">
        <v>2046.0890723263199</v>
      </c>
      <c r="F20" s="375">
        <v>2102.5077138073384</v>
      </c>
      <c r="G20" s="375">
        <v>2159.5567419520344</v>
      </c>
      <c r="H20" s="375">
        <v>2217.2331853591872</v>
      </c>
      <c r="I20" s="375">
        <v>2275.534132384802</v>
      </c>
      <c r="J20" s="375">
        <v>2334.4567290481982</v>
      </c>
      <c r="K20" s="375">
        <v>2393.9981770417858</v>
      </c>
      <c r="L20" s="375">
        <v>2454.1557318379469</v>
      </c>
      <c r="M20" s="375">
        <v>2514.9267008869483</v>
      </c>
      <c r="N20" s="375">
        <v>2576.3084419002403</v>
      </c>
      <c r="O20" s="375">
        <v>2638.2983612139769</v>
      </c>
      <c r="P20" s="375">
        <v>2700.8939122278884</v>
      </c>
      <c r="Q20" s="375">
        <v>2764.092593915118</v>
      </c>
      <c r="R20" s="375">
        <v>2827.8919493988083</v>
      </c>
      <c r="S20" s="375">
        <v>2892.2895645916574</v>
      </c>
      <c r="T20" s="375">
        <v>2957.2830668947786</v>
      </c>
      <c r="U20" s="375">
        <v>3022.8701239526367</v>
      </c>
      <c r="V20" s="375">
        <v>3089.0484424608912</v>
      </c>
      <c r="W20" s="375">
        <v>3155.8157670242467</v>
      </c>
      <c r="X20" s="375">
        <v>3223.1698790616715</v>
      </c>
      <c r="Y20" s="375">
        <v>3291.1085957563673</v>
      </c>
      <c r="Z20" s="375">
        <v>3359.6297690482384</v>
      </c>
      <c r="AA20" s="375">
        <v>3428.7312846665518</v>
      </c>
      <c r="AB20" s="375">
        <v>3428.7312846665518</v>
      </c>
      <c r="AC20" s="375">
        <v>3428.7312846665518</v>
      </c>
      <c r="AD20" s="375">
        <v>3428.7312846665518</v>
      </c>
      <c r="AE20" s="375">
        <v>3428.7312846665518</v>
      </c>
      <c r="AF20" s="375">
        <v>3428.7312846665518</v>
      </c>
      <c r="AG20" s="375">
        <v>3428.7312846665518</v>
      </c>
      <c r="AH20" s="375">
        <v>3428.7312846665518</v>
      </c>
      <c r="AI20" s="375">
        <v>3428.7312846665518</v>
      </c>
      <c r="AJ20" s="375">
        <v>3428.7312846665518</v>
      </c>
    </row>
    <row r="21" spans="1:36" x14ac:dyDescent="0.2">
      <c r="A21" s="355" t="s">
        <v>315</v>
      </c>
      <c r="B21" s="369" t="b">
        <v>0</v>
      </c>
      <c r="C21" s="370" t="s">
        <v>136</v>
      </c>
      <c r="D21" s="355" t="s">
        <v>279</v>
      </c>
      <c r="E21" s="376">
        <v>13512.5</v>
      </c>
      <c r="F21" s="376">
        <v>13512.5</v>
      </c>
      <c r="G21" s="376">
        <v>13512.5</v>
      </c>
      <c r="H21" s="376">
        <v>13512.5</v>
      </c>
      <c r="I21" s="376">
        <v>13512.5</v>
      </c>
      <c r="J21" s="376">
        <v>13512.5</v>
      </c>
      <c r="K21" s="376">
        <v>13512.5</v>
      </c>
      <c r="L21" s="376">
        <v>13512.5</v>
      </c>
      <c r="M21" s="376">
        <v>13512.5</v>
      </c>
      <c r="N21" s="376">
        <v>13512.5</v>
      </c>
      <c r="O21" s="376">
        <v>13512.5</v>
      </c>
      <c r="P21" s="376">
        <v>13512.5</v>
      </c>
      <c r="Q21" s="376">
        <v>13512.5</v>
      </c>
      <c r="R21" s="376">
        <v>13512.5</v>
      </c>
      <c r="S21" s="376">
        <v>13512.5</v>
      </c>
      <c r="T21" s="376">
        <v>13512.5</v>
      </c>
      <c r="U21" s="376">
        <v>13512.5</v>
      </c>
      <c r="V21" s="376">
        <v>13512.5</v>
      </c>
      <c r="W21" s="376">
        <v>13512.5</v>
      </c>
      <c r="X21" s="376">
        <v>13512.5</v>
      </c>
      <c r="Y21" s="376">
        <v>13512.5</v>
      </c>
      <c r="Z21" s="376">
        <v>13512.5</v>
      </c>
      <c r="AA21" s="376">
        <v>13512.5</v>
      </c>
      <c r="AB21" s="376">
        <v>13512.5</v>
      </c>
      <c r="AC21" s="376">
        <v>13512.5</v>
      </c>
      <c r="AD21" s="376">
        <v>13512.5</v>
      </c>
      <c r="AE21" s="376">
        <v>13512.5</v>
      </c>
      <c r="AF21" s="376">
        <v>13512.5</v>
      </c>
      <c r="AG21" s="376">
        <v>13512.5</v>
      </c>
      <c r="AH21" s="376">
        <v>13512.5</v>
      </c>
      <c r="AI21" s="376">
        <v>13512.5</v>
      </c>
      <c r="AJ21" s="376">
        <v>13512.5</v>
      </c>
    </row>
    <row r="22" spans="1:36" x14ac:dyDescent="0.2">
      <c r="A22" s="355" t="s">
        <v>316</v>
      </c>
      <c r="B22" s="369" t="b">
        <v>1</v>
      </c>
      <c r="C22" s="370">
        <v>0</v>
      </c>
      <c r="D22" s="355" t="s">
        <v>317</v>
      </c>
      <c r="E22" s="377">
        <v>0</v>
      </c>
      <c r="F22" s="377">
        <v>0</v>
      </c>
      <c r="G22" s="377">
        <v>0</v>
      </c>
      <c r="H22" s="377">
        <v>0</v>
      </c>
      <c r="I22" s="377">
        <v>0</v>
      </c>
      <c r="J22" s="377">
        <v>0</v>
      </c>
      <c r="K22" s="377">
        <v>0</v>
      </c>
      <c r="L22" s="377">
        <v>0</v>
      </c>
      <c r="M22" s="377">
        <v>0</v>
      </c>
      <c r="N22" s="377">
        <v>0</v>
      </c>
      <c r="O22" s="377">
        <v>0</v>
      </c>
      <c r="P22" s="377">
        <v>0</v>
      </c>
      <c r="Q22" s="377">
        <v>0</v>
      </c>
      <c r="R22" s="377">
        <v>0</v>
      </c>
      <c r="S22" s="377">
        <v>0</v>
      </c>
      <c r="T22" s="377">
        <v>0</v>
      </c>
      <c r="U22" s="377">
        <v>0</v>
      </c>
      <c r="V22" s="377">
        <v>0</v>
      </c>
      <c r="W22" s="377">
        <v>0</v>
      </c>
      <c r="X22" s="377">
        <v>0</v>
      </c>
      <c r="Y22" s="377">
        <v>0</v>
      </c>
      <c r="Z22" s="377">
        <v>0</v>
      </c>
      <c r="AA22" s="377">
        <v>0</v>
      </c>
      <c r="AB22" s="377">
        <v>0</v>
      </c>
      <c r="AC22" s="377">
        <v>0</v>
      </c>
      <c r="AD22" s="377">
        <v>0</v>
      </c>
      <c r="AE22" s="377">
        <v>0</v>
      </c>
      <c r="AF22" s="377">
        <v>0</v>
      </c>
      <c r="AG22" s="377">
        <v>0</v>
      </c>
      <c r="AH22" s="377">
        <v>0</v>
      </c>
      <c r="AI22" s="377">
        <v>0</v>
      </c>
      <c r="AJ22" s="377">
        <v>0</v>
      </c>
    </row>
    <row r="23" spans="1:36" x14ac:dyDescent="0.2">
      <c r="A23" s="355" t="s">
        <v>318</v>
      </c>
      <c r="B23" s="374">
        <v>0</v>
      </c>
      <c r="C23" s="370">
        <v>0</v>
      </c>
      <c r="D23" s="355" t="s">
        <v>18</v>
      </c>
      <c r="E23" s="376">
        <v>0</v>
      </c>
      <c r="F23" s="376">
        <v>0</v>
      </c>
      <c r="G23" s="376">
        <v>0</v>
      </c>
      <c r="H23" s="376">
        <v>0</v>
      </c>
      <c r="I23" s="376">
        <v>0</v>
      </c>
      <c r="J23" s="376">
        <v>0</v>
      </c>
      <c r="K23" s="376">
        <v>0</v>
      </c>
      <c r="L23" s="376">
        <v>0</v>
      </c>
      <c r="M23" s="376">
        <v>0</v>
      </c>
      <c r="N23" s="376">
        <v>0</v>
      </c>
      <c r="O23" s="376">
        <v>0</v>
      </c>
      <c r="P23" s="376">
        <v>0</v>
      </c>
      <c r="Q23" s="376">
        <v>0</v>
      </c>
      <c r="R23" s="376">
        <v>0</v>
      </c>
      <c r="S23" s="376">
        <v>0</v>
      </c>
      <c r="T23" s="376">
        <v>0</v>
      </c>
      <c r="U23" s="376">
        <v>0</v>
      </c>
      <c r="V23" s="376">
        <v>0</v>
      </c>
      <c r="W23" s="376">
        <v>0</v>
      </c>
      <c r="X23" s="376">
        <v>0</v>
      </c>
      <c r="Y23" s="376">
        <v>0</v>
      </c>
      <c r="Z23" s="376">
        <v>0</v>
      </c>
      <c r="AA23" s="376">
        <v>0</v>
      </c>
      <c r="AB23" s="376">
        <v>0</v>
      </c>
      <c r="AC23" s="376">
        <v>0</v>
      </c>
      <c r="AD23" s="376">
        <v>0</v>
      </c>
      <c r="AE23" s="376">
        <v>0</v>
      </c>
      <c r="AF23" s="376">
        <v>0</v>
      </c>
      <c r="AG23" s="376">
        <v>0</v>
      </c>
      <c r="AH23" s="376">
        <v>0</v>
      </c>
      <c r="AI23" s="376">
        <v>0</v>
      </c>
      <c r="AJ23" s="376">
        <v>0</v>
      </c>
    </row>
    <row r="24" spans="1:36" x14ac:dyDescent="0.2">
      <c r="A24" s="378"/>
      <c r="B24" s="378"/>
      <c r="C24" s="370">
        <v>0</v>
      </c>
      <c r="D24" s="379" t="s">
        <v>319</v>
      </c>
      <c r="E24" s="380">
        <v>0</v>
      </c>
      <c r="F24" s="380">
        <v>0</v>
      </c>
      <c r="G24" s="380">
        <v>0</v>
      </c>
      <c r="H24" s="380">
        <v>0</v>
      </c>
      <c r="I24" s="380">
        <v>0</v>
      </c>
      <c r="J24" s="380">
        <v>0</v>
      </c>
      <c r="K24" s="380">
        <v>0</v>
      </c>
      <c r="L24" s="380">
        <v>0</v>
      </c>
      <c r="M24" s="380">
        <v>0</v>
      </c>
      <c r="N24" s="380">
        <v>0</v>
      </c>
      <c r="O24" s="380">
        <v>0</v>
      </c>
      <c r="P24" s="380">
        <v>0</v>
      </c>
      <c r="Q24" s="380">
        <v>0</v>
      </c>
      <c r="R24" s="380">
        <v>0</v>
      </c>
      <c r="S24" s="380">
        <v>0</v>
      </c>
      <c r="T24" s="380">
        <v>0</v>
      </c>
      <c r="U24" s="380">
        <v>0</v>
      </c>
      <c r="V24" s="380">
        <v>0</v>
      </c>
      <c r="W24" s="380">
        <v>0</v>
      </c>
      <c r="X24" s="380">
        <v>0</v>
      </c>
      <c r="Y24" s="380">
        <v>0</v>
      </c>
      <c r="Z24" s="380">
        <v>0</v>
      </c>
      <c r="AA24" s="380">
        <v>0</v>
      </c>
      <c r="AB24" s="380">
        <v>0</v>
      </c>
      <c r="AC24" s="380">
        <v>0</v>
      </c>
      <c r="AD24" s="380">
        <v>0</v>
      </c>
      <c r="AE24" s="380">
        <v>0</v>
      </c>
      <c r="AF24" s="380">
        <v>0</v>
      </c>
      <c r="AG24" s="380">
        <v>0</v>
      </c>
      <c r="AH24" s="380">
        <v>0</v>
      </c>
      <c r="AI24" s="380">
        <v>0</v>
      </c>
      <c r="AJ24" s="380">
        <v>0</v>
      </c>
    </row>
    <row r="25" spans="1:36" x14ac:dyDescent="0.2">
      <c r="A25" s="381"/>
      <c r="B25" s="381"/>
      <c r="C25" s="381"/>
      <c r="D25" s="382" t="s">
        <v>320</v>
      </c>
      <c r="E25" s="383">
        <v>656509.96652182448</v>
      </c>
      <c r="F25" s="383">
        <v>698980.76760274288</v>
      </c>
      <c r="G25" s="383">
        <v>725961.75553331897</v>
      </c>
      <c r="H25" s="383">
        <v>757263.38968282228</v>
      </c>
      <c r="I25" s="383">
        <v>793668.65710940422</v>
      </c>
      <c r="J25" s="383">
        <v>827399.87498155388</v>
      </c>
      <c r="K25" s="383">
        <v>865928.87081699376</v>
      </c>
      <c r="L25" s="383">
        <v>913628.45705029031</v>
      </c>
      <c r="M25" s="383">
        <v>966770.82364396821</v>
      </c>
      <c r="N25" s="383">
        <v>1003633.1637585072</v>
      </c>
      <c r="O25" s="383">
        <v>1027558.5200459992</v>
      </c>
      <c r="P25" s="383">
        <v>1051722.4650160084</v>
      </c>
      <c r="Q25" s="383">
        <v>1076124.17411551</v>
      </c>
      <c r="R25" s="383">
        <v>1100762.8404172782</v>
      </c>
      <c r="S25" s="383">
        <v>1125637.6740932914</v>
      </c>
      <c r="T25" s="383">
        <v>1150747.9019109653</v>
      </c>
      <c r="U25" s="383">
        <v>1176092.7667509671</v>
      </c>
      <c r="V25" s="383">
        <v>1201671.5271453969</v>
      </c>
      <c r="W25" s="383">
        <v>1227483.4568352238</v>
      </c>
      <c r="X25" s="383">
        <v>1253527.8443459577</v>
      </c>
      <c r="Y25" s="383">
        <v>1279803.9925805605</v>
      </c>
      <c r="Z25" s="383">
        <v>1306311.2184287184</v>
      </c>
      <c r="AA25" s="383">
        <v>1333048.8523916041</v>
      </c>
      <c r="AB25" s="383">
        <v>1359123.1868037852</v>
      </c>
      <c r="AC25" s="383">
        <v>1385419.2447203591</v>
      </c>
      <c r="AD25" s="383">
        <v>1411936.4212369255</v>
      </c>
      <c r="AE25" s="383">
        <v>1438674.1233113152</v>
      </c>
      <c r="AF25" s="383">
        <v>1465631.7694650716</v>
      </c>
      <c r="AG25" s="383">
        <v>1465631.7694650716</v>
      </c>
      <c r="AH25" s="383">
        <v>1465631.7694650716</v>
      </c>
      <c r="AI25" s="383">
        <v>1465631.7694650716</v>
      </c>
      <c r="AJ25" s="383">
        <v>1465631.7694650716</v>
      </c>
    </row>
    <row r="27" spans="1:36" x14ac:dyDescent="0.2">
      <c r="A27" s="351" t="s">
        <v>282</v>
      </c>
      <c r="B27" s="351"/>
      <c r="C27" s="352" t="s">
        <v>283</v>
      </c>
      <c r="D27" s="352"/>
      <c r="F27" s="384" t="s">
        <v>284</v>
      </c>
      <c r="G27" s="385" t="s">
        <v>285</v>
      </c>
      <c r="H27" s="386" t="s">
        <v>286</v>
      </c>
      <c r="I27" s="386" t="s">
        <v>287</v>
      </c>
    </row>
    <row r="28" spans="1:36" x14ac:dyDescent="0.2">
      <c r="A28" s="355" t="s">
        <v>288</v>
      </c>
      <c r="B28" s="356" t="s">
        <v>329</v>
      </c>
      <c r="C28" s="357" t="s">
        <v>289</v>
      </c>
      <c r="D28" s="358"/>
      <c r="F28" s="387" t="s">
        <v>290</v>
      </c>
      <c r="G28" s="388">
        <v>1.5324214142647691E-3</v>
      </c>
      <c r="H28" s="385">
        <v>1</v>
      </c>
      <c r="I28" s="389"/>
    </row>
    <row r="29" spans="1:36" x14ac:dyDescent="0.2">
      <c r="A29" s="355" t="s">
        <v>291</v>
      </c>
      <c r="B29" s="356" t="s">
        <v>292</v>
      </c>
      <c r="C29" s="357" t="s">
        <v>293</v>
      </c>
      <c r="D29" s="358"/>
      <c r="F29" s="387" t="s">
        <v>294</v>
      </c>
      <c r="G29" s="388">
        <v>1.5324214142647691E-3</v>
      </c>
      <c r="H29" s="385">
        <v>1</v>
      </c>
      <c r="I29" s="389"/>
    </row>
    <row r="30" spans="1:36" x14ac:dyDescent="0.2">
      <c r="A30" s="361" t="s">
        <v>8</v>
      </c>
      <c r="B30" s="362">
        <v>35.598999999999997</v>
      </c>
      <c r="C30" s="361" t="s">
        <v>295</v>
      </c>
      <c r="D30" s="363">
        <v>7711222.5599999996</v>
      </c>
      <c r="F30" s="387" t="s">
        <v>296</v>
      </c>
      <c r="G30" s="388" t="b">
        <v>1</v>
      </c>
      <c r="H30" s="385">
        <v>1</v>
      </c>
      <c r="I30" s="389"/>
    </row>
    <row r="31" spans="1:36" x14ac:dyDescent="0.2">
      <c r="A31" s="361" t="s">
        <v>297</v>
      </c>
      <c r="B31" s="364">
        <v>0.5</v>
      </c>
      <c r="C31" s="361" t="s">
        <v>298</v>
      </c>
      <c r="D31" s="363">
        <v>166900</v>
      </c>
      <c r="F31" s="387" t="s">
        <v>299</v>
      </c>
      <c r="G31" s="390">
        <v>0</v>
      </c>
      <c r="H31" s="385">
        <v>1</v>
      </c>
      <c r="I31" s="389"/>
    </row>
    <row r="32" spans="1:36" x14ac:dyDescent="0.2">
      <c r="A32" s="391" t="s">
        <v>332</v>
      </c>
      <c r="B32" s="392" t="s">
        <v>300</v>
      </c>
      <c r="C32" s="393" t="s">
        <v>301</v>
      </c>
      <c r="D32" s="394" t="s">
        <v>302</v>
      </c>
      <c r="E32" s="393">
        <v>2025</v>
      </c>
      <c r="F32" s="393">
        <v>2026</v>
      </c>
      <c r="G32" s="393">
        <v>2027</v>
      </c>
      <c r="H32" s="393">
        <v>2028</v>
      </c>
      <c r="I32" s="393">
        <v>2029</v>
      </c>
      <c r="J32" s="393">
        <v>2030</v>
      </c>
      <c r="K32" s="393">
        <v>2031</v>
      </c>
      <c r="L32" s="393">
        <v>2032</v>
      </c>
      <c r="M32" s="393">
        <v>2033</v>
      </c>
      <c r="N32" s="393">
        <v>2034</v>
      </c>
      <c r="O32" s="393">
        <v>2035</v>
      </c>
      <c r="P32" s="393">
        <v>2036</v>
      </c>
      <c r="Q32" s="393">
        <v>2037</v>
      </c>
      <c r="R32" s="393">
        <v>2038</v>
      </c>
      <c r="S32" s="393">
        <v>2039</v>
      </c>
      <c r="T32" s="393">
        <v>2040</v>
      </c>
      <c r="U32" s="393">
        <v>2041</v>
      </c>
      <c r="V32" s="393">
        <v>2042</v>
      </c>
      <c r="W32" s="393">
        <v>2043</v>
      </c>
      <c r="X32" s="393">
        <v>2044</v>
      </c>
      <c r="Y32" s="393">
        <v>2045</v>
      </c>
      <c r="Z32" s="393">
        <v>2046</v>
      </c>
      <c r="AA32" s="393">
        <v>2047</v>
      </c>
      <c r="AB32" s="395">
        <v>2048</v>
      </c>
      <c r="AC32" s="395">
        <v>2049</v>
      </c>
      <c r="AD32" s="395">
        <v>2050</v>
      </c>
      <c r="AE32" s="395">
        <v>2051</v>
      </c>
      <c r="AF32" s="395">
        <v>2052</v>
      </c>
      <c r="AG32" s="395">
        <v>2053</v>
      </c>
      <c r="AH32" s="395">
        <v>2054</v>
      </c>
      <c r="AI32" s="395">
        <v>2055</v>
      </c>
      <c r="AJ32" s="395">
        <v>2056</v>
      </c>
    </row>
    <row r="33" spans="1:36" x14ac:dyDescent="0.2">
      <c r="A33" s="396" t="s">
        <v>303</v>
      </c>
      <c r="B33" s="397" t="b">
        <v>0</v>
      </c>
      <c r="C33" s="398">
        <v>0</v>
      </c>
      <c r="D33" s="396" t="s">
        <v>23</v>
      </c>
      <c r="E33" s="399">
        <v>16308.593002998023</v>
      </c>
      <c r="F33" s="399">
        <v>17434.6342797219</v>
      </c>
      <c r="G33" s="399">
        <v>18104.212325471195</v>
      </c>
      <c r="H33" s="399">
        <v>18894.215671144153</v>
      </c>
      <c r="I33" s="399">
        <v>19837.972111901432</v>
      </c>
      <c r="J33" s="399">
        <v>578.80322891486594</v>
      </c>
      <c r="K33" s="399">
        <v>1079.5189168622667</v>
      </c>
      <c r="L33" s="399">
        <v>1588.1414024845465</v>
      </c>
      <c r="M33" s="399">
        <v>2128.3477367427081</v>
      </c>
      <c r="N33" s="399">
        <v>2642.2441744172306</v>
      </c>
      <c r="O33" s="399">
        <v>3122.3087881733582</v>
      </c>
      <c r="P33" s="399">
        <v>3601.7054249568446</v>
      </c>
      <c r="Q33" s="399">
        <v>4081.8748208731563</v>
      </c>
      <c r="R33" s="399">
        <v>4563.8395666706128</v>
      </c>
      <c r="S33" s="399">
        <v>5048.3543094842189</v>
      </c>
      <c r="T33" s="399">
        <v>5535.9926905579532</v>
      </c>
      <c r="U33" s="399">
        <v>6027.2009668723167</v>
      </c>
      <c r="V33" s="399">
        <v>6522.3327711160318</v>
      </c>
      <c r="W33" s="399">
        <v>7021.6725660115635</v>
      </c>
      <c r="X33" s="399">
        <v>7525.4520011010909</v>
      </c>
      <c r="Y33" s="399">
        <v>8033.8616397105316</v>
      </c>
      <c r="Z33" s="399">
        <v>8547.0595667088146</v>
      </c>
      <c r="AA33" s="399">
        <v>9065.1778360031021</v>
      </c>
      <c r="AB33" s="399">
        <v>9588.3273857754011</v>
      </c>
      <c r="AC33" s="399">
        <v>10116.601844009614</v>
      </c>
      <c r="AD33" s="399">
        <v>10650.080515435957</v>
      </c>
      <c r="AE33" s="399">
        <v>11188.830754715309</v>
      </c>
      <c r="AF33" s="399">
        <v>11732.90987267958</v>
      </c>
      <c r="AG33" s="399">
        <v>11732.90987267958</v>
      </c>
      <c r="AH33" s="399">
        <v>11732.90987267958</v>
      </c>
      <c r="AI33" s="399">
        <v>11732.90987267958</v>
      </c>
      <c r="AJ33" s="399">
        <v>11732.90987267958</v>
      </c>
    </row>
    <row r="34" spans="1:36" x14ac:dyDescent="0.2">
      <c r="A34" s="396" t="s">
        <v>304</v>
      </c>
      <c r="B34" s="397" t="b">
        <v>0</v>
      </c>
      <c r="C34" s="398">
        <v>0</v>
      </c>
      <c r="D34" s="396" t="s">
        <v>23</v>
      </c>
      <c r="E34" s="400">
        <v>19698.589643462397</v>
      </c>
      <c r="F34" s="400">
        <v>20980.231517351996</v>
      </c>
      <c r="G34" s="400">
        <v>21875.799970220938</v>
      </c>
      <c r="H34" s="400">
        <v>22894.18936092253</v>
      </c>
      <c r="I34" s="400">
        <v>24030.953782672153</v>
      </c>
      <c r="J34" s="400">
        <v>700.26236399162462</v>
      </c>
      <c r="K34" s="400">
        <v>1307.245195980777</v>
      </c>
      <c r="L34" s="400">
        <v>1932.8199418708391</v>
      </c>
      <c r="M34" s="400">
        <v>2575.4588049829626</v>
      </c>
      <c r="N34" s="400">
        <v>3194.8396945555787</v>
      </c>
      <c r="O34" s="400">
        <v>3775.3018553035963</v>
      </c>
      <c r="P34" s="400">
        <v>4354.9555428818385</v>
      </c>
      <c r="Q34" s="400">
        <v>4935.5427941477192</v>
      </c>
      <c r="R34" s="400">
        <v>5518.3000467156635</v>
      </c>
      <c r="S34" s="400">
        <v>6104.1397549002595</v>
      </c>
      <c r="T34" s="400">
        <v>6693.7555101838434</v>
      </c>
      <c r="U34" s="400">
        <v>7287.6868776352394</v>
      </c>
      <c r="V34" s="400">
        <v>7886.3614258152675</v>
      </c>
      <c r="W34" s="400">
        <v>8490.1230864941335</v>
      </c>
      <c r="X34" s="400">
        <v>9099.2519324000896</v>
      </c>
      <c r="Y34" s="400">
        <v>9713.9783568330349</v>
      </c>
      <c r="Z34" s="400">
        <v>10334.49348170148</v>
      </c>
      <c r="AA34" s="400">
        <v>10960.95695348353</v>
      </c>
      <c r="AB34" s="400">
        <v>11593.502886462709</v>
      </c>
      <c r="AC34" s="400">
        <v>12232.244464162814</v>
      </c>
      <c r="AD34" s="400">
        <v>12877.277550996845</v>
      </c>
      <c r="AE34" s="400">
        <v>13528.683561790809</v>
      </c>
      <c r="AF34" s="400">
        <v>14186.531766704346</v>
      </c>
      <c r="AG34" s="400">
        <v>14186.531766704346</v>
      </c>
      <c r="AH34" s="400">
        <v>14186.531766704346</v>
      </c>
      <c r="AI34" s="400">
        <v>14186.531766704346</v>
      </c>
      <c r="AJ34" s="400">
        <v>14186.531766704346</v>
      </c>
    </row>
    <row r="35" spans="1:36" x14ac:dyDescent="0.2">
      <c r="A35" s="396" t="s">
        <v>305</v>
      </c>
      <c r="B35" s="397" t="b">
        <v>0</v>
      </c>
      <c r="C35" s="398">
        <v>300000</v>
      </c>
      <c r="D35" s="396" t="s">
        <v>23</v>
      </c>
      <c r="E35" s="400">
        <v>16308.593002998023</v>
      </c>
      <c r="F35" s="400">
        <v>17434.6342797219</v>
      </c>
      <c r="G35" s="400">
        <v>18104.212325471195</v>
      </c>
      <c r="H35" s="400">
        <v>18894.215671144153</v>
      </c>
      <c r="I35" s="400">
        <v>19837.972111901432</v>
      </c>
      <c r="J35" s="400">
        <v>578.80322891486594</v>
      </c>
      <c r="K35" s="400">
        <v>1079.5189168622667</v>
      </c>
      <c r="L35" s="400">
        <v>1588.1414024845465</v>
      </c>
      <c r="M35" s="400">
        <v>2128.3477367427081</v>
      </c>
      <c r="N35" s="400">
        <v>2642.2441744172306</v>
      </c>
      <c r="O35" s="400">
        <v>3122.3087881733582</v>
      </c>
      <c r="P35" s="400">
        <v>3601.7054249568446</v>
      </c>
      <c r="Q35" s="400">
        <v>4081.8748208731563</v>
      </c>
      <c r="R35" s="400">
        <v>4563.8395666706128</v>
      </c>
      <c r="S35" s="400">
        <v>5048.3543094842189</v>
      </c>
      <c r="T35" s="400">
        <v>5535.9926905579532</v>
      </c>
      <c r="U35" s="400">
        <v>6027.2009668723167</v>
      </c>
      <c r="V35" s="400">
        <v>6522.3327711160318</v>
      </c>
      <c r="W35" s="400">
        <v>7021.6725660115635</v>
      </c>
      <c r="X35" s="400">
        <v>7525.4520011010909</v>
      </c>
      <c r="Y35" s="400">
        <v>8033.8616397105316</v>
      </c>
      <c r="Z35" s="400">
        <v>8547.0595667088146</v>
      </c>
      <c r="AA35" s="400">
        <v>9065.1778360031021</v>
      </c>
      <c r="AB35" s="400">
        <v>9588.3273857754011</v>
      </c>
      <c r="AC35" s="400">
        <v>10116.601844009614</v>
      </c>
      <c r="AD35" s="400">
        <v>10650.080515435957</v>
      </c>
      <c r="AE35" s="400">
        <v>11188.830754715309</v>
      </c>
      <c r="AF35" s="400">
        <v>11732.90987267958</v>
      </c>
      <c r="AG35" s="400">
        <v>11732.90987267958</v>
      </c>
      <c r="AH35" s="400">
        <v>11732.90987267958</v>
      </c>
      <c r="AI35" s="400">
        <v>11732.90987267958</v>
      </c>
      <c r="AJ35" s="400">
        <v>11732.90987267958</v>
      </c>
    </row>
    <row r="36" spans="1:36" x14ac:dyDescent="0.2">
      <c r="A36" s="396" t="s">
        <v>306</v>
      </c>
      <c r="B36" s="397" t="b">
        <v>0</v>
      </c>
      <c r="C36" s="398">
        <v>4000</v>
      </c>
      <c r="D36" s="396" t="s">
        <v>307</v>
      </c>
      <c r="E36" s="401">
        <v>3.0648428285295383E-3</v>
      </c>
      <c r="F36" s="401">
        <v>3.1493524772428678E-3</v>
      </c>
      <c r="G36" s="401">
        <v>3.2348063839904651E-3</v>
      </c>
      <c r="H36" s="401">
        <v>3.3212000979017187E-3</v>
      </c>
      <c r="I36" s="401">
        <v>3.4085292576165396E-3</v>
      </c>
      <c r="J36" s="401">
        <v>1.7497698340744445E-3</v>
      </c>
      <c r="K36" s="401">
        <v>1.7974559363159797E-3</v>
      </c>
      <c r="L36" s="401">
        <v>1.8469441213081635E-3</v>
      </c>
      <c r="M36" s="401">
        <v>1.8980729536687646E-3</v>
      </c>
      <c r="N36" s="401">
        <v>1.950740999379103E-3</v>
      </c>
      <c r="O36" s="401">
        <v>2.0048755112343588E-3</v>
      </c>
      <c r="P36" s="401">
        <v>2.060420384166998E-3</v>
      </c>
      <c r="Q36" s="401">
        <v>2.1173302850841813E-3</v>
      </c>
      <c r="R36" s="401">
        <v>2.1755673727084893E-3</v>
      </c>
      <c r="S36" s="401">
        <v>2.2350992897313769E-3</v>
      </c>
      <c r="T36" s="401">
        <v>2.2958978503030414E-3</v>
      </c>
      <c r="U36" s="401">
        <v>2.3579381382138141E-3</v>
      </c>
      <c r="V36" s="401">
        <v>2.4211978624859424E-3</v>
      </c>
      <c r="W36" s="401">
        <v>2.4856568820730185E-3</v>
      </c>
      <c r="X36" s="401">
        <v>2.5512968459876968E-3</v>
      </c>
      <c r="Y36" s="401">
        <v>2.6181009147598576E-3</v>
      </c>
      <c r="Z36" s="401">
        <v>2.6860535407574587E-3</v>
      </c>
      <c r="AA36" s="401">
        <v>2.7551402920982853E-3</v>
      </c>
      <c r="AB36" s="401">
        <v>2.7551402920982853E-3</v>
      </c>
      <c r="AC36" s="401">
        <v>2.7551402920982853E-3</v>
      </c>
      <c r="AD36" s="401">
        <v>2.7551402920982853E-3</v>
      </c>
      <c r="AE36" s="401">
        <v>2.7551402920982853E-3</v>
      </c>
      <c r="AF36" s="401">
        <v>2.7551402920982853E-3</v>
      </c>
      <c r="AG36" s="401">
        <v>2.7551402920982853E-3</v>
      </c>
      <c r="AH36" s="401">
        <v>2.7551402920982853E-3</v>
      </c>
      <c r="AI36" s="401">
        <v>2.7551402920982853E-3</v>
      </c>
      <c r="AJ36" s="401">
        <v>2.7551402920982853E-3</v>
      </c>
    </row>
    <row r="37" spans="1:36" x14ac:dyDescent="0.2">
      <c r="A37" s="396" t="s">
        <v>308</v>
      </c>
      <c r="B37" s="397" t="b">
        <v>0</v>
      </c>
      <c r="C37" s="398">
        <v>650</v>
      </c>
      <c r="D37" s="396" t="s">
        <v>309</v>
      </c>
      <c r="E37" s="401">
        <v>1.2259371314118153E-2</v>
      </c>
      <c r="F37" s="401">
        <v>1.2597409908971471E-2</v>
      </c>
      <c r="G37" s="401">
        <v>1.293922553596186E-2</v>
      </c>
      <c r="H37" s="401">
        <v>1.3284800391606875E-2</v>
      </c>
      <c r="I37" s="401">
        <v>1.3634117030466159E-2</v>
      </c>
      <c r="J37" s="401">
        <v>6.9990793362977779E-3</v>
      </c>
      <c r="K37" s="401">
        <v>7.1898237452639189E-3</v>
      </c>
      <c r="L37" s="401">
        <v>7.3877764852326539E-3</v>
      </c>
      <c r="M37" s="401">
        <v>7.5922918146750585E-3</v>
      </c>
      <c r="N37" s="401">
        <v>7.8029639975164119E-3</v>
      </c>
      <c r="O37" s="401">
        <v>8.0195020449374353E-3</v>
      </c>
      <c r="P37" s="401">
        <v>8.241681536667992E-3</v>
      </c>
      <c r="Q37" s="401">
        <v>8.469321140336725E-3</v>
      </c>
      <c r="R37" s="401">
        <v>8.7022694908339571E-3</v>
      </c>
      <c r="S37" s="401">
        <v>8.9403971589255074E-3</v>
      </c>
      <c r="T37" s="401">
        <v>9.1835914012121656E-3</v>
      </c>
      <c r="U37" s="401">
        <v>9.4317525528552562E-3</v>
      </c>
      <c r="V37" s="401">
        <v>9.6847914499437696E-3</v>
      </c>
      <c r="W37" s="401">
        <v>9.942627528292074E-3</v>
      </c>
      <c r="X37" s="401">
        <v>1.0205187383950787E-2</v>
      </c>
      <c r="Y37" s="401">
        <v>1.0472403659039431E-2</v>
      </c>
      <c r="Z37" s="401">
        <v>1.0744214163029835E-2</v>
      </c>
      <c r="AA37" s="401">
        <v>1.1020561168393141E-2</v>
      </c>
      <c r="AB37" s="401">
        <v>1.1020561168393141E-2</v>
      </c>
      <c r="AC37" s="401">
        <v>1.1020561168393141E-2</v>
      </c>
      <c r="AD37" s="401">
        <v>1.1020561168393141E-2</v>
      </c>
      <c r="AE37" s="401">
        <v>1.1020561168393141E-2</v>
      </c>
      <c r="AF37" s="401">
        <v>1.1020561168393141E-2</v>
      </c>
      <c r="AG37" s="401">
        <v>1.1020561168393141E-2</v>
      </c>
      <c r="AH37" s="401">
        <v>1.1020561168393141E-2</v>
      </c>
      <c r="AI37" s="401">
        <v>1.1020561168393141E-2</v>
      </c>
      <c r="AJ37" s="401">
        <v>1.1020561168393141E-2</v>
      </c>
    </row>
    <row r="38" spans="1:36" x14ac:dyDescent="0.2">
      <c r="A38" s="396" t="s">
        <v>310</v>
      </c>
      <c r="B38" s="402" t="b">
        <v>0</v>
      </c>
      <c r="C38" s="398">
        <v>300000</v>
      </c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</row>
    <row r="39" spans="1:36" x14ac:dyDescent="0.2">
      <c r="A39" s="396" t="s">
        <v>311</v>
      </c>
      <c r="B39" s="402" t="b">
        <v>0</v>
      </c>
      <c r="C39" s="398">
        <v>500000</v>
      </c>
      <c r="D39" s="396" t="s">
        <v>275</v>
      </c>
      <c r="E39" s="403">
        <v>616773.74943489395</v>
      </c>
      <c r="F39" s="403">
        <v>658521.46054253797</v>
      </c>
      <c r="G39" s="403">
        <v>684771.2791440828</v>
      </c>
      <c r="H39" s="403">
        <v>715333.70269178669</v>
      </c>
      <c r="I39" s="403">
        <v>750991.75556090905</v>
      </c>
      <c r="J39" s="403">
        <v>21901.963271019566</v>
      </c>
      <c r="K39" s="403">
        <v>40861.842264481784</v>
      </c>
      <c r="L39" s="403">
        <v>60217.309184131154</v>
      </c>
      <c r="M39" s="403">
        <v>80542.063155789103</v>
      </c>
      <c r="N39" s="403">
        <v>99962.804741500498</v>
      </c>
      <c r="O39" s="403">
        <v>118124.84060921417</v>
      </c>
      <c r="P39" s="403">
        <v>136261.59670744225</v>
      </c>
      <c r="Q39" s="403">
        <v>154427.57960244382</v>
      </c>
      <c r="R39" s="403">
        <v>172661.47632264427</v>
      </c>
      <c r="S39" s="403">
        <v>190991.83688473838</v>
      </c>
      <c r="T39" s="403">
        <v>209440.36337593116</v>
      </c>
      <c r="U39" s="403">
        <v>228023.93860086234</v>
      </c>
      <c r="V39" s="403">
        <v>246755.94114255102</v>
      </c>
      <c r="W39" s="403">
        <v>265647.13270104333</v>
      </c>
      <c r="X39" s="403">
        <v>284706.2769134916</v>
      </c>
      <c r="Y39" s="403">
        <v>303940.58301590837</v>
      </c>
      <c r="Z39" s="403">
        <v>323356.03149721422</v>
      </c>
      <c r="AA39" s="403">
        <v>342957.61802483012</v>
      </c>
      <c r="AB39" s="403">
        <v>362749.53940090875</v>
      </c>
      <c r="AC39" s="403">
        <v>382735.33753534837</v>
      </c>
      <c r="AD39" s="403">
        <v>402918.0124496842</v>
      </c>
      <c r="AE39" s="403">
        <v>423300.11206083442</v>
      </c>
      <c r="AF39" s="403">
        <v>443883.80429913662</v>
      </c>
      <c r="AG39" s="403">
        <v>443883.80429913662</v>
      </c>
      <c r="AH39" s="403">
        <v>443883.80429913662</v>
      </c>
      <c r="AI39" s="403">
        <v>443883.80429913662</v>
      </c>
      <c r="AJ39" s="403">
        <v>443883.80429913662</v>
      </c>
    </row>
    <row r="40" spans="1:36" x14ac:dyDescent="0.2">
      <c r="A40" s="396" t="s">
        <v>312</v>
      </c>
      <c r="B40" s="397" t="b">
        <v>1</v>
      </c>
      <c r="C40" s="398">
        <v>6426018.7999999998</v>
      </c>
      <c r="D40" s="396" t="s">
        <v>276</v>
      </c>
      <c r="E40" s="404">
        <v>543.94285239230419</v>
      </c>
      <c r="F40" s="404">
        <v>558.94147449060438</v>
      </c>
      <c r="G40" s="404">
        <v>574.10768182484969</v>
      </c>
      <c r="H40" s="404">
        <v>589.44068446244296</v>
      </c>
      <c r="I40" s="404">
        <v>604.93970835695484</v>
      </c>
      <c r="J40" s="404">
        <v>310.54603704853218</v>
      </c>
      <c r="K40" s="404">
        <v>319.00928163363108</v>
      </c>
      <c r="L40" s="404">
        <v>327.7923566591395</v>
      </c>
      <c r="M40" s="404">
        <v>336.86661086063691</v>
      </c>
      <c r="N40" s="404">
        <v>346.21404190895419</v>
      </c>
      <c r="O40" s="404">
        <v>355.82173875960825</v>
      </c>
      <c r="P40" s="404">
        <v>365.67974398503236</v>
      </c>
      <c r="Q40" s="404">
        <v>375.78001194856381</v>
      </c>
      <c r="R40" s="404">
        <v>386.11582664761158</v>
      </c>
      <c r="S40" s="404">
        <v>396.68144536462353</v>
      </c>
      <c r="T40" s="404">
        <v>407.47186572512351</v>
      </c>
      <c r="U40" s="404">
        <v>418.48266564454917</v>
      </c>
      <c r="V40" s="404">
        <v>429.70988895982811</v>
      </c>
      <c r="W40" s="404">
        <v>441.14996107387765</v>
      </c>
      <c r="X40" s="404">
        <v>452.79962508611294</v>
      </c>
      <c r="Y40" s="404">
        <v>464.65589235733717</v>
      </c>
      <c r="Z40" s="404">
        <v>476.71600352147681</v>
      </c>
      <c r="AA40" s="404">
        <v>488.97739723375309</v>
      </c>
      <c r="AB40" s="404">
        <v>488.97739723375309</v>
      </c>
      <c r="AC40" s="404">
        <v>488.97739723375309</v>
      </c>
      <c r="AD40" s="404">
        <v>488.97739723375309</v>
      </c>
      <c r="AE40" s="404">
        <v>488.97739723375309</v>
      </c>
      <c r="AF40" s="404">
        <v>488.97739723375309</v>
      </c>
      <c r="AG40" s="404">
        <v>488.97739723375309</v>
      </c>
      <c r="AH40" s="404">
        <v>488.97739723375309</v>
      </c>
      <c r="AI40" s="404">
        <v>488.97739723375309</v>
      </c>
      <c r="AJ40" s="404">
        <v>488.97739723375309</v>
      </c>
    </row>
    <row r="41" spans="1:36" x14ac:dyDescent="0.2">
      <c r="A41" s="396" t="s">
        <v>313</v>
      </c>
      <c r="B41" s="397" t="b">
        <v>0</v>
      </c>
      <c r="C41" s="398">
        <v>11616012.6</v>
      </c>
      <c r="D41" s="396" t="s">
        <v>277</v>
      </c>
      <c r="E41" s="404">
        <v>23633.685162211186</v>
      </c>
      <c r="F41" s="404">
        <v>24285.357871907087</v>
      </c>
      <c r="G41" s="404">
        <v>24944.311965459296</v>
      </c>
      <c r="H41" s="404">
        <v>25610.513121213942</v>
      </c>
      <c r="I41" s="404">
        <v>26283.927707752711</v>
      </c>
      <c r="J41" s="404">
        <v>13492.864619322312</v>
      </c>
      <c r="K41" s="404">
        <v>13860.582766725705</v>
      </c>
      <c r="L41" s="404">
        <v>14242.197175290887</v>
      </c>
      <c r="M41" s="404">
        <v>14636.462980856411</v>
      </c>
      <c r="N41" s="404">
        <v>15042.598003129084</v>
      </c>
      <c r="O41" s="404">
        <v>15460.041272221921</v>
      </c>
      <c r="P41" s="404">
        <v>15888.360149472421</v>
      </c>
      <c r="Q41" s="404">
        <v>16327.205061312368</v>
      </c>
      <c r="R41" s="404">
        <v>16776.284205229629</v>
      </c>
      <c r="S41" s="404">
        <v>17235.348066816568</v>
      </c>
      <c r="T41" s="404">
        <v>17704.179298712315</v>
      </c>
      <c r="U41" s="404">
        <v>18182.585766478762</v>
      </c>
      <c r="V41" s="404">
        <v>18670.395579425374</v>
      </c>
      <c r="W41" s="404">
        <v>19167.453425460721</v>
      </c>
      <c r="X41" s="404">
        <v>19673.617796037172</v>
      </c>
      <c r="Y41" s="404">
        <v>20188.758838252852</v>
      </c>
      <c r="Z41" s="404">
        <v>20712.756660856794</v>
      </c>
      <c r="AA41" s="404">
        <v>21245.499976393286</v>
      </c>
      <c r="AB41" s="404">
        <v>21245.499976393286</v>
      </c>
      <c r="AC41" s="404">
        <v>21245.499976393286</v>
      </c>
      <c r="AD41" s="404">
        <v>21245.499976393286</v>
      </c>
      <c r="AE41" s="404">
        <v>21245.499976393286</v>
      </c>
      <c r="AF41" s="404">
        <v>21245.499976393286</v>
      </c>
      <c r="AG41" s="404">
        <v>21245.499976393286</v>
      </c>
      <c r="AH41" s="404">
        <v>21245.499976393286</v>
      </c>
      <c r="AI41" s="404">
        <v>21245.499976393286</v>
      </c>
      <c r="AJ41" s="404">
        <v>21245.499976393286</v>
      </c>
    </row>
    <row r="42" spans="1:36" x14ac:dyDescent="0.2">
      <c r="A42" s="396" t="s">
        <v>314</v>
      </c>
      <c r="B42" s="397" t="b">
        <v>0</v>
      </c>
      <c r="C42" s="398">
        <v>0</v>
      </c>
      <c r="D42" s="396" t="s">
        <v>278</v>
      </c>
      <c r="E42" s="404">
        <v>2046.0890723263199</v>
      </c>
      <c r="F42" s="404">
        <v>2102.5077138073384</v>
      </c>
      <c r="G42" s="404">
        <v>2159.5567419520344</v>
      </c>
      <c r="H42" s="404">
        <v>2217.2331853591872</v>
      </c>
      <c r="I42" s="404">
        <v>2275.534132384802</v>
      </c>
      <c r="J42" s="404">
        <v>1168.1463412280991</v>
      </c>
      <c r="K42" s="404">
        <v>1199.981583084548</v>
      </c>
      <c r="L42" s="404">
        <v>1233.0198953853298</v>
      </c>
      <c r="M42" s="404">
        <v>1267.1535038692673</v>
      </c>
      <c r="N42" s="404">
        <v>1302.3146911854892</v>
      </c>
      <c r="O42" s="404">
        <v>1338.4548913000579</v>
      </c>
      <c r="P42" s="404">
        <v>1375.536648469888</v>
      </c>
      <c r="Q42" s="404">
        <v>1413.5296983221995</v>
      </c>
      <c r="R42" s="404">
        <v>1452.4087780201874</v>
      </c>
      <c r="S42" s="404">
        <v>1492.1522858246672</v>
      </c>
      <c r="T42" s="404">
        <v>1532.7414048623104</v>
      </c>
      <c r="U42" s="404">
        <v>1574.1595010715423</v>
      </c>
      <c r="V42" s="404">
        <v>1616.3916929956151</v>
      </c>
      <c r="W42" s="404">
        <v>1659.4245344719473</v>
      </c>
      <c r="X42" s="404">
        <v>1703.2457743813864</v>
      </c>
      <c r="Y42" s="404">
        <v>1747.844170693681</v>
      </c>
      <c r="Z42" s="404">
        <v>1793.2093438096795</v>
      </c>
      <c r="AA42" s="404">
        <v>1839.3316590048153</v>
      </c>
      <c r="AB42" s="404">
        <v>1839.3316590048153</v>
      </c>
      <c r="AC42" s="404">
        <v>1839.3316590048153</v>
      </c>
      <c r="AD42" s="404">
        <v>1839.3316590048153</v>
      </c>
      <c r="AE42" s="404">
        <v>1839.3316590048153</v>
      </c>
      <c r="AF42" s="404">
        <v>1839.3316590048153</v>
      </c>
      <c r="AG42" s="404">
        <v>1839.3316590048153</v>
      </c>
      <c r="AH42" s="404">
        <v>1839.3316590048153</v>
      </c>
      <c r="AI42" s="404">
        <v>1839.3316590048153</v>
      </c>
      <c r="AJ42" s="404">
        <v>1839.3316590048153</v>
      </c>
    </row>
    <row r="43" spans="1:36" x14ac:dyDescent="0.2">
      <c r="A43" s="396" t="s">
        <v>315</v>
      </c>
      <c r="B43" s="397" t="b">
        <v>0</v>
      </c>
      <c r="C43" s="398" t="s">
        <v>136</v>
      </c>
      <c r="D43" s="396" t="s">
        <v>279</v>
      </c>
      <c r="E43" s="405">
        <v>13512.5</v>
      </c>
      <c r="F43" s="405">
        <v>13512.5</v>
      </c>
      <c r="G43" s="405">
        <v>13512.5</v>
      </c>
      <c r="H43" s="405">
        <v>13512.5</v>
      </c>
      <c r="I43" s="405">
        <v>13512.5</v>
      </c>
      <c r="J43" s="405">
        <v>7050</v>
      </c>
      <c r="K43" s="405">
        <v>7050</v>
      </c>
      <c r="L43" s="405">
        <v>7050</v>
      </c>
      <c r="M43" s="405">
        <v>7050</v>
      </c>
      <c r="N43" s="405">
        <v>7050</v>
      </c>
      <c r="O43" s="405">
        <v>7050</v>
      </c>
      <c r="P43" s="405">
        <v>7050</v>
      </c>
      <c r="Q43" s="405">
        <v>7050</v>
      </c>
      <c r="R43" s="405">
        <v>7050</v>
      </c>
      <c r="S43" s="405">
        <v>7050</v>
      </c>
      <c r="T43" s="405">
        <v>7050</v>
      </c>
      <c r="U43" s="405">
        <v>7050</v>
      </c>
      <c r="V43" s="405">
        <v>7050</v>
      </c>
      <c r="W43" s="405">
        <v>7050</v>
      </c>
      <c r="X43" s="405">
        <v>7050</v>
      </c>
      <c r="Y43" s="405">
        <v>7050</v>
      </c>
      <c r="Z43" s="405">
        <v>7050</v>
      </c>
      <c r="AA43" s="405">
        <v>7050</v>
      </c>
      <c r="AB43" s="405">
        <v>7050</v>
      </c>
      <c r="AC43" s="405">
        <v>7050</v>
      </c>
      <c r="AD43" s="405">
        <v>7050</v>
      </c>
      <c r="AE43" s="405">
        <v>7050</v>
      </c>
      <c r="AF43" s="405">
        <v>7050</v>
      </c>
      <c r="AG43" s="405">
        <v>7050</v>
      </c>
      <c r="AH43" s="405">
        <v>7050</v>
      </c>
      <c r="AI43" s="405">
        <v>7050</v>
      </c>
      <c r="AJ43" s="405">
        <v>7050</v>
      </c>
    </row>
    <row r="44" spans="1:36" x14ac:dyDescent="0.2">
      <c r="A44" s="396" t="s">
        <v>316</v>
      </c>
      <c r="B44" s="397" t="b">
        <v>1</v>
      </c>
      <c r="C44" s="398">
        <v>0</v>
      </c>
      <c r="D44" s="396" t="s">
        <v>317</v>
      </c>
      <c r="E44" s="406">
        <v>0</v>
      </c>
      <c r="F44" s="406">
        <v>0</v>
      </c>
      <c r="G44" s="406">
        <v>0</v>
      </c>
      <c r="H44" s="406">
        <v>0</v>
      </c>
      <c r="I44" s="406">
        <v>0</v>
      </c>
      <c r="J44" s="406">
        <v>0</v>
      </c>
      <c r="K44" s="406">
        <v>0</v>
      </c>
      <c r="L44" s="406">
        <v>0</v>
      </c>
      <c r="M44" s="406">
        <v>0</v>
      </c>
      <c r="N44" s="406">
        <v>0</v>
      </c>
      <c r="O44" s="406">
        <v>0</v>
      </c>
      <c r="P44" s="406">
        <v>0</v>
      </c>
      <c r="Q44" s="406">
        <v>0</v>
      </c>
      <c r="R44" s="406">
        <v>0</v>
      </c>
      <c r="S44" s="406">
        <v>0</v>
      </c>
      <c r="T44" s="406">
        <v>0</v>
      </c>
      <c r="U44" s="406">
        <v>0</v>
      </c>
      <c r="V44" s="406">
        <v>0</v>
      </c>
      <c r="W44" s="406">
        <v>0</v>
      </c>
      <c r="X44" s="406">
        <v>0</v>
      </c>
      <c r="Y44" s="406">
        <v>0</v>
      </c>
      <c r="Z44" s="406">
        <v>0</v>
      </c>
      <c r="AA44" s="406">
        <v>0</v>
      </c>
      <c r="AB44" s="406">
        <v>0</v>
      </c>
      <c r="AC44" s="406">
        <v>0</v>
      </c>
      <c r="AD44" s="406">
        <v>0</v>
      </c>
      <c r="AE44" s="406">
        <v>0</v>
      </c>
      <c r="AF44" s="406">
        <v>0</v>
      </c>
      <c r="AG44" s="406">
        <v>0</v>
      </c>
      <c r="AH44" s="406">
        <v>0</v>
      </c>
      <c r="AI44" s="406">
        <v>0</v>
      </c>
      <c r="AJ44" s="406">
        <v>0</v>
      </c>
    </row>
    <row r="45" spans="1:36" x14ac:dyDescent="0.2">
      <c r="A45" s="396" t="s">
        <v>318</v>
      </c>
      <c r="B45" s="402">
        <v>0</v>
      </c>
      <c r="C45" s="398">
        <v>0</v>
      </c>
      <c r="D45" s="396" t="s">
        <v>18</v>
      </c>
      <c r="E45" s="405">
        <v>0</v>
      </c>
      <c r="F45" s="405">
        <v>0</v>
      </c>
      <c r="G45" s="405">
        <v>0</v>
      </c>
      <c r="H45" s="405">
        <v>0</v>
      </c>
      <c r="I45" s="405">
        <v>0</v>
      </c>
      <c r="J45" s="405">
        <v>0</v>
      </c>
      <c r="K45" s="405">
        <v>0</v>
      </c>
      <c r="L45" s="405">
        <v>0</v>
      </c>
      <c r="M45" s="405">
        <v>0</v>
      </c>
      <c r="N45" s="405">
        <v>0</v>
      </c>
      <c r="O45" s="405">
        <v>0</v>
      </c>
      <c r="P45" s="405">
        <v>0</v>
      </c>
      <c r="Q45" s="405">
        <v>0</v>
      </c>
      <c r="R45" s="405">
        <v>0</v>
      </c>
      <c r="S45" s="405">
        <v>0</v>
      </c>
      <c r="T45" s="405">
        <v>0</v>
      </c>
      <c r="U45" s="405">
        <v>0</v>
      </c>
      <c r="V45" s="405">
        <v>0</v>
      </c>
      <c r="W45" s="405">
        <v>0</v>
      </c>
      <c r="X45" s="405">
        <v>0</v>
      </c>
      <c r="Y45" s="405">
        <v>0</v>
      </c>
      <c r="Z45" s="405">
        <v>0</v>
      </c>
      <c r="AA45" s="405">
        <v>0</v>
      </c>
      <c r="AB45" s="405">
        <v>0</v>
      </c>
      <c r="AC45" s="405">
        <v>0</v>
      </c>
      <c r="AD45" s="405">
        <v>0</v>
      </c>
      <c r="AE45" s="405">
        <v>0</v>
      </c>
      <c r="AF45" s="405">
        <v>0</v>
      </c>
      <c r="AG45" s="405">
        <v>0</v>
      </c>
      <c r="AH45" s="405">
        <v>0</v>
      </c>
      <c r="AI45" s="405">
        <v>0</v>
      </c>
      <c r="AJ45" s="405">
        <v>0</v>
      </c>
    </row>
    <row r="46" spans="1:36" x14ac:dyDescent="0.2">
      <c r="A46" s="407"/>
      <c r="B46" s="407"/>
      <c r="C46" s="398">
        <v>0</v>
      </c>
      <c r="D46" s="408" t="s">
        <v>319</v>
      </c>
      <c r="E46" s="409">
        <v>0</v>
      </c>
      <c r="F46" s="409">
        <v>0</v>
      </c>
      <c r="G46" s="409">
        <v>0</v>
      </c>
      <c r="H46" s="409">
        <v>0</v>
      </c>
      <c r="I46" s="409">
        <v>0</v>
      </c>
      <c r="J46" s="409">
        <v>273965.01918837719</v>
      </c>
      <c r="K46" s="409">
        <v>273965.01918837719</v>
      </c>
      <c r="L46" s="409">
        <v>273965.01918837719</v>
      </c>
      <c r="M46" s="409">
        <v>273965.01918837719</v>
      </c>
      <c r="N46" s="409">
        <v>273965.01918837719</v>
      </c>
      <c r="O46" s="409">
        <v>273965.01918837719</v>
      </c>
      <c r="P46" s="409">
        <v>273965.01918837719</v>
      </c>
      <c r="Q46" s="409">
        <v>273965.01918837719</v>
      </c>
      <c r="R46" s="409">
        <v>273965.01918837719</v>
      </c>
      <c r="S46" s="409">
        <v>273965.01918837719</v>
      </c>
      <c r="T46" s="409">
        <v>273965.01918837719</v>
      </c>
      <c r="U46" s="409">
        <v>273965.01918837719</v>
      </c>
      <c r="V46" s="409">
        <v>273965.01918837719</v>
      </c>
      <c r="W46" s="409">
        <v>273965.01918837719</v>
      </c>
      <c r="X46" s="409">
        <v>273965.01918837719</v>
      </c>
      <c r="Y46" s="409">
        <v>273965.01918837719</v>
      </c>
      <c r="Z46" s="409">
        <v>273965.01918837719</v>
      </c>
      <c r="AA46" s="409">
        <v>273965.01918837719</v>
      </c>
      <c r="AB46" s="409">
        <v>273965.01918837719</v>
      </c>
      <c r="AC46" s="409">
        <v>273965.01918837719</v>
      </c>
      <c r="AD46" s="409">
        <v>273965.01918837719</v>
      </c>
      <c r="AE46" s="409">
        <v>273965.01918837719</v>
      </c>
      <c r="AF46" s="409">
        <v>273965.01918837719</v>
      </c>
      <c r="AG46" s="409">
        <v>273965.01918837719</v>
      </c>
      <c r="AH46" s="409">
        <v>273965.01918837719</v>
      </c>
      <c r="AI46" s="409">
        <v>273965.01918837719</v>
      </c>
      <c r="AJ46" s="409">
        <v>273965.01918837719</v>
      </c>
    </row>
    <row r="47" spans="1:36" x14ac:dyDescent="0.2">
      <c r="A47" s="325"/>
      <c r="B47" s="325"/>
      <c r="C47" s="325"/>
      <c r="D47" s="410" t="s">
        <v>320</v>
      </c>
      <c r="E47" s="411">
        <v>656509.96652182378</v>
      </c>
      <c r="F47" s="411">
        <v>698980.76760274288</v>
      </c>
      <c r="G47" s="411">
        <v>725961.75553331897</v>
      </c>
      <c r="H47" s="411">
        <v>757263.38968282228</v>
      </c>
      <c r="I47" s="411">
        <v>793668.65710940352</v>
      </c>
      <c r="J47" s="411">
        <v>317888.53945699567</v>
      </c>
      <c r="K47" s="411">
        <v>337256.43508430285</v>
      </c>
      <c r="L47" s="411">
        <v>357035.33779984369</v>
      </c>
      <c r="M47" s="411">
        <v>377797.56543975259</v>
      </c>
      <c r="N47" s="411">
        <v>397668.95066610118</v>
      </c>
      <c r="O47" s="411">
        <v>416294.17769987299</v>
      </c>
      <c r="P47" s="411">
        <v>434906.19243774679</v>
      </c>
      <c r="Q47" s="411">
        <v>453559.11356240418</v>
      </c>
      <c r="R47" s="411">
        <v>472291.30432091886</v>
      </c>
      <c r="S47" s="411">
        <v>491131.03787112143</v>
      </c>
      <c r="T47" s="411">
        <v>510099.77513360814</v>
      </c>
      <c r="U47" s="411">
        <v>529214.18572243443</v>
      </c>
      <c r="V47" s="411">
        <v>548487.45749230904</v>
      </c>
      <c r="W47" s="411">
        <v>567930.17981042713</v>
      </c>
      <c r="X47" s="411">
        <v>587550.95929737343</v>
      </c>
      <c r="Y47" s="411">
        <v>607356.86110558943</v>
      </c>
      <c r="Z47" s="411">
        <v>627353.73269377928</v>
      </c>
      <c r="AA47" s="411">
        <v>647546.44624583912</v>
      </c>
      <c r="AB47" s="411">
        <v>667338.36762191774</v>
      </c>
      <c r="AC47" s="411">
        <v>687324.16575635737</v>
      </c>
      <c r="AD47" s="411">
        <v>707506.8406706932</v>
      </c>
      <c r="AE47" s="411">
        <v>727888.94028184353</v>
      </c>
      <c r="AF47" s="411">
        <v>748472.63252014574</v>
      </c>
      <c r="AG47" s="411">
        <v>748472.63252014574</v>
      </c>
      <c r="AH47" s="411">
        <v>748472.63252014574</v>
      </c>
      <c r="AI47" s="411">
        <v>748472.63252014574</v>
      </c>
      <c r="AJ47" s="411">
        <v>748472.63252014574</v>
      </c>
    </row>
    <row r="49" spans="1:36" x14ac:dyDescent="0.2">
      <c r="A49" s="394" t="s">
        <v>282</v>
      </c>
      <c r="B49" s="394"/>
      <c r="C49" s="393" t="s">
        <v>283</v>
      </c>
      <c r="D49" s="393"/>
      <c r="F49" s="412" t="s">
        <v>284</v>
      </c>
      <c r="G49" s="413" t="s">
        <v>285</v>
      </c>
      <c r="H49" s="393" t="s">
        <v>286</v>
      </c>
      <c r="I49" s="393" t="s">
        <v>287</v>
      </c>
    </row>
    <row r="50" spans="1:36" x14ac:dyDescent="0.2">
      <c r="A50" s="396" t="s">
        <v>288</v>
      </c>
      <c r="B50" s="414" t="s">
        <v>329</v>
      </c>
      <c r="C50" s="415" t="s">
        <v>289</v>
      </c>
      <c r="D50" s="416"/>
      <c r="F50" s="415" t="s">
        <v>290</v>
      </c>
      <c r="G50" s="417">
        <v>1.5324214142647691E-3</v>
      </c>
      <c r="H50" s="413">
        <v>1</v>
      </c>
      <c r="I50" s="418"/>
    </row>
    <row r="51" spans="1:36" x14ac:dyDescent="0.2">
      <c r="A51" s="396" t="s">
        <v>291</v>
      </c>
      <c r="B51" s="414" t="s">
        <v>292</v>
      </c>
      <c r="C51" s="415" t="s">
        <v>293</v>
      </c>
      <c r="D51" s="416"/>
      <c r="F51" s="415" t="s">
        <v>294</v>
      </c>
      <c r="G51" s="417">
        <v>1.3791792728382922E-3</v>
      </c>
      <c r="H51" s="413">
        <v>0.9</v>
      </c>
      <c r="I51" s="418"/>
    </row>
    <row r="52" spans="1:36" x14ac:dyDescent="0.2">
      <c r="A52" s="419" t="s">
        <v>8</v>
      </c>
      <c r="B52" s="420">
        <v>35.598999999999997</v>
      </c>
      <c r="C52" s="419" t="s">
        <v>295</v>
      </c>
      <c r="D52" s="421">
        <v>7711222.5599999996</v>
      </c>
      <c r="F52" s="415" t="s">
        <v>296</v>
      </c>
      <c r="G52" s="417" t="b">
        <v>1</v>
      </c>
      <c r="H52" s="413">
        <v>1</v>
      </c>
      <c r="I52" s="418"/>
    </row>
    <row r="53" spans="1:36" x14ac:dyDescent="0.2">
      <c r="A53" s="419" t="s">
        <v>297</v>
      </c>
      <c r="B53" s="422">
        <v>0.5</v>
      </c>
      <c r="C53" s="419" t="s">
        <v>298</v>
      </c>
      <c r="D53" s="421">
        <v>166900</v>
      </c>
      <c r="F53" s="415" t="s">
        <v>299</v>
      </c>
      <c r="G53" s="423">
        <v>0</v>
      </c>
      <c r="H53" s="413">
        <v>1</v>
      </c>
      <c r="I53" s="418"/>
    </row>
    <row r="54" spans="1:36" x14ac:dyDescent="0.2">
      <c r="A54" s="391" t="s">
        <v>333</v>
      </c>
      <c r="B54" s="392" t="s">
        <v>300</v>
      </c>
      <c r="C54" s="393" t="s">
        <v>301</v>
      </c>
      <c r="D54" s="394" t="s">
        <v>302</v>
      </c>
      <c r="E54" s="393">
        <v>2025</v>
      </c>
      <c r="F54" s="393">
        <v>2026</v>
      </c>
      <c r="G54" s="393">
        <v>2027</v>
      </c>
      <c r="H54" s="393">
        <v>2028</v>
      </c>
      <c r="I54" s="393">
        <v>2029</v>
      </c>
      <c r="J54" s="393">
        <v>2030</v>
      </c>
      <c r="K54" s="393">
        <v>2031</v>
      </c>
      <c r="L54" s="393">
        <v>2032</v>
      </c>
      <c r="M54" s="393">
        <v>2033</v>
      </c>
      <c r="N54" s="393">
        <v>2034</v>
      </c>
      <c r="O54" s="393">
        <v>2035</v>
      </c>
      <c r="P54" s="393">
        <v>2036</v>
      </c>
      <c r="Q54" s="393">
        <v>2037</v>
      </c>
      <c r="R54" s="393">
        <v>2038</v>
      </c>
      <c r="S54" s="393">
        <v>2039</v>
      </c>
      <c r="T54" s="393">
        <v>2040</v>
      </c>
      <c r="U54" s="393">
        <v>2041</v>
      </c>
      <c r="V54" s="393">
        <v>2042</v>
      </c>
      <c r="W54" s="393">
        <v>2043</v>
      </c>
      <c r="X54" s="393">
        <v>2044</v>
      </c>
      <c r="Y54" s="393">
        <v>2045</v>
      </c>
      <c r="Z54" s="393">
        <v>2046</v>
      </c>
      <c r="AA54" s="393">
        <v>2047</v>
      </c>
      <c r="AB54" s="395">
        <v>2048</v>
      </c>
      <c r="AC54" s="395">
        <v>2049</v>
      </c>
      <c r="AD54" s="395">
        <v>2050</v>
      </c>
      <c r="AE54" s="395">
        <v>2051</v>
      </c>
      <c r="AF54" s="395">
        <v>2052</v>
      </c>
      <c r="AG54" s="395">
        <v>2053</v>
      </c>
      <c r="AH54" s="395">
        <v>2054</v>
      </c>
      <c r="AI54" s="395">
        <v>2055</v>
      </c>
      <c r="AJ54" s="395">
        <v>2056</v>
      </c>
    </row>
    <row r="55" spans="1:36" x14ac:dyDescent="0.2">
      <c r="A55" s="396" t="s">
        <v>303</v>
      </c>
      <c r="B55" s="397" t="b">
        <v>0</v>
      </c>
      <c r="C55" s="398">
        <v>0</v>
      </c>
      <c r="D55" s="396" t="s">
        <v>23</v>
      </c>
      <c r="E55" s="399">
        <v>15468.961683569441</v>
      </c>
      <c r="F55" s="399">
        <v>16536.950264498468</v>
      </c>
      <c r="G55" s="399">
        <v>17171.968579447894</v>
      </c>
      <c r="H55" s="399">
        <v>17921.203940213916</v>
      </c>
      <c r="I55" s="399">
        <v>18816.265888133708</v>
      </c>
      <c r="J55" s="399">
        <v>19650.923479468587</v>
      </c>
      <c r="K55" s="399">
        <v>20591.060541219496</v>
      </c>
      <c r="L55" s="399">
        <v>21729.646743914931</v>
      </c>
      <c r="M55" s="399">
        <v>23084.687289557696</v>
      </c>
      <c r="N55" s="399">
        <v>23995.12832775732</v>
      </c>
      <c r="O55" s="399">
        <v>24574.909465282501</v>
      </c>
      <c r="P55" s="399">
        <v>25160.470445884195</v>
      </c>
      <c r="Q55" s="399">
        <v>25751.791234282256</v>
      </c>
      <c r="R55" s="399">
        <v>26348.852222096401</v>
      </c>
      <c r="S55" s="399">
        <v>26951.634215085865</v>
      </c>
      <c r="T55" s="399">
        <v>27560.118420942352</v>
      </c>
      <c r="U55" s="399">
        <v>28174.286437605777</v>
      </c>
      <c r="V55" s="399">
        <v>28794.12024207379</v>
      </c>
      <c r="W55" s="399">
        <v>29419.602179677779</v>
      </c>
      <c r="X55" s="399">
        <v>30050.714953800925</v>
      </c>
      <c r="Y55" s="399">
        <v>30687.441616013832</v>
      </c>
      <c r="Z55" s="399">
        <v>31329.765556606908</v>
      </c>
      <c r="AA55" s="399">
        <v>31977.670495497841</v>
      </c>
      <c r="AB55" s="399">
        <v>32631.140473496005</v>
      </c>
      <c r="AC55" s="399">
        <v>33290.159843904112</v>
      </c>
      <c r="AD55" s="399">
        <v>33954.713264442689</v>
      </c>
      <c r="AE55" s="399">
        <v>34624.78568947826</v>
      </c>
      <c r="AF55" s="399">
        <v>35300.362362543434</v>
      </c>
      <c r="AG55" s="399">
        <v>35300.362362543434</v>
      </c>
      <c r="AH55" s="399">
        <v>35300.362362543434</v>
      </c>
      <c r="AI55" s="399">
        <v>35300.362362543434</v>
      </c>
      <c r="AJ55" s="399">
        <v>35300.362362543434</v>
      </c>
    </row>
    <row r="56" spans="1:36" x14ac:dyDescent="0.2">
      <c r="A56" s="396" t="s">
        <v>304</v>
      </c>
      <c r="B56" s="397" t="b">
        <v>0</v>
      </c>
      <c r="C56" s="398">
        <v>0</v>
      </c>
      <c r="D56" s="396" t="s">
        <v>23</v>
      </c>
      <c r="E56" s="400">
        <v>18684.434005176543</v>
      </c>
      <c r="F56" s="400">
        <v>19900.000179052397</v>
      </c>
      <c r="G56" s="400">
        <v>20749.356963957282</v>
      </c>
      <c r="H56" s="400">
        <v>21715.203009069635</v>
      </c>
      <c r="I56" s="400">
        <v>22793.318152953081</v>
      </c>
      <c r="J56" s="400">
        <v>23774.142547110499</v>
      </c>
      <c r="K56" s="400">
        <v>24934.215158958046</v>
      </c>
      <c r="L56" s="400">
        <v>26444.963444650126</v>
      </c>
      <c r="M56" s="400">
        <v>27933.294609417804</v>
      </c>
      <c r="N56" s="400">
        <v>29012.423325875843</v>
      </c>
      <c r="O56" s="400">
        <v>29713.412963671271</v>
      </c>
      <c r="P56" s="400">
        <v>30421.389745102744</v>
      </c>
      <c r="Q56" s="400">
        <v>31136.329416452725</v>
      </c>
      <c r="R56" s="400">
        <v>31858.208240026383</v>
      </c>
      <c r="S56" s="400">
        <v>32587.002978724031</v>
      </c>
      <c r="T56" s="400">
        <v>33322.690881282237</v>
      </c>
      <c r="U56" s="400">
        <v>34065.249668147429</v>
      </c>
      <c r="V56" s="400">
        <v>34814.657517946114</v>
      </c>
      <c r="W56" s="400">
        <v>35570.893054519496</v>
      </c>
      <c r="X56" s="400">
        <v>36333.935334492126</v>
      </c>
      <c r="Y56" s="400">
        <v>37103.763835345999</v>
      </c>
      <c r="Z56" s="400">
        <v>37880.358443973753</v>
      </c>
      <c r="AA56" s="400">
        <v>38663.699445685888</v>
      </c>
      <c r="AB56" s="400">
        <v>39453.76751364908</v>
      </c>
      <c r="AC56" s="400">
        <v>40250.543698732792</v>
      </c>
      <c r="AD56" s="400">
        <v>41054.009419745627</v>
      </c>
      <c r="AE56" s="400">
        <v>41864.146454039408</v>
      </c>
      <c r="AF56" s="400">
        <v>42680.936928465788</v>
      </c>
      <c r="AG56" s="400">
        <v>42680.936928465788</v>
      </c>
      <c r="AH56" s="400">
        <v>42680.936928465788</v>
      </c>
      <c r="AI56" s="400">
        <v>42680.936928465788</v>
      </c>
      <c r="AJ56" s="400">
        <v>42680.936928465788</v>
      </c>
    </row>
    <row r="57" spans="1:36" x14ac:dyDescent="0.2">
      <c r="A57" s="396" t="s">
        <v>305</v>
      </c>
      <c r="B57" s="397" t="b">
        <v>0</v>
      </c>
      <c r="C57" s="398">
        <v>300000</v>
      </c>
      <c r="D57" s="396" t="s">
        <v>23</v>
      </c>
      <c r="E57" s="400">
        <v>15468.961683569441</v>
      </c>
      <c r="F57" s="400">
        <v>16536.950264498468</v>
      </c>
      <c r="G57" s="400">
        <v>17171.968579447894</v>
      </c>
      <c r="H57" s="400">
        <v>17921.203940213916</v>
      </c>
      <c r="I57" s="400">
        <v>18816.265888133708</v>
      </c>
      <c r="J57" s="400">
        <v>19650.923479468587</v>
      </c>
      <c r="K57" s="400">
        <v>20591.060541219496</v>
      </c>
      <c r="L57" s="400">
        <v>21729.646743914931</v>
      </c>
      <c r="M57" s="400">
        <v>23084.687289557696</v>
      </c>
      <c r="N57" s="400">
        <v>23995.12832775732</v>
      </c>
      <c r="O57" s="400">
        <v>24574.909465282501</v>
      </c>
      <c r="P57" s="400">
        <v>25160.470445884195</v>
      </c>
      <c r="Q57" s="400">
        <v>25751.791234282256</v>
      </c>
      <c r="R57" s="400">
        <v>26348.852222096401</v>
      </c>
      <c r="S57" s="400">
        <v>26951.634215085865</v>
      </c>
      <c r="T57" s="400">
        <v>27560.118420942352</v>
      </c>
      <c r="U57" s="400">
        <v>28174.286437605777</v>
      </c>
      <c r="V57" s="400">
        <v>28794.12024207379</v>
      </c>
      <c r="W57" s="400">
        <v>29419.602179677779</v>
      </c>
      <c r="X57" s="400">
        <v>30050.714953800925</v>
      </c>
      <c r="Y57" s="400">
        <v>30687.441616013832</v>
      </c>
      <c r="Z57" s="400">
        <v>31329.765556606908</v>
      </c>
      <c r="AA57" s="400">
        <v>31977.670495497841</v>
      </c>
      <c r="AB57" s="400">
        <v>32631.140473496005</v>
      </c>
      <c r="AC57" s="400">
        <v>33290.159843904112</v>
      </c>
      <c r="AD57" s="400">
        <v>33954.713264442689</v>
      </c>
      <c r="AE57" s="400">
        <v>34624.78568947826</v>
      </c>
      <c r="AF57" s="400">
        <v>35300.362362543434</v>
      </c>
      <c r="AG57" s="400">
        <v>35300.362362543434</v>
      </c>
      <c r="AH57" s="400">
        <v>35300.362362543434</v>
      </c>
      <c r="AI57" s="400">
        <v>35300.362362543434</v>
      </c>
      <c r="AJ57" s="400">
        <v>35300.362362543434</v>
      </c>
    </row>
    <row r="58" spans="1:36" x14ac:dyDescent="0.2">
      <c r="A58" s="396" t="s">
        <v>306</v>
      </c>
      <c r="B58" s="397" t="b">
        <v>0</v>
      </c>
      <c r="C58" s="398">
        <v>4000</v>
      </c>
      <c r="D58" s="396" t="s">
        <v>307</v>
      </c>
      <c r="E58" s="401">
        <v>2.9116006871030614E-3</v>
      </c>
      <c r="F58" s="401">
        <v>2.9918848533807248E-3</v>
      </c>
      <c r="G58" s="401">
        <v>3.0730660647909419E-3</v>
      </c>
      <c r="H58" s="401">
        <v>3.1551400930066326E-3</v>
      </c>
      <c r="I58" s="401">
        <v>3.2381027947357127E-3</v>
      </c>
      <c r="J58" s="401">
        <v>3.3219501087414444E-3</v>
      </c>
      <c r="K58" s="401">
        <v>3.4066780530103303E-3</v>
      </c>
      <c r="L58" s="401">
        <v>3.4922827220581929E-3</v>
      </c>
      <c r="M58" s="401">
        <v>3.578760284365789E-3</v>
      </c>
      <c r="N58" s="401">
        <v>3.6661069799359325E-3</v>
      </c>
      <c r="O58" s="401">
        <v>3.7543191179647663E-3</v>
      </c>
      <c r="P58" s="401">
        <v>3.8433930746202723E-3</v>
      </c>
      <c r="Q58" s="401">
        <v>3.9333252909217525E-3</v>
      </c>
      <c r="R58" s="401">
        <v>4.0241122707143015E-3</v>
      </c>
      <c r="S58" s="401">
        <v>4.1157505787328859E-3</v>
      </c>
      <c r="T58" s="401">
        <v>4.2082368387508081E-3</v>
      </c>
      <c r="U58" s="401">
        <v>4.3015677318079763E-3</v>
      </c>
      <c r="V58" s="401">
        <v>4.3957399945144492E-3</v>
      </c>
      <c r="W58" s="401">
        <v>4.4907504174251569E-3</v>
      </c>
      <c r="X58" s="401">
        <v>4.5865958434820071E-3</v>
      </c>
      <c r="Y58" s="401">
        <v>4.6832731665196956E-3</v>
      </c>
      <c r="Z58" s="401">
        <v>4.7807793298319749E-3</v>
      </c>
      <c r="AA58" s="401">
        <v>4.8791113247951233E-3</v>
      </c>
      <c r="AB58" s="401">
        <v>4.8791113247951233E-3</v>
      </c>
      <c r="AC58" s="401">
        <v>4.8791113247951233E-3</v>
      </c>
      <c r="AD58" s="401">
        <v>4.8791113247951233E-3</v>
      </c>
      <c r="AE58" s="401">
        <v>4.8791113247951233E-3</v>
      </c>
      <c r="AF58" s="401">
        <v>4.8791113247951233E-3</v>
      </c>
      <c r="AG58" s="401">
        <v>4.8791113247951233E-3</v>
      </c>
      <c r="AH58" s="401">
        <v>4.8791113247951233E-3</v>
      </c>
      <c r="AI58" s="401">
        <v>4.8791113247951233E-3</v>
      </c>
      <c r="AJ58" s="401">
        <v>4.8791113247951233E-3</v>
      </c>
    </row>
    <row r="59" spans="1:36" x14ac:dyDescent="0.2">
      <c r="A59" s="396" t="s">
        <v>308</v>
      </c>
      <c r="B59" s="397" t="b">
        <v>0</v>
      </c>
      <c r="C59" s="398">
        <v>650</v>
      </c>
      <c r="D59" s="396" t="s">
        <v>309</v>
      </c>
      <c r="E59" s="401">
        <v>1.2259371314118153E-2</v>
      </c>
      <c r="F59" s="401">
        <v>1.2597409908971471E-2</v>
      </c>
      <c r="G59" s="401">
        <v>1.293922553596186E-2</v>
      </c>
      <c r="H59" s="401">
        <v>1.3284800391606875E-2</v>
      </c>
      <c r="I59" s="401">
        <v>1.3634117030466159E-2</v>
      </c>
      <c r="J59" s="401">
        <v>1.3987158352595556E-2</v>
      </c>
      <c r="K59" s="401">
        <v>1.4343907591622443E-2</v>
      </c>
      <c r="L59" s="401">
        <v>1.4704348303402918E-2</v>
      </c>
      <c r="M59" s="401">
        <v>1.5068464355224374E-2</v>
      </c>
      <c r="N59" s="401">
        <v>1.5436239915519715E-2</v>
      </c>
      <c r="O59" s="401">
        <v>1.5807659444062174E-2</v>
      </c>
      <c r="P59" s="401">
        <v>1.6182707682611673E-2</v>
      </c>
      <c r="Q59" s="401">
        <v>1.6561369645986326E-2</v>
      </c>
      <c r="R59" s="401">
        <v>1.6943630613533902E-2</v>
      </c>
      <c r="S59" s="401">
        <v>1.7329476120980573E-2</v>
      </c>
      <c r="T59" s="401">
        <v>1.7718891952634982E-2</v>
      </c>
      <c r="U59" s="401">
        <v>1.8111864133928322E-2</v>
      </c>
      <c r="V59" s="401">
        <v>1.8508378924271367E-2</v>
      </c>
      <c r="W59" s="401">
        <v>1.8908422810211184E-2</v>
      </c>
      <c r="X59" s="401">
        <v>1.9311982498871609E-2</v>
      </c>
      <c r="Y59" s="401">
        <v>1.9719044911661876E-2</v>
      </c>
      <c r="Z59" s="401">
        <v>2.0129597178239894E-2</v>
      </c>
      <c r="AA59" s="401">
        <v>2.0543626630716308E-2</v>
      </c>
      <c r="AB59" s="401">
        <v>2.0543626630716308E-2</v>
      </c>
      <c r="AC59" s="401">
        <v>2.0543626630716308E-2</v>
      </c>
      <c r="AD59" s="401">
        <v>2.0543626630716308E-2</v>
      </c>
      <c r="AE59" s="401">
        <v>2.0543626630716308E-2</v>
      </c>
      <c r="AF59" s="401">
        <v>2.0543626630716308E-2</v>
      </c>
      <c r="AG59" s="401">
        <v>2.0543626630716308E-2</v>
      </c>
      <c r="AH59" s="401">
        <v>2.0543626630716308E-2</v>
      </c>
      <c r="AI59" s="401">
        <v>2.0543626630716308E-2</v>
      </c>
      <c r="AJ59" s="401">
        <v>2.0543626630716308E-2</v>
      </c>
    </row>
    <row r="60" spans="1:36" x14ac:dyDescent="0.2">
      <c r="A60" s="396" t="s">
        <v>310</v>
      </c>
      <c r="B60" s="402" t="b">
        <v>0</v>
      </c>
      <c r="C60" s="398">
        <v>300000</v>
      </c>
      <c r="D60" s="396"/>
      <c r="E60" s="396"/>
      <c r="F60" s="396"/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96"/>
      <c r="AC60" s="396"/>
      <c r="AD60" s="396"/>
      <c r="AE60" s="396"/>
      <c r="AF60" s="396"/>
      <c r="AG60" s="396"/>
      <c r="AH60" s="396"/>
      <c r="AI60" s="396"/>
      <c r="AJ60" s="396"/>
    </row>
    <row r="61" spans="1:36" x14ac:dyDescent="0.2">
      <c r="A61" s="396" t="s">
        <v>311</v>
      </c>
      <c r="B61" s="402" t="b">
        <v>1</v>
      </c>
      <c r="C61" s="398">
        <v>500000</v>
      </c>
      <c r="D61" s="396" t="s">
        <v>275</v>
      </c>
      <c r="E61" s="403">
        <v>585019.84672645584</v>
      </c>
      <c r="F61" s="403">
        <v>624615.2566383424</v>
      </c>
      <c r="G61" s="403">
        <v>649510.34418981033</v>
      </c>
      <c r="H61" s="403">
        <v>678495.71092333354</v>
      </c>
      <c r="I61" s="403">
        <v>712313.97442426323</v>
      </c>
      <c r="J61" s="403">
        <v>743587.96762229747</v>
      </c>
      <c r="K61" s="403">
        <v>779404.75257793511</v>
      </c>
      <c r="L61" s="403">
        <v>823911.86220546917</v>
      </c>
      <c r="M61" s="403">
        <v>873573.4544148742</v>
      </c>
      <c r="N61" s="403">
        <v>907785.77873123903</v>
      </c>
      <c r="O61" s="403">
        <v>929719.87786633417</v>
      </c>
      <c r="P61" s="403">
        <v>951872.62724289554</v>
      </c>
      <c r="Q61" s="403">
        <v>974243.26857333991</v>
      </c>
      <c r="R61" s="403">
        <v>996831.05971909629</v>
      </c>
      <c r="S61" s="403">
        <v>1019635.2742078681</v>
      </c>
      <c r="T61" s="403">
        <v>1042655.2007718184</v>
      </c>
      <c r="U61" s="403">
        <v>1065890.1429055436</v>
      </c>
      <c r="V61" s="403">
        <v>1089339.4184427182</v>
      </c>
      <c r="W61" s="403">
        <v>1113002.359150396</v>
      </c>
      <c r="X61" s="403">
        <v>1136878.3103400269</v>
      </c>
      <c r="Y61" s="403">
        <v>1160966.6304942779</v>
      </c>
      <c r="Z61" s="403">
        <v>1185266.6909088609</v>
      </c>
      <c r="AA61" s="403">
        <v>1209777.8753485507</v>
      </c>
      <c r="AB61" s="403">
        <v>1234499.5797167071</v>
      </c>
      <c r="AC61" s="403">
        <v>1259431.2117375564</v>
      </c>
      <c r="AD61" s="403">
        <v>1284572.1906506841</v>
      </c>
      <c r="AE61" s="403">
        <v>1309921.94691702</v>
      </c>
      <c r="AF61" s="403">
        <v>1335479.9219358643</v>
      </c>
      <c r="AG61" s="403">
        <v>1335479.9219358643</v>
      </c>
      <c r="AH61" s="403">
        <v>1335479.9219358643</v>
      </c>
      <c r="AI61" s="403">
        <v>1335479.9219358643</v>
      </c>
      <c r="AJ61" s="403">
        <v>1335479.9219358643</v>
      </c>
    </row>
    <row r="62" spans="1:36" x14ac:dyDescent="0.2">
      <c r="A62" s="396" t="s">
        <v>312</v>
      </c>
      <c r="B62" s="397" t="b">
        <v>0</v>
      </c>
      <c r="C62" s="398">
        <v>6426018.7999999998</v>
      </c>
      <c r="D62" s="396" t="s">
        <v>276</v>
      </c>
      <c r="E62" s="404">
        <v>538.50342386838122</v>
      </c>
      <c r="F62" s="404">
        <v>553.3520597456984</v>
      </c>
      <c r="G62" s="404">
        <v>568.36660500660128</v>
      </c>
      <c r="H62" s="404">
        <v>583.54627761781865</v>
      </c>
      <c r="I62" s="404">
        <v>598.89031127338535</v>
      </c>
      <c r="J62" s="404">
        <v>614.39795484355443</v>
      </c>
      <c r="K62" s="404">
        <v>630.06847185099514</v>
      </c>
      <c r="L62" s="404">
        <v>645.90113997254991</v>
      </c>
      <c r="M62" s="404">
        <v>661.89525056494904</v>
      </c>
      <c r="N62" s="404">
        <v>678.050108212998</v>
      </c>
      <c r="O62" s="404">
        <v>694.3650302988766</v>
      </c>
      <c r="P62" s="404">
        <v>710.83934659127283</v>
      </c>
      <c r="Q62" s="404">
        <v>727.47239885318993</v>
      </c>
      <c r="R62" s="404">
        <v>744.26354046732388</v>
      </c>
      <c r="S62" s="404">
        <v>761.21213607801246</v>
      </c>
      <c r="T62" s="404">
        <v>778.31756124879234</v>
      </c>
      <c r="U62" s="404">
        <v>795.57920213471505</v>
      </c>
      <c r="V62" s="404">
        <v>812.99645516858664</v>
      </c>
      <c r="W62" s="404">
        <v>830.56872676037017</v>
      </c>
      <c r="X62" s="404">
        <v>848.29543300905254</v>
      </c>
      <c r="Y62" s="404">
        <v>866.17599942629147</v>
      </c>
      <c r="Z62" s="404">
        <v>884.20986067124636</v>
      </c>
      <c r="AA62" s="404">
        <v>902.39646029598725</v>
      </c>
      <c r="AB62" s="404">
        <v>902.39646029598725</v>
      </c>
      <c r="AC62" s="404">
        <v>902.39646029598725</v>
      </c>
      <c r="AD62" s="404">
        <v>902.39646029598725</v>
      </c>
      <c r="AE62" s="404">
        <v>902.39646029598725</v>
      </c>
      <c r="AF62" s="404">
        <v>902.39646029598725</v>
      </c>
      <c r="AG62" s="404">
        <v>902.39646029598725</v>
      </c>
      <c r="AH62" s="404">
        <v>902.39646029598725</v>
      </c>
      <c r="AI62" s="404">
        <v>902.39646029598725</v>
      </c>
      <c r="AJ62" s="404">
        <v>902.39646029598725</v>
      </c>
    </row>
    <row r="63" spans="1:36" x14ac:dyDescent="0.2">
      <c r="A63" s="396" t="s">
        <v>313</v>
      </c>
      <c r="B63" s="397" t="b">
        <v>0</v>
      </c>
      <c r="C63" s="398">
        <v>11616012.6</v>
      </c>
      <c r="D63" s="396" t="s">
        <v>277</v>
      </c>
      <c r="E63" s="404">
        <v>22452.000904100627</v>
      </c>
      <c r="F63" s="404">
        <v>23071.089978311735</v>
      </c>
      <c r="G63" s="404">
        <v>23697.096367186332</v>
      </c>
      <c r="H63" s="404">
        <v>24329.987465153241</v>
      </c>
      <c r="I63" s="404">
        <v>24969.731322365074</v>
      </c>
      <c r="J63" s="404">
        <v>25616.296621721478</v>
      </c>
      <c r="K63" s="404">
        <v>26269.652657030132</v>
      </c>
      <c r="L63" s="404">
        <v>26929.769312233344</v>
      </c>
      <c r="M63" s="404">
        <v>27596.617041633486</v>
      </c>
      <c r="N63" s="404">
        <v>28270.166851055426</v>
      </c>
      <c r="O63" s="404">
        <v>28950.390279889205</v>
      </c>
      <c r="P63" s="404">
        <v>29637.259383959605</v>
      </c>
      <c r="Q63" s="404">
        <v>30330.746719174378</v>
      </c>
      <c r="R63" s="404">
        <v>31030.825325904949</v>
      </c>
      <c r="S63" s="404">
        <v>31737.468714058083</v>
      </c>
      <c r="T63" s="404">
        <v>32450.650848798312</v>
      </c>
      <c r="U63" s="404">
        <v>33170.346136885695</v>
      </c>
      <c r="V63" s="404">
        <v>33896.529413594093</v>
      </c>
      <c r="W63" s="404">
        <v>34629.175930178288</v>
      </c>
      <c r="X63" s="404">
        <v>35368.261341860678</v>
      </c>
      <c r="Y63" s="404">
        <v>36113.76169630931</v>
      </c>
      <c r="Z63" s="404">
        <v>36865.653422582007</v>
      </c>
      <c r="AA63" s="404">
        <v>37623.913320511638</v>
      </c>
      <c r="AB63" s="404">
        <v>37623.913320511638</v>
      </c>
      <c r="AC63" s="404">
        <v>37623.913320511638</v>
      </c>
      <c r="AD63" s="404">
        <v>37623.913320511638</v>
      </c>
      <c r="AE63" s="404">
        <v>37623.913320511638</v>
      </c>
      <c r="AF63" s="404">
        <v>37623.913320511638</v>
      </c>
      <c r="AG63" s="404">
        <v>37623.913320511638</v>
      </c>
      <c r="AH63" s="404">
        <v>37623.913320511638</v>
      </c>
      <c r="AI63" s="404">
        <v>37623.913320511638</v>
      </c>
      <c r="AJ63" s="404">
        <v>37623.913320511638</v>
      </c>
    </row>
    <row r="64" spans="1:36" x14ac:dyDescent="0.2">
      <c r="A64" s="396" t="s">
        <v>314</v>
      </c>
      <c r="B64" s="397" t="b">
        <v>0</v>
      </c>
      <c r="C64" s="398">
        <v>0</v>
      </c>
      <c r="D64" s="396" t="s">
        <v>278</v>
      </c>
      <c r="E64" s="404">
        <v>2046.0890723263199</v>
      </c>
      <c r="F64" s="404">
        <v>2102.5077138073384</v>
      </c>
      <c r="G64" s="404">
        <v>2159.5567419520344</v>
      </c>
      <c r="H64" s="404">
        <v>2217.2331853591872</v>
      </c>
      <c r="I64" s="404">
        <v>2275.534132384802</v>
      </c>
      <c r="J64" s="404">
        <v>2334.4567290481982</v>
      </c>
      <c r="K64" s="404">
        <v>2393.9981770417858</v>
      </c>
      <c r="L64" s="404">
        <v>2454.1557318379469</v>
      </c>
      <c r="M64" s="404">
        <v>2514.9267008869483</v>
      </c>
      <c r="N64" s="404">
        <v>2576.3084419002403</v>
      </c>
      <c r="O64" s="404">
        <v>2638.2983612139769</v>
      </c>
      <c r="P64" s="404">
        <v>2700.8939122278884</v>
      </c>
      <c r="Q64" s="404">
        <v>2764.092593915118</v>
      </c>
      <c r="R64" s="404">
        <v>2827.8919493988083</v>
      </c>
      <c r="S64" s="404">
        <v>2892.2895645916574</v>
      </c>
      <c r="T64" s="404">
        <v>2957.2830668947786</v>
      </c>
      <c r="U64" s="404">
        <v>3022.8701239526367</v>
      </c>
      <c r="V64" s="404">
        <v>3089.0484424608912</v>
      </c>
      <c r="W64" s="404">
        <v>3155.8157670242467</v>
      </c>
      <c r="X64" s="404">
        <v>3223.1698790616715</v>
      </c>
      <c r="Y64" s="404">
        <v>3291.1085957563673</v>
      </c>
      <c r="Z64" s="404">
        <v>3359.6297690482384</v>
      </c>
      <c r="AA64" s="404">
        <v>3428.7312846665518</v>
      </c>
      <c r="AB64" s="404">
        <v>3428.7312846665518</v>
      </c>
      <c r="AC64" s="404">
        <v>3428.7312846665518</v>
      </c>
      <c r="AD64" s="404">
        <v>3428.7312846665518</v>
      </c>
      <c r="AE64" s="404">
        <v>3428.7312846665518</v>
      </c>
      <c r="AF64" s="404">
        <v>3428.7312846665518</v>
      </c>
      <c r="AG64" s="404">
        <v>3428.7312846665518</v>
      </c>
      <c r="AH64" s="404">
        <v>3428.7312846665518</v>
      </c>
      <c r="AI64" s="404">
        <v>3428.7312846665518</v>
      </c>
      <c r="AJ64" s="404">
        <v>3428.7312846665518</v>
      </c>
    </row>
    <row r="65" spans="1:36" x14ac:dyDescent="0.2">
      <c r="A65" s="396" t="s">
        <v>315</v>
      </c>
      <c r="B65" s="397" t="b">
        <v>0</v>
      </c>
      <c r="C65" s="398" t="s">
        <v>136</v>
      </c>
      <c r="D65" s="396" t="s">
        <v>279</v>
      </c>
      <c r="E65" s="405">
        <v>8665.625</v>
      </c>
      <c r="F65" s="405">
        <v>8665.625</v>
      </c>
      <c r="G65" s="405">
        <v>8665.625</v>
      </c>
      <c r="H65" s="405">
        <v>8665.625</v>
      </c>
      <c r="I65" s="405">
        <v>8665.625</v>
      </c>
      <c r="J65" s="405">
        <v>8665.625</v>
      </c>
      <c r="K65" s="405">
        <v>8665.625</v>
      </c>
      <c r="L65" s="405">
        <v>8665.625</v>
      </c>
      <c r="M65" s="405">
        <v>8665.625</v>
      </c>
      <c r="N65" s="405">
        <v>8665.625</v>
      </c>
      <c r="O65" s="405">
        <v>8665.625</v>
      </c>
      <c r="P65" s="405">
        <v>8665.625</v>
      </c>
      <c r="Q65" s="405">
        <v>8665.625</v>
      </c>
      <c r="R65" s="405">
        <v>8665.625</v>
      </c>
      <c r="S65" s="405">
        <v>8665.625</v>
      </c>
      <c r="T65" s="405">
        <v>8665.625</v>
      </c>
      <c r="U65" s="405">
        <v>8665.625</v>
      </c>
      <c r="V65" s="405">
        <v>8665.625</v>
      </c>
      <c r="W65" s="405">
        <v>8665.625</v>
      </c>
      <c r="X65" s="405">
        <v>8665.625</v>
      </c>
      <c r="Y65" s="405">
        <v>8665.625</v>
      </c>
      <c r="Z65" s="405">
        <v>8665.625</v>
      </c>
      <c r="AA65" s="405">
        <v>8665.625</v>
      </c>
      <c r="AB65" s="405">
        <v>8665.625</v>
      </c>
      <c r="AC65" s="405">
        <v>8665.625</v>
      </c>
      <c r="AD65" s="405">
        <v>8665.625</v>
      </c>
      <c r="AE65" s="405">
        <v>8665.625</v>
      </c>
      <c r="AF65" s="405">
        <v>8665.625</v>
      </c>
      <c r="AG65" s="405">
        <v>8665.625</v>
      </c>
      <c r="AH65" s="405">
        <v>8665.625</v>
      </c>
      <c r="AI65" s="405">
        <v>8665.625</v>
      </c>
      <c r="AJ65" s="405">
        <v>8665.625</v>
      </c>
    </row>
    <row r="66" spans="1:36" x14ac:dyDescent="0.2">
      <c r="A66" s="396" t="s">
        <v>316</v>
      </c>
      <c r="B66" s="397" t="b">
        <v>1</v>
      </c>
      <c r="C66" s="398">
        <v>0</v>
      </c>
      <c r="D66" s="396" t="s">
        <v>317</v>
      </c>
      <c r="E66" s="406">
        <v>0</v>
      </c>
      <c r="F66" s="406">
        <v>0</v>
      </c>
      <c r="G66" s="406">
        <v>0</v>
      </c>
      <c r="H66" s="406">
        <v>0</v>
      </c>
      <c r="I66" s="406">
        <v>0</v>
      </c>
      <c r="J66" s="406">
        <v>0</v>
      </c>
      <c r="K66" s="406">
        <v>0</v>
      </c>
      <c r="L66" s="406">
        <v>0</v>
      </c>
      <c r="M66" s="406">
        <v>0</v>
      </c>
      <c r="N66" s="406">
        <v>0</v>
      </c>
      <c r="O66" s="406">
        <v>0</v>
      </c>
      <c r="P66" s="406">
        <v>0</v>
      </c>
      <c r="Q66" s="406">
        <v>0</v>
      </c>
      <c r="R66" s="406">
        <v>0</v>
      </c>
      <c r="S66" s="406">
        <v>0</v>
      </c>
      <c r="T66" s="406">
        <v>0</v>
      </c>
      <c r="U66" s="406">
        <v>0</v>
      </c>
      <c r="V66" s="406">
        <v>0</v>
      </c>
      <c r="W66" s="406">
        <v>0</v>
      </c>
      <c r="X66" s="406">
        <v>0</v>
      </c>
      <c r="Y66" s="406">
        <v>0</v>
      </c>
      <c r="Z66" s="406">
        <v>0</v>
      </c>
      <c r="AA66" s="406">
        <v>0</v>
      </c>
      <c r="AB66" s="406">
        <v>0</v>
      </c>
      <c r="AC66" s="406">
        <v>0</v>
      </c>
      <c r="AD66" s="406">
        <v>0</v>
      </c>
      <c r="AE66" s="406">
        <v>0</v>
      </c>
      <c r="AF66" s="406">
        <v>0</v>
      </c>
      <c r="AG66" s="406">
        <v>0</v>
      </c>
      <c r="AH66" s="406">
        <v>0</v>
      </c>
      <c r="AI66" s="406">
        <v>0</v>
      </c>
      <c r="AJ66" s="406">
        <v>0</v>
      </c>
    </row>
    <row r="67" spans="1:36" x14ac:dyDescent="0.2">
      <c r="A67" s="396" t="s">
        <v>318</v>
      </c>
      <c r="B67" s="402">
        <v>0</v>
      </c>
      <c r="C67" s="398">
        <v>0</v>
      </c>
      <c r="D67" s="396" t="s">
        <v>18</v>
      </c>
      <c r="E67" s="405">
        <v>0</v>
      </c>
      <c r="F67" s="405">
        <v>0</v>
      </c>
      <c r="G67" s="405">
        <v>0</v>
      </c>
      <c r="H67" s="405">
        <v>0</v>
      </c>
      <c r="I67" s="405">
        <v>0</v>
      </c>
      <c r="J67" s="405">
        <v>0</v>
      </c>
      <c r="K67" s="405">
        <v>0</v>
      </c>
      <c r="L67" s="405">
        <v>0</v>
      </c>
      <c r="M67" s="405">
        <v>0</v>
      </c>
      <c r="N67" s="405">
        <v>0</v>
      </c>
      <c r="O67" s="405">
        <v>0</v>
      </c>
      <c r="P67" s="405">
        <v>0</v>
      </c>
      <c r="Q67" s="405">
        <v>0</v>
      </c>
      <c r="R67" s="405">
        <v>0</v>
      </c>
      <c r="S67" s="405">
        <v>0</v>
      </c>
      <c r="T67" s="405">
        <v>0</v>
      </c>
      <c r="U67" s="405">
        <v>0</v>
      </c>
      <c r="V67" s="405">
        <v>0</v>
      </c>
      <c r="W67" s="405">
        <v>0</v>
      </c>
      <c r="X67" s="405">
        <v>0</v>
      </c>
      <c r="Y67" s="405">
        <v>0</v>
      </c>
      <c r="Z67" s="405">
        <v>0</v>
      </c>
      <c r="AA67" s="405">
        <v>0</v>
      </c>
      <c r="AB67" s="405">
        <v>0</v>
      </c>
      <c r="AC67" s="405">
        <v>0</v>
      </c>
      <c r="AD67" s="405">
        <v>0</v>
      </c>
      <c r="AE67" s="405">
        <v>0</v>
      </c>
      <c r="AF67" s="405">
        <v>0</v>
      </c>
      <c r="AG67" s="405">
        <v>0</v>
      </c>
      <c r="AH67" s="405">
        <v>0</v>
      </c>
      <c r="AI67" s="405">
        <v>0</v>
      </c>
      <c r="AJ67" s="405">
        <v>0</v>
      </c>
    </row>
    <row r="68" spans="1:36" x14ac:dyDescent="0.2">
      <c r="A68" s="407"/>
      <c r="B68" s="407"/>
      <c r="C68" s="398">
        <v>0</v>
      </c>
      <c r="D68" s="408" t="s">
        <v>319</v>
      </c>
      <c r="E68" s="409">
        <v>0</v>
      </c>
      <c r="F68" s="409">
        <v>0</v>
      </c>
      <c r="G68" s="409">
        <v>0</v>
      </c>
      <c r="H68" s="409">
        <v>0</v>
      </c>
      <c r="I68" s="409">
        <v>60120.68393369564</v>
      </c>
      <c r="J68" s="409">
        <v>60120.68393369564</v>
      </c>
      <c r="K68" s="409">
        <v>60120.68393369564</v>
      </c>
      <c r="L68" s="409">
        <v>60120.68393369564</v>
      </c>
      <c r="M68" s="409">
        <v>60120.68393369564</v>
      </c>
      <c r="N68" s="409">
        <v>60120.68393369564</v>
      </c>
      <c r="O68" s="409">
        <v>60120.68393369564</v>
      </c>
      <c r="P68" s="409">
        <v>60120.68393369564</v>
      </c>
      <c r="Q68" s="409">
        <v>60120.68393369564</v>
      </c>
      <c r="R68" s="409">
        <v>60120.68393369564</v>
      </c>
      <c r="S68" s="409">
        <v>60120.68393369564</v>
      </c>
      <c r="T68" s="409">
        <v>60120.68393369564</v>
      </c>
      <c r="U68" s="409">
        <v>60120.68393369564</v>
      </c>
      <c r="V68" s="409">
        <v>60120.68393369564</v>
      </c>
      <c r="W68" s="409">
        <v>60120.68393369564</v>
      </c>
      <c r="X68" s="409">
        <v>60120.68393369564</v>
      </c>
      <c r="Y68" s="409">
        <v>60120.68393369564</v>
      </c>
      <c r="Z68" s="409">
        <v>60120.68393369564</v>
      </c>
      <c r="AA68" s="409">
        <v>60120.68393369564</v>
      </c>
      <c r="AB68" s="409">
        <v>60120.68393369564</v>
      </c>
      <c r="AC68" s="409">
        <v>60120.68393369564</v>
      </c>
      <c r="AD68" s="409">
        <v>60120.68393369564</v>
      </c>
      <c r="AE68" s="409">
        <v>60120.68393369564</v>
      </c>
      <c r="AF68" s="409">
        <v>60120.68393369564</v>
      </c>
      <c r="AG68" s="409">
        <v>60120.68393369564</v>
      </c>
      <c r="AH68" s="409">
        <v>60120.68393369564</v>
      </c>
      <c r="AI68" s="409">
        <v>60120.68393369564</v>
      </c>
      <c r="AJ68" s="409">
        <v>60120.68393369564</v>
      </c>
    </row>
    <row r="69" spans="1:36" x14ac:dyDescent="0.2">
      <c r="A69" s="325"/>
      <c r="B69" s="325"/>
      <c r="C69" s="325"/>
      <c r="D69" s="410" t="s">
        <v>320</v>
      </c>
      <c r="E69" s="411">
        <v>618722.06512675108</v>
      </c>
      <c r="F69" s="411">
        <v>659007.83139020717</v>
      </c>
      <c r="G69" s="411">
        <v>684600.98890395532</v>
      </c>
      <c r="H69" s="411">
        <v>714292.10285146371</v>
      </c>
      <c r="I69" s="411">
        <v>808944.43912398221</v>
      </c>
      <c r="J69" s="411">
        <v>840939.42786160635</v>
      </c>
      <c r="K69" s="411">
        <v>877484.78081755363</v>
      </c>
      <c r="L69" s="411">
        <v>922727.9973232086</v>
      </c>
      <c r="M69" s="411">
        <v>973133.20234165515</v>
      </c>
      <c r="N69" s="411">
        <v>1008096.6130661033</v>
      </c>
      <c r="O69" s="411">
        <v>1030789.2404714319</v>
      </c>
      <c r="P69" s="411">
        <v>1053707.92881937</v>
      </c>
      <c r="Q69" s="411">
        <v>1076851.8892189781</v>
      </c>
      <c r="R69" s="411">
        <v>1100220.349468563</v>
      </c>
      <c r="S69" s="411">
        <v>1123812.5535562914</v>
      </c>
      <c r="T69" s="411">
        <v>1147627.7611824558</v>
      </c>
      <c r="U69" s="411">
        <v>1171665.2473022121</v>
      </c>
      <c r="V69" s="411">
        <v>1195924.3016876373</v>
      </c>
      <c r="W69" s="411">
        <v>1220404.2285080543</v>
      </c>
      <c r="X69" s="411">
        <v>1245104.3459276538</v>
      </c>
      <c r="Y69" s="411">
        <v>1270023.9857194654</v>
      </c>
      <c r="Z69" s="411">
        <v>1295162.4928948579</v>
      </c>
      <c r="AA69" s="411">
        <v>1320519.2253477203</v>
      </c>
      <c r="AB69" s="411">
        <v>1345240.9297158767</v>
      </c>
      <c r="AC69" s="411">
        <v>1370172.561736726</v>
      </c>
      <c r="AD69" s="411">
        <v>1395313.5406498536</v>
      </c>
      <c r="AE69" s="411">
        <v>1420663.2969161896</v>
      </c>
      <c r="AF69" s="411">
        <v>1446221.2719350338</v>
      </c>
      <c r="AG69" s="411">
        <v>1446221.2719350338</v>
      </c>
      <c r="AH69" s="411">
        <v>1446221.2719350338</v>
      </c>
      <c r="AI69" s="411">
        <v>1446221.2719350338</v>
      </c>
      <c r="AJ69" s="411">
        <v>1446221.2719350338</v>
      </c>
    </row>
  </sheetData>
  <dataValidations count="1">
    <dataValidation type="list" allowBlank="1" showInputMessage="1" showErrorMessage="1" sqref="G5 G27" xr:uid="{605D4BAC-E9DB-41C3-9244-8E061CE464ED}">
      <formula1>"WEIBULL, FIXED"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CitiPower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AR transformer replacement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201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186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187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1"/>
    </row>
    <row r="20" spans="1:34" x14ac:dyDescent="0.2">
      <c r="B20" s="81"/>
      <c r="D20" s="41"/>
    </row>
    <row r="21" spans="1:34" x14ac:dyDescent="0.2">
      <c r="B21" s="80" t="s">
        <v>212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213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214</v>
      </c>
      <c r="D23" s="41">
        <f>D22/D21</f>
        <v>1</v>
      </c>
    </row>
    <row r="25" spans="1:34" x14ac:dyDescent="0.2">
      <c r="B25" s="81" t="s">
        <v>238</v>
      </c>
      <c r="C25" s="8" t="str">
        <f>start</f>
        <v>2026-27</v>
      </c>
    </row>
    <row r="28" spans="1:34" s="1" customFormat="1" ht="15" x14ac:dyDescent="0.2">
      <c r="A28" s="18" t="s">
        <v>210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1" t="s">
        <v>1</v>
      </c>
      <c r="C31" s="192" t="s">
        <v>193</v>
      </c>
      <c r="D31" s="193" t="s">
        <v>200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4" t="s">
        <v>131</v>
      </c>
      <c r="C32" s="190">
        <f>Option2!$G$92</f>
        <v>3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4" t="s">
        <v>132</v>
      </c>
      <c r="C33" s="190" t="str">
        <f>Option3!$G$92</f>
        <v>Not used</v>
      </c>
      <c r="D33" s="10" t="b">
        <f>NOT(Data!C11)</f>
        <v>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4" t="s">
        <v>133</v>
      </c>
      <c r="C34" s="190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4" t="s">
        <v>154</v>
      </c>
      <c r="C35" s="190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4" t="s">
        <v>193</v>
      </c>
      <c r="C38" s="194" cm="1">
        <f t="array" ref="C38">IF(OR(NOT(Data!$C$10:$C$13)), _xlfn.MINIFS($C$32:$C$35,$D$32:$D$35,TRUE), 0)</f>
        <v>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244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164</v>
      </c>
      <c r="B70" s="238" t="s">
        <v>211</v>
      </c>
    </row>
    <row r="74" spans="1:4" x14ac:dyDescent="0.2">
      <c r="B74" s="237" t="str">
        <f>IF(AND(SUM(E73:AC73)&lt;&gt;0, A74=0), "!", "")</f>
        <v/>
      </c>
    </row>
    <row r="76" spans="1:4" x14ac:dyDescent="0.2">
      <c r="B76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5"/>
      <c r="V1"/>
      <c r="W1"/>
    </row>
    <row r="2" spans="1:27" ht="18.75" x14ac:dyDescent="0.3">
      <c r="A2" s="56" t="str">
        <f>proj</f>
        <v>AR transformer replacement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199</v>
      </c>
      <c r="F8" s="8" t="s">
        <v>227</v>
      </c>
      <c r="T8"/>
      <c r="U8"/>
      <c r="V8"/>
    </row>
    <row r="9" spans="1:27" x14ac:dyDescent="0.2">
      <c r="A9" s="27" t="s">
        <v>144</v>
      </c>
      <c r="B9" s="86" t="s">
        <v>143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145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146</v>
      </c>
      <c r="B11" s="86" t="s">
        <v>132</v>
      </c>
      <c r="C11" s="87" t="b">
        <f>SUM(Option3!I$17:AB$17, Option3!I$19:AB$19)=0</f>
        <v>1</v>
      </c>
      <c r="D11" s="8" t="str">
        <f>IF(C11, $C$8, "")</f>
        <v>Not used</v>
      </c>
      <c r="F11" s="8" t="b">
        <f>C11</f>
        <v>1</v>
      </c>
      <c r="T11"/>
      <c r="U11"/>
      <c r="V11"/>
      <c r="W11"/>
      <c r="Z11"/>
      <c r="AA11"/>
    </row>
    <row r="12" spans="1:27" x14ac:dyDescent="0.2">
      <c r="A12" s="27" t="s">
        <v>147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155</v>
      </c>
      <c r="B13" s="86" t="s">
        <v>154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223</v>
      </c>
      <c r="D16" s="23" t="s">
        <v>225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221</v>
      </c>
      <c r="B24" s="101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140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188</v>
      </c>
      <c r="C35" s="23">
        <v>1</v>
      </c>
      <c r="T35"/>
      <c r="U35"/>
      <c r="V35"/>
      <c r="W35"/>
    </row>
    <row r="36" spans="1:23" x14ac:dyDescent="0.2">
      <c r="B36" s="23" t="s">
        <v>172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42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435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435">
        <v>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435">
        <v>4220.9953699573898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435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435">
        <v>0.54769380678923496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435">
        <v>0.54769380678923496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435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435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160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161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162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164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164</v>
      </c>
      <c r="C75" s="152" t="s">
        <v>163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191</v>
      </c>
      <c r="C78" s="8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4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4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4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4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4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4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4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4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178</v>
      </c>
      <c r="F92" s="154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179</v>
      </c>
      <c r="F93" s="154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4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4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4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160</v>
      </c>
      <c r="R106" s="8" t="s">
        <v>27</v>
      </c>
      <c r="T106" s="8" t="s">
        <v>224</v>
      </c>
      <c r="U106"/>
      <c r="V106" s="8" t="s">
        <v>235</v>
      </c>
      <c r="W106"/>
      <c r="Y106"/>
    </row>
    <row r="107" spans="1:25" x14ac:dyDescent="0.2">
      <c r="B107" s="25" t="s">
        <v>42</v>
      </c>
      <c r="C107" s="129" t="s">
        <v>137</v>
      </c>
      <c r="D107" s="129" t="s">
        <v>230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226</v>
      </c>
      <c r="U107"/>
      <c r="V107" s="23" t="s">
        <v>19</v>
      </c>
      <c r="W107"/>
    </row>
    <row r="108" spans="1:25" x14ac:dyDescent="0.2">
      <c r="B108" s="25" t="s">
        <v>3</v>
      </c>
      <c r="C108" s="129" t="s">
        <v>138</v>
      </c>
      <c r="D108" s="129" t="s">
        <v>231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225</v>
      </c>
      <c r="U108"/>
      <c r="V108" s="23" t="s">
        <v>47</v>
      </c>
      <c r="W108"/>
    </row>
    <row r="109" spans="1:25" x14ac:dyDescent="0.2">
      <c r="B109" s="25" t="s">
        <v>43</v>
      </c>
      <c r="C109" s="129" t="s">
        <v>139</v>
      </c>
      <c r="D109" s="129" t="s">
        <v>232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236</v>
      </c>
      <c r="W109"/>
      <c r="X109"/>
      <c r="Y109"/>
    </row>
    <row r="110" spans="1:25" x14ac:dyDescent="0.2">
      <c r="C110" s="126"/>
      <c r="D110" s="126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6"/>
      <c r="D111" s="126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49"/>
      <c r="W113"/>
      <c r="X113"/>
      <c r="Y113"/>
    </row>
    <row r="114" spans="18:25" x14ac:dyDescent="0.2">
      <c r="R114" s="23"/>
      <c r="U114"/>
      <c r="V114" s="249"/>
      <c r="W114"/>
      <c r="X114"/>
      <c r="Y114"/>
    </row>
    <row r="115" spans="18:25" x14ac:dyDescent="0.2">
      <c r="U115"/>
      <c r="V115" s="249"/>
      <c r="W115"/>
      <c r="X115"/>
      <c r="Y115"/>
    </row>
    <row r="116" spans="18:25" x14ac:dyDescent="0.2">
      <c r="U116"/>
      <c r="V116" s="250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7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36</vt:i4>
      </vt:variant>
    </vt:vector>
  </HeadingPairs>
  <TitlesOfParts>
    <vt:vector size="51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Tx risks</vt:lpstr>
      <vt:lpstr>Misc_calcs</vt:lpstr>
      <vt:lpstr>Data</vt:lpstr>
      <vt:lpstr>AssetType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IS_ADDITIONAL</vt:lpstr>
      <vt:lpstr>ISBUNDED</vt:lpstr>
      <vt:lpstr>ISMOREMAINT</vt:lpstr>
      <vt:lpstr>ISONLINEMONITOR</vt:lpstr>
      <vt:lpstr>ISREFURB</vt:lpstr>
      <vt:lpstr>ISREPLACE</vt:lpstr>
      <vt:lpstr>ISREPLACETWO</vt:lpstr>
      <vt:lpstr>ISSEPARATED</vt:lpstr>
      <vt:lpstr>ISSPAREREADY</vt:lpstr>
      <vt:lpstr>ISSTAGGEREDMAINT</vt:lpstr>
      <vt:lpstr>mill_conv</vt:lpstr>
      <vt:lpstr>NN_LOAD_TRANSFER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  <vt:lpstr>ZSS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2025-01-27T11:58:33Z</dcterms:modified>
</cp:coreProperties>
</file>