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4C8EF3B7-6746-4736-A80D-A230FE57BE10}" xr6:coauthVersionLast="47" xr6:coauthVersionMax="47" xr10:uidLastSave="{00000000-0000-0000-0000-000000000000}"/>
  <bookViews>
    <workbookView xWindow="14295" yWindow="0" windowWidth="1461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2" l="1"/>
  <c r="AG34" i="72"/>
  <c r="AF34" i="72"/>
  <c r="AE34" i="72"/>
  <c r="AD34" i="72"/>
  <c r="AC34" i="72"/>
  <c r="AB34" i="72"/>
  <c r="AA34" i="72"/>
  <c r="Z34" i="72"/>
  <c r="Y34" i="72"/>
  <c r="X34" i="72"/>
  <c r="W34" i="72"/>
  <c r="V34" i="72"/>
  <c r="U34" i="72"/>
  <c r="T34" i="72"/>
  <c r="S34" i="72"/>
  <c r="R34" i="72"/>
  <c r="Q34" i="72"/>
  <c r="P34" i="72"/>
  <c r="O34" i="72"/>
  <c r="N34" i="72"/>
  <c r="M34" i="72"/>
  <c r="L34" i="72"/>
  <c r="K34" i="72"/>
  <c r="J34" i="72"/>
  <c r="I34" i="72"/>
  <c r="AG34" i="68"/>
  <c r="AF34" i="68"/>
  <c r="AE34" i="68"/>
  <c r="AD34" i="68"/>
  <c r="AC34" i="68"/>
  <c r="AB34" i="68"/>
  <c r="AA34" i="68"/>
  <c r="Z34" i="68"/>
  <c r="Y34" i="68"/>
  <c r="X34" i="68"/>
  <c r="W34" i="68"/>
  <c r="V34" i="68"/>
  <c r="U34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C34" i="68"/>
  <c r="C34" i="81"/>
  <c r="AG34" i="81"/>
  <c r="AF34" i="81"/>
  <c r="AE34" i="81"/>
  <c r="AD34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F43" i="88"/>
  <c r="I28" i="68"/>
  <c r="AC43" i="88"/>
  <c r="AB43" i="88"/>
  <c r="AA43" i="88"/>
  <c r="Z43" i="88"/>
  <c r="Y43" i="88"/>
  <c r="X43" i="88"/>
  <c r="W43" i="88"/>
  <c r="V43" i="88"/>
  <c r="U43" i="88"/>
  <c r="T43" i="88"/>
  <c r="S43" i="88"/>
  <c r="R43" i="88"/>
  <c r="Q43" i="88"/>
  <c r="P43" i="88"/>
  <c r="O43" i="88"/>
  <c r="N43" i="88"/>
  <c r="M43" i="88"/>
  <c r="L43" i="88"/>
  <c r="K43" i="88"/>
  <c r="J43" i="88"/>
  <c r="I43" i="88"/>
  <c r="H43" i="88"/>
  <c r="G43" i="88"/>
  <c r="E43" i="88"/>
  <c r="AC30" i="88"/>
  <c r="AB30" i="88"/>
  <c r="AA30" i="88"/>
  <c r="Z30" i="88"/>
  <c r="Y30" i="88"/>
  <c r="X30" i="88"/>
  <c r="W30" i="88"/>
  <c r="V30" i="88"/>
  <c r="U30" i="88"/>
  <c r="T30" i="88"/>
  <c r="S30" i="88"/>
  <c r="R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F17" i="88"/>
  <c r="G17" i="88"/>
  <c r="H17" i="88"/>
  <c r="I17" i="88"/>
  <c r="J17" i="88"/>
  <c r="K17" i="88"/>
  <c r="L17" i="88"/>
  <c r="M17" i="88"/>
  <c r="N17" i="88"/>
  <c r="O17" i="88"/>
  <c r="P17" i="88"/>
  <c r="Q17" i="88"/>
  <c r="R17" i="88"/>
  <c r="S17" i="88"/>
  <c r="T17" i="88"/>
  <c r="U17" i="88"/>
  <c r="V17" i="88"/>
  <c r="W17" i="88"/>
  <c r="X17" i="88"/>
  <c r="Y17" i="88"/>
  <c r="Z17" i="88"/>
  <c r="AA17" i="88"/>
  <c r="AB17" i="88"/>
  <c r="AC17" i="88"/>
  <c r="E17" i="88"/>
  <c r="B33" i="88"/>
  <c r="B20" i="88"/>
  <c r="A2" i="89" l="1"/>
  <c r="A1" i="89"/>
  <c r="B30" i="87"/>
  <c r="B16" i="87"/>
  <c r="O28" i="72"/>
  <c r="R28" i="72"/>
  <c r="S28" i="72"/>
  <c r="T28" i="72"/>
  <c r="U28" i="72"/>
  <c r="V28" i="72"/>
  <c r="W28" i="72"/>
  <c r="AC28" i="72"/>
  <c r="L30" i="72"/>
  <c r="O30" i="72"/>
  <c r="P30" i="72"/>
  <c r="Q30" i="72"/>
  <c r="R30" i="72"/>
  <c r="S30" i="72"/>
  <c r="Y30" i="72"/>
  <c r="AD30" i="72"/>
  <c r="AE30" i="72"/>
  <c r="AF30" i="72"/>
  <c r="L31" i="72"/>
  <c r="M31" i="72"/>
  <c r="N31" i="72"/>
  <c r="O31" i="72"/>
  <c r="U31" i="72"/>
  <c r="W31" i="72"/>
  <c r="AC31" i="72"/>
  <c r="AD31" i="72"/>
  <c r="AE31" i="72"/>
  <c r="AF31" i="72"/>
  <c r="AG31" i="72"/>
  <c r="J32" i="72"/>
  <c r="K32" i="72"/>
  <c r="S32" i="72"/>
  <c r="T32" i="72"/>
  <c r="Z32" i="72"/>
  <c r="AC32" i="72"/>
  <c r="AD32" i="72"/>
  <c r="AE32" i="72"/>
  <c r="M33" i="72"/>
  <c r="O33" i="72"/>
  <c r="P33" i="72"/>
  <c r="Q33" i="72"/>
  <c r="W33" i="72"/>
  <c r="Z33" i="72"/>
  <c r="AA33" i="72"/>
  <c r="AC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AF33" i="72"/>
  <c r="AE33" i="72"/>
  <c r="AD33" i="72"/>
  <c r="AB33" i="72"/>
  <c r="Y33" i="72"/>
  <c r="X33" i="72"/>
  <c r="V33" i="72"/>
  <c r="U33" i="72"/>
  <c r="T33" i="72"/>
  <c r="S33" i="72"/>
  <c r="R33" i="72"/>
  <c r="N33" i="72"/>
  <c r="L33" i="72"/>
  <c r="K33" i="72"/>
  <c r="AG32" i="72"/>
  <c r="AF32" i="72"/>
  <c r="AB32" i="72"/>
  <c r="AA32" i="72"/>
  <c r="Y32" i="72"/>
  <c r="X32" i="72"/>
  <c r="W32" i="72"/>
  <c r="V32" i="72"/>
  <c r="U32" i="72"/>
  <c r="R32" i="72"/>
  <c r="Q32" i="72"/>
  <c r="P32" i="72"/>
  <c r="O32" i="72"/>
  <c r="N32" i="72"/>
  <c r="M32" i="72"/>
  <c r="L32" i="72"/>
  <c r="AB31" i="72"/>
  <c r="AA31" i="72"/>
  <c r="Z31" i="72"/>
  <c r="Y31" i="72"/>
  <c r="X31" i="72"/>
  <c r="V31" i="72"/>
  <c r="T31" i="72"/>
  <c r="S31" i="72"/>
  <c r="R31" i="72"/>
  <c r="Q31" i="72"/>
  <c r="P31" i="72"/>
  <c r="K31" i="72"/>
  <c r="AG30" i="72"/>
  <c r="AC30" i="72"/>
  <c r="AB30" i="72"/>
  <c r="AA30" i="72"/>
  <c r="Z30" i="72"/>
  <c r="X30" i="72"/>
  <c r="W30" i="72"/>
  <c r="V30" i="72"/>
  <c r="U30" i="72"/>
  <c r="T30" i="72"/>
  <c r="M30" i="72"/>
  <c r="K30" i="72"/>
  <c r="AF28" i="72"/>
  <c r="Q28" i="72"/>
  <c r="N28" i="72"/>
  <c r="L28" i="72"/>
  <c r="AG33" i="81"/>
  <c r="T33" i="81"/>
  <c r="S33" i="81"/>
  <c r="Q33" i="81"/>
  <c r="P33" i="81"/>
  <c r="O33" i="81"/>
  <c r="N33" i="81"/>
  <c r="M33" i="81"/>
  <c r="K33" i="81"/>
  <c r="J33" i="81"/>
  <c r="AB32" i="81"/>
  <c r="Y32" i="81"/>
  <c r="X32" i="81"/>
  <c r="V32" i="81"/>
  <c r="U32" i="81"/>
  <c r="T32" i="81"/>
  <c r="S32" i="81"/>
  <c r="R32" i="81"/>
  <c r="P32" i="81"/>
  <c r="AF31" i="81"/>
  <c r="AD31" i="81"/>
  <c r="AC31" i="81"/>
  <c r="AA31" i="81"/>
  <c r="Z31" i="81"/>
  <c r="Y31" i="81"/>
  <c r="X31" i="81"/>
  <c r="W31" i="81"/>
  <c r="S31" i="81"/>
  <c r="R31" i="81"/>
  <c r="Q31" i="81"/>
  <c r="P31" i="81"/>
  <c r="L31" i="81"/>
  <c r="AF30" i="81"/>
  <c r="AE30" i="81"/>
  <c r="AD30" i="81"/>
  <c r="AC30" i="81"/>
  <c r="U30" i="81"/>
  <c r="T30" i="81"/>
  <c r="P30" i="81"/>
  <c r="O30" i="81"/>
  <c r="N30" i="81"/>
  <c r="L30" i="81"/>
  <c r="K30" i="81"/>
  <c r="J30" i="81"/>
  <c r="I30" i="81"/>
  <c r="AG33" i="68"/>
  <c r="AF33" i="68"/>
  <c r="Y33" i="68"/>
  <c r="X33" i="68"/>
  <c r="V33" i="68"/>
  <c r="U33" i="68"/>
  <c r="T33" i="68"/>
  <c r="S33" i="68"/>
  <c r="R33" i="68"/>
  <c r="P33" i="68"/>
  <c r="O33" i="68"/>
  <c r="N33" i="68"/>
  <c r="M33" i="68"/>
  <c r="L33" i="68"/>
  <c r="J33" i="72"/>
  <c r="AC32" i="68"/>
  <c r="AA32" i="68"/>
  <c r="Z32" i="68"/>
  <c r="Y32" i="68"/>
  <c r="X32" i="68"/>
  <c r="W32" i="68"/>
  <c r="V32" i="68"/>
  <c r="S32" i="68"/>
  <c r="R32" i="68"/>
  <c r="Q32" i="68"/>
  <c r="P32" i="68"/>
  <c r="O32" i="68"/>
  <c r="I32" i="72"/>
  <c r="AE31" i="68"/>
  <c r="AD31" i="68"/>
  <c r="AC31" i="68"/>
  <c r="AB31" i="68"/>
  <c r="Z31" i="68"/>
  <c r="W31" i="68"/>
  <c r="V31" i="68"/>
  <c r="U31" i="68"/>
  <c r="T31" i="68"/>
  <c r="O31" i="68"/>
  <c r="N31" i="68"/>
  <c r="L31" i="68"/>
  <c r="K31" i="68"/>
  <c r="J31" i="72"/>
  <c r="AG30" i="68"/>
  <c r="AD30" i="68"/>
  <c r="AA30" i="68"/>
  <c r="Z30" i="68"/>
  <c r="Y30" i="68"/>
  <c r="X30" i="68"/>
  <c r="T30" i="68"/>
  <c r="S30" i="68"/>
  <c r="M30" i="68"/>
  <c r="AF28" i="68"/>
  <c r="Z28" i="68"/>
  <c r="R28" i="68"/>
  <c r="L28" i="68"/>
  <c r="K28" i="68"/>
  <c r="A2" i="88"/>
  <c r="A1" i="88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E35" i="87"/>
  <c r="F35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C30" i="72" l="1"/>
  <c r="C30" i="81"/>
  <c r="C33" i="72"/>
  <c r="C33" i="81"/>
  <c r="C32" i="72"/>
  <c r="C32" i="81"/>
  <c r="C31" i="72"/>
  <c r="C31" i="81"/>
  <c r="AD28" i="72"/>
  <c r="I31" i="72"/>
  <c r="I31" i="68"/>
  <c r="N28" i="81"/>
  <c r="V28" i="68"/>
  <c r="Q28" i="81"/>
  <c r="T28" i="81"/>
  <c r="S28" i="68"/>
  <c r="P28" i="72"/>
  <c r="M28" i="72"/>
  <c r="X28" i="72"/>
  <c r="Y28" i="72"/>
  <c r="S28" i="81"/>
  <c r="T28" i="68"/>
  <c r="O28" i="81"/>
  <c r="U28" i="68"/>
  <c r="P28" i="81"/>
  <c r="AG28" i="81"/>
  <c r="X28" i="68"/>
  <c r="AB30" i="81"/>
  <c r="Q30" i="68"/>
  <c r="P30" i="68"/>
  <c r="N30" i="72"/>
  <c r="O30" i="68"/>
  <c r="K28" i="72"/>
  <c r="N30" i="68"/>
  <c r="I28" i="81"/>
  <c r="Z28" i="72"/>
  <c r="J30" i="72"/>
  <c r="J30" i="68"/>
  <c r="AA28" i="72"/>
  <c r="J28" i="68"/>
  <c r="AG28" i="72"/>
  <c r="AB28" i="72"/>
  <c r="AG28" i="68"/>
  <c r="I30" i="68"/>
  <c r="M28" i="81"/>
  <c r="J31" i="68"/>
  <c r="L28" i="81"/>
  <c r="AE28" i="72"/>
  <c r="I28" i="72" l="1"/>
  <c r="J28" i="72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<sst xmlns="http://schemas.openxmlformats.org/spreadsheetml/2006/main" count="1129" uniqueCount="337">
  <si>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</si>
  <si>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</si>
  <si>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</si>
  <si>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</si>
  <si>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</si>
  <si>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</si>
  <si>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</si>
  <si>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</si>
  <si>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</si>
  <si>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</si>
  <si>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</si>
  <si>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</si>
  <si>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</si>
  <si>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</si>
  <si>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</si>
  <si>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</si>
  <si>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</si>
  <si>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</si>
  <si>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</si>
  <si>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</si>
  <si>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</si>
  <si>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</si>
  <si>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</si>
  <si>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</si>
  <si>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</si>
  <si>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</si>
  <si>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</si>
  <si>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</si>
  <si>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</si>
  <si>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</si>
  <si>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</si>
  <si>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</si>
  <si>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</si>
  <si>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</si>
  <si>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</si>
  <si>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</si>
  <si>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</si>
  <si>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</si>
  <si>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</si>
  <si>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</si>
  <si>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</si>
  <si>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</si>
  <si>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</si>
  <si>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</si>
  <si>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</si>
  <si>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</si>
  <si>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</si>
  <si>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</si>
  <si>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</si>
  <si>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</si>
  <si>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</si>
  <si>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</si>
  <si>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</si>
  <si>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</si>
  <si>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</si>
  <si>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</si>
  <si>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</si>
  <si>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</si>
  <si>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</si>
  <si>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</si>
  <si>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</si>
  <si>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</si>
  <si>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</si>
  <si>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</si>
  <si>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</si>
  <si>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</si>
  <si>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</si>
  <si>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</si>
  <si>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</si>
  <si>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</si>
  <si>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</si>
  <si>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</si>
  <si>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</si>
  <si>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</si>
  <si>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</si>
  <si>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</si>
  <si>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</si>
  <si>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</si>
  <si>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</si>
  <si>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</si>
  <si>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</si>
  <si>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</si>
  <si>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</si>
  <si>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</si>
  <si>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</si>
  <si>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</si>
  <si>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</si>
  <si>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</si>
  <si>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</si>
  <si>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</si>
  <si>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</si>
  <si>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</si>
  <si>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</si>
  <si>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</si>
  <si>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</si>
  <si>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</si>
  <si>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</si>
  <si>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</si>
  <si>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</si>
  <si>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</si>
  <si>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</si>
  <si>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</si>
  <si>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</si>
  <si>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</si>
  <si>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</si>
  <si>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</si>
  <si>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</si>
  <si>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</si>
  <si>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</si>
  <si>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</si>
  <si>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</si>
  <si>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</si>
  <si>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</si>
  <si>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</si>
  <si>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</si>
  <si>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</si>
  <si>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</si>
  <si>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</si>
  <si>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</si>
  <si>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</si>
  <si>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</si>
  <si>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</si>
  <si>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</si>
  <si>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</si>
  <si>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</si>
  <si>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</si>
  <si>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</si>
  <si>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</si>
  <si>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</si>
  <si>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</si>
  <si>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</si>
  <si>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</si>
  <si>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</si>
  <si>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</si>
  <si>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</si>
  <si>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</si>
  <si>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</si>
  <si>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</si>
  <si>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</si>
  <si>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</si>
  <si>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</si>
  <si>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</si>
  <si>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</si>
  <si>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</si>
  <si>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</si>
  <si>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</si>
  <si>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</si>
  <si>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</si>
  <si>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</si>
  <si>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</si>
  <si>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</si>
  <si>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</si>
  <si>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</si>
  <si>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</si>
  <si>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</si>
  <si>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</si>
  <si>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</si>
  <si>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</si>
  <si>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</si>
  <si>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</si>
  <si>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</si>
  <si>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</si>
  <si>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</si>
  <si>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</si>
  <si>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</si>
  <si>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</si>
  <si>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</si>
  <si>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</si>
  <si>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</si>
  <si>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</si>
  <si>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</si>
  <si>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</si>
  <si>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</si>
  <si>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</si>
  <si>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</si>
  <si>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</si>
  <si>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</si>
  <si>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</si>
  <si>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</si>
  <si>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</si>
  <si>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</si>
  <si>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</si>
  <si>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</si>
  <si>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</si>
  <si>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</si>
  <si>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</si>
  <si>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</si>
  <si>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</si>
  <si>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</si>
  <si>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</si>
  <si>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</si>
  <si>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</si>
  <si>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</si>
  <si>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</si>
  <si>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</si>
  <si>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</si>
  <si>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</si>
  <si>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</si>
  <si>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</si>
  <si>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</si>
  <si>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</si>
  <si>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</si>
  <si>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</si>
  <si>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</si>
  <si>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</si>
  <si>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</si>
  <si>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</si>
  <si>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</si>
  <si>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</si>
  <si>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</si>
  <si>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</si>
  <si>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</si>
  <si>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</si>
  <si>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</si>
  <si>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</si>
  <si>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</si>
  <si>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</si>
  <si>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</si>
  <si>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</si>
  <si>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</si>
  <si>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</si>
  <si>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</si>
  <si>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</si>
  <si>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</si>
  <si>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</si>
  <si>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</si>
  <si>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</si>
  <si>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</si>
  <si>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</si>
  <si>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</si>
  <si>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</si>
  <si>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</si>
  <si>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</si>
  <si>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</si>
  <si>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</si>
  <si>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</si>
  <si>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</si>
  <si>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</si>
  <si>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</si>
  <si>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</si>
  <si>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</si>
  <si>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</si>
  <si>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</si>
  <si>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</si>
  <si>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</si>
  <si>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</si>
  <si>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</si>
  <si>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</si>
  <si>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</si>
  <si>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</si>
  <si>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</si>
  <si>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</si>
  <si>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</si>
  <si>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</si>
  <si>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</si>
  <si>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</si>
  <si>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</si>
  <si>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</si>
  <si>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</si>
  <si>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</si>
  <si>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</si>
  <si>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</si>
  <si>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</si>
  <si>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</si>
  <si>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</si>
  <si>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</si>
  <si>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</si>
  <si>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</si>
  <si>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</si>
  <si>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</si>
  <si>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</si>
  <si>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</si>
  <si>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</si>
  <si>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</si>
  <si>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</si>
  <si>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</si>
  <si>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</si>
  <si>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</si>
  <si>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</si>
  <si>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</si>
  <si>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</si>
  <si>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</si>
  <si>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</si>
  <si>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</si>
  <si>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</si>
  <si>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</si>
  <si>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</si>
  <si>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</si>
  <si>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</si>
  <si>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</si>
  <si>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</si>
  <si>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</si>
  <si>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</si>
  <si>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</si>
  <si>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</si>
  <si>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</si>
  <si>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</si>
  <si>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</si>
  <si>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</si>
  <si>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</si>
  <si>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</si>
  <si>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</si>
  <si>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</si>
  <si>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</si>
  <si>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</si>
  <si>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</si>
  <si>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</si>
  <si>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</si>
  <si>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</si>
  <si>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</si>
  <si>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</si>
  <si>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</si>
  <si>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</si>
  <si>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</si>
  <si>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</si>
  <si>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</si>
  <si>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</si>
  <si>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</si>
  <si>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</si>
  <si>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</si>
  <si>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Safety risk</t>
  </si>
  <si>
    <t>Unplanned replacement risk</t>
  </si>
  <si>
    <t>Unplanned fault risk</t>
  </si>
  <si>
    <t>Enviromental risk</t>
  </si>
  <si>
    <t>Replace 1 transformer</t>
  </si>
  <si>
    <t>Refurbish 1 transformer</t>
  </si>
  <si>
    <t>NC</t>
  </si>
  <si>
    <t>Northcote</t>
  </si>
  <si>
    <t>VM transformer</t>
  </si>
  <si>
    <t>VM transformer replacement</t>
  </si>
  <si>
    <t>Replace #1 transformer completed in 2030-31</t>
  </si>
  <si>
    <t>Refurbish #1 transformer completed in 2029-30</t>
  </si>
  <si>
    <t>VM</t>
  </si>
  <si>
    <t>Scenario #1: VM - Transformer</t>
  </si>
  <si>
    <t>Scenario #2: VM - Transformer</t>
  </si>
  <si>
    <t>Scenario #3: VM - Transformer</t>
  </si>
  <si>
    <t>Noise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</si>
</sst>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177" fontId="34" fillId="2" borderId="0" xfId="18" applyNumberFormat="1" applyFont="1" applyFill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0.26452406894289981</c:v>
                </c:pt>
                <c:pt idx="1">
                  <c:v>0.26452406894289981</c:v>
                </c:pt>
                <c:pt idx="2">
                  <c:v>0.26452406894289981</c:v>
                </c:pt>
                <c:pt idx="3">
                  <c:v>0.26452406894289981</c:v>
                </c:pt>
                <c:pt idx="4">
                  <c:v>0.26452406894289981</c:v>
                </c:pt>
                <c:pt idx="5">
                  <c:v>0.26452406894289981</c:v>
                </c:pt>
                <c:pt idx="6">
                  <c:v>0.26452406894289981</c:v>
                </c:pt>
                <c:pt idx="7">
                  <c:v>0.26452406894289981</c:v>
                </c:pt>
                <c:pt idx="8">
                  <c:v>0.26452406894289981</c:v>
                </c:pt>
                <c:pt idx="9">
                  <c:v>0.26452406894289981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0.44314443301220297</c:v>
                </c:pt>
                <c:pt idx="1">
                  <c:v>0.50277346590313843</c:v>
                </c:pt>
                <c:pt idx="2">
                  <c:v>0.57992774846070383</c:v>
                </c:pt>
                <c:pt idx="3">
                  <c:v>0.6681840586057205</c:v>
                </c:pt>
                <c:pt idx="4">
                  <c:v>0.73951448627148508</c:v>
                </c:pt>
                <c:pt idx="5">
                  <c:v>0.82081838116499073</c:v>
                </c:pt>
                <c:pt idx="6">
                  <c:v>0.9614815921148625</c:v>
                </c:pt>
                <c:pt idx="7">
                  <c:v>1.1538869251045945</c:v>
                </c:pt>
                <c:pt idx="8">
                  <c:v>1.2993640654591996</c:v>
                </c:pt>
                <c:pt idx="9">
                  <c:v>1.3333070179021429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2528681392235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0.3140432113671317</c:v>
                </c:pt>
                <c:pt idx="1">
                  <c:v>0.36672575098075161</c:v>
                </c:pt>
                <c:pt idx="2">
                  <c:v>0.43514450831974799</c:v>
                </c:pt>
                <c:pt idx="3">
                  <c:v>0.51352799836728713</c:v>
                </c:pt>
                <c:pt idx="4">
                  <c:v>0.5766919911172782</c:v>
                </c:pt>
                <c:pt idx="5">
                  <c:v>0.64880676663502801</c:v>
                </c:pt>
                <c:pt idx="6">
                  <c:v>0.77424769285915374</c:v>
                </c:pt>
                <c:pt idx="7">
                  <c:v>0.94617044471382217</c:v>
                </c:pt>
                <c:pt idx="8">
                  <c:v>1.0759155410448824</c:v>
                </c:pt>
                <c:pt idx="9">
                  <c:v>1.1054317594349778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447261</xdr:colOff>
      <xdr:row>1</xdr:row>
      <xdr:rowOff>16563</xdr:rowOff>
    </xdr:from>
    <xdr:to>
      <xdr:col>10</xdr:col>
      <xdr:colOff>265634</xdr:colOff>
      <xdr:row>2</xdr:row>
      <xdr:rowOff>151775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12BCC6-C173-42FF-A9BC-31DE36F0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391" y="207063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29" sqref="A29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9"/>
    </row>
    <row r="2" spans="1:19" ht="23.25" x14ac:dyDescent="0.35">
      <c r="A2" s="309"/>
      <c r="C2" s="310" t="s">
        <v>42</v>
      </c>
      <c r="D2" s="311"/>
      <c r="E2" s="311"/>
    </row>
    <row r="3" spans="1:19" ht="15.75" x14ac:dyDescent="0.25">
      <c r="A3" s="309"/>
      <c r="C3" s="312" t="s">
        <v>242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328</v>
      </c>
    </row>
    <row r="6" spans="1:19" x14ac:dyDescent="0.25">
      <c r="A6" s="309"/>
      <c r="C6" s="314" t="s">
        <v>243</v>
      </c>
      <c r="D6" s="328">
        <v>4.03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15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24" sqref="A24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VM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189</v>
      </c>
      <c r="H7" s="151" t="s">
        <v>190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6" t="str">
        <f>INDEX(Assumptions!$E$14:$E$18, MATCH(C9, Assumptions!$C$14:$C$18,0))</f>
        <v>No change to existing practices</v>
      </c>
      <c r="E9" s="427"/>
      <c r="F9" s="427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8" t="str">
        <f>INDEX(Assumptions!$E$14:$E$18, MATCH(C10, Assumptions!$C$14:$C$18,0))</f>
        <v>Replace #1 transformer completed in 2030-31</v>
      </c>
      <c r="E10" s="429"/>
      <c r="F10" s="429"/>
      <c r="G10" s="102">
        <f>IF(Data!$C10, "", INDEX(Consol!$F$15:$F$82, MATCH($C10&amp;G$7, Consol!$D$15:$D$82,0))/mill_conv)</f>
        <v>-3.0641297544055766</v>
      </c>
      <c r="H10" s="102">
        <f>IF(Data!$C10, "", INDEX(Consol!$F$15:$F$82, MATCH($C10&amp;H$7, Consol!$D$15:$D$82,0))/mill_conv)</f>
        <v>10.942065573817228</v>
      </c>
      <c r="I10" s="102">
        <f>IF(Data!$C10, "", INDEX(Consol!$F$15:$F$82, MATCH($C10&amp;I$7, Consol!$D$15:$D$82,0))/mill_conv)</f>
        <v>7.8779358194116487</v>
      </c>
    </row>
    <row r="11" spans="1:13" s="7" customFormat="1" ht="12.75" x14ac:dyDescent="0.2">
      <c r="C11" s="91" t="str">
        <v>Option 3</v>
      </c>
      <c r="D11" s="428" t="str">
        <f>INDEX(Assumptions!$E$14:$E$18, MATCH(C11, Assumptions!$C$14:$C$18,0))</f>
        <v>Refurbish #1 transformer completed in 2029-30</v>
      </c>
      <c r="E11" s="429"/>
      <c r="F11" s="429"/>
      <c r="G11" s="102">
        <f>IF(Data!$C11, "", INDEX(Consol!$F$15:$F$82, MATCH($C11&amp;G$7, Consol!$D$15:$D$82,0))/mill_conv)</f>
        <v>-0.49333264820919548</v>
      </c>
      <c r="H11" s="102">
        <f>IF(Data!$C11, "", INDEX(Consol!$F$15:$F$82, MATCH($C11&amp;H$7, Consol!$D$15:$D$82,0))/mill_conv)</f>
        <v>0.67456782916482994</v>
      </c>
      <c r="I11" s="102">
        <f>IF(Data!$C11, "", INDEX(Consol!$F$15:$F$82, MATCH($C11&amp;I$7, Consol!$D$15:$D$82,0))/mill_conv)</f>
        <v>0.18123518095563435</v>
      </c>
    </row>
    <row r="12" spans="1:13" s="7" customFormat="1" ht="12.75" x14ac:dyDescent="0.2">
      <c r="C12" s="91" t="str">
        <v>Option 4</v>
      </c>
      <c r="D12" s="428">
        <f>INDEX(Assumptions!$E$14:$E$18, MATCH(C12, Assumptions!$C$14:$C$18,0))</f>
        <v>0</v>
      </c>
      <c r="E12" s="429"/>
      <c r="F12" s="429"/>
      <c r="G12" s="102" t="str">
        <f>IF(Data!$C12, "", INDEX(Consol!$F$15:$F$82, MATCH($C12&amp;G$7, Consol!$D$15:$D$82,0))/mill_conv)</f>
        <v/>
      </c>
      <c r="H12" s="102" t="str">
        <f>IF(Data!$C12, "", INDEX(Consol!$F$15:$F$82, MATCH($C12&amp;H$7, Consol!$D$15:$D$82,0))/mill_conv)</f>
        <v/>
      </c>
      <c r="I12" s="102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8">
        <f>INDEX(Assumptions!$E$14:$E$18, MATCH(C13, Assumptions!$C$14:$C$18,0))</f>
        <v>0</v>
      </c>
      <c r="E13" s="429"/>
      <c r="F13" s="429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5" t="str">
        <f>INDEX($D$9:$D$13,MATCH(G18, $I$9:$I$13,0))</f>
        <v>Replace #1 transformer completed in 2030-31</v>
      </c>
      <c r="E18" s="425"/>
      <c r="F18" s="425"/>
      <c r="G18" s="103">
        <f>_xlfn.MAXIFS(I9:I13, IF(compliance, Data!$F$9:$F$13, Data!$C$9:$C$13),FALSE)</f>
        <v>7.8779358194116487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4">
        <f>-INDEX(Consol!$I$15:$Q$82,MATCH($C$26&amp;$C30,Consol!$D$15:$D$82,0), MATCH(F$29, Consol!$I$9:$Q$9,0))/mill_conv</f>
        <v>0</v>
      </c>
      <c r="G30" s="104">
        <f>-INDEX(Consol!$I$15:$Q$82,MATCH($C$26&amp;$C30,Consol!$D$15:$D$82,0), MATCH(G$29, Consol!$I$9:$Q$9,0))/mill_conv</f>
        <v>0</v>
      </c>
      <c r="H30" s="104">
        <f>-INDEX(Consol!$I$15:$Q$82,MATCH($C$26&amp;$C30,Consol!$D$15:$D$82,0), MATCH(H$29, Consol!$I$9:$Q$9,0))/mill_conv</f>
        <v>0</v>
      </c>
      <c r="I30" s="104">
        <f>-INDEX(Consol!$I$15:$Q$82,MATCH($C$26&amp;$C30,Consol!$D$15:$D$82,0), MATCH(I$29, Consol!$I$9:$Q$9,0))/mill_conv</f>
        <v>2.0681918262355117</v>
      </c>
      <c r="J30" s="104">
        <f>-INDEX(Consol!$I$15:$Q$82,MATCH($C$26&amp;$C30,Consol!$D$15:$D$82,0), MATCH(J$29, Consol!$I$9:$Q$9,0))/mill_conv</f>
        <v>4.1363836524710234</v>
      </c>
      <c r="K30" s="185"/>
      <c r="L30" s="185">
        <f>SUM(F30:J30)</f>
        <v>6.204575478706535</v>
      </c>
    </row>
    <row r="31" spans="1:13" s="8" customFormat="1" ht="12.75" x14ac:dyDescent="0.2">
      <c r="C31" s="4" t="s">
        <v>31</v>
      </c>
      <c r="D31" s="28"/>
      <c r="E31" s="28"/>
      <c r="F31" s="104">
        <f>-INDEX(Consol!$I$15:$Q$82,MATCH($C$26&amp;$C31,Consol!$D$15:$D$82,0), MATCH(F$29, Consol!$I$9:$Q$9,0))/mill_conv</f>
        <v>0</v>
      </c>
      <c r="G31" s="104">
        <f>-INDEX(Consol!$I$15:$Q$82,MATCH($C$26&amp;$C31,Consol!$D$15:$D$82,0), MATCH(G$29, Consol!$I$9:$Q$9,0))/mill_conv</f>
        <v>0</v>
      </c>
      <c r="H31" s="104">
        <f>-INDEX(Consol!$I$15:$Q$82,MATCH($C$26&amp;$C31,Consol!$D$15:$D$82,0), MATCH(H$29, Consol!$I$9:$Q$9,0))/mill_conv</f>
        <v>0</v>
      </c>
      <c r="I31" s="104">
        <f>-INDEX(Consol!$I$15:$Q$82,MATCH($C$26&amp;$C31,Consol!$D$15:$D$82,0), MATCH(I$29, Consol!$I$9:$Q$9,0))/mill_conv</f>
        <v>0</v>
      </c>
      <c r="J31" s="104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1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</row>
    <row r="66" spans="3:13" s="8" customFormat="1" ht="12.75" x14ac:dyDescent="0.2">
      <c r="C66" s="256" t="s">
        <v>220</v>
      </c>
      <c r="D66" s="184">
        <f>output_dollars</f>
        <v>46203</v>
      </c>
      <c r="E66" s="184"/>
      <c r="F66" s="257" t="str">
        <f>Sensitivity_calcs!C89</f>
        <v>Option 1 (base case)</v>
      </c>
      <c r="G66" s="257" t="str">
        <f>Sensitivity_calcs!D89</f>
        <v>Option 2</v>
      </c>
      <c r="H66" s="257" t="str">
        <f>Sensitivity_calcs!E89</f>
        <v>Option 3</v>
      </c>
      <c r="I66" s="257" t="str">
        <f>Sensitivity_calcs!F89</f>
        <v>Option 4</v>
      </c>
      <c r="J66" s="257" t="str">
        <f>Sensitivity_calcs!G89</f>
        <v>Option 5</v>
      </c>
      <c r="K66" s="261"/>
      <c r="L66" s="286" t="s">
        <v>218</v>
      </c>
      <c r="M66" s="261"/>
    </row>
    <row r="67" spans="3:13" s="8" customFormat="1" ht="12.75" x14ac:dyDescent="0.2">
      <c r="C67" s="284" t="str">
        <f>Sensitivity_calcs!B90</f>
        <v>None</v>
      </c>
      <c r="D67" s="264"/>
      <c r="E67" s="264"/>
      <c r="F67" s="285">
        <f>Sensitivity_calcs!C90</f>
        <v>0</v>
      </c>
      <c r="G67" s="285">
        <f>Sensitivity_calcs!D90</f>
        <v>7.8779358194116487</v>
      </c>
      <c r="H67" s="285">
        <f>Sensitivity_calcs!E90</f>
        <v>0.18123518095563435</v>
      </c>
      <c r="I67" s="285" t="str">
        <f>Sensitivity_calcs!F90</f>
        <v/>
      </c>
      <c r="J67" s="285" t="str">
        <f>Sensitivity_calcs!G90</f>
        <v/>
      </c>
      <c r="K67" s="255"/>
      <c r="L67" s="287" t="str">
        <f>Sensitivity_calcs!K90</f>
        <v>Option 2</v>
      </c>
      <c r="M67" s="255"/>
    </row>
    <row r="68" spans="3:13" s="8" customFormat="1" ht="12.75" x14ac:dyDescent="0.2">
      <c r="C68" s="263" t="str">
        <f>Sensitivity_calcs!B91</f>
        <v>Capex 10% higher</v>
      </c>
      <c r="D68" s="263"/>
      <c r="E68" s="263"/>
      <c r="F68" s="277">
        <f>Sensitivity_calcs!C91</f>
        <v>0</v>
      </c>
      <c r="G68" s="272">
        <f>Sensitivity_calcs!D91</f>
        <v>7.5715228439710893</v>
      </c>
      <c r="H68" s="272">
        <f>Sensitivity_calcs!E91</f>
        <v>0.13190191613471475</v>
      </c>
      <c r="I68" s="272" t="str">
        <f>Sensitivity_calcs!F91</f>
        <v/>
      </c>
      <c r="J68" s="272" t="str">
        <f>Sensitivity_calcs!G91</f>
        <v/>
      </c>
      <c r="K68" s="255"/>
      <c r="L68" s="280" t="str">
        <f>Sensitivity_calcs!K91</f>
        <v>Option 2</v>
      </c>
      <c r="M68" s="255"/>
    </row>
    <row r="69" spans="3:13" s="8" customFormat="1" ht="12.75" x14ac:dyDescent="0.2">
      <c r="C69" s="263" t="str">
        <f>Sensitivity_calcs!B92</f>
        <v>Capex 10% lower</v>
      </c>
      <c r="D69" s="263"/>
      <c r="E69" s="263"/>
      <c r="F69" s="278">
        <f>Sensitivity_calcs!C92</f>
        <v>0</v>
      </c>
      <c r="G69" s="273">
        <f>Sensitivity_calcs!D92</f>
        <v>8.1843487948522071</v>
      </c>
      <c r="H69" s="273">
        <f>Sensitivity_calcs!E92</f>
        <v>0.23056844577655386</v>
      </c>
      <c r="I69" s="273" t="str">
        <f>Sensitivity_calcs!F92</f>
        <v/>
      </c>
      <c r="J69" s="273" t="str">
        <f>Sensitivity_calcs!G92</f>
        <v/>
      </c>
      <c r="K69" s="255"/>
      <c r="L69" s="280" t="str">
        <f>Sensitivity_calcs!K92</f>
        <v>Option 2</v>
      </c>
      <c r="M69" s="255"/>
    </row>
    <row r="70" spans="3:13" s="8" customFormat="1" ht="12.75" x14ac:dyDescent="0.2">
      <c r="C70" s="263" t="str">
        <f>Sensitivity_calcs!B93</f>
        <v>Total benefits 10% higher</v>
      </c>
      <c r="D70" s="263"/>
      <c r="E70" s="263"/>
      <c r="F70" s="278">
        <f>Sensitivity_calcs!C93</f>
        <v>0</v>
      </c>
      <c r="G70" s="273">
        <f>Sensitivity_calcs!D93</f>
        <v>8.9721423767933715</v>
      </c>
      <c r="H70" s="273">
        <f>Sensitivity_calcs!E93</f>
        <v>0.24869196387211734</v>
      </c>
      <c r="I70" s="273" t="str">
        <f>Sensitivity_calcs!F93</f>
        <v/>
      </c>
      <c r="J70" s="273" t="str">
        <f>Sensitivity_calcs!G93</f>
        <v/>
      </c>
      <c r="K70" s="255"/>
      <c r="L70" s="280" t="str">
        <f>Sensitivity_calcs!K93</f>
        <v>Option 2</v>
      </c>
      <c r="M70" s="255"/>
    </row>
    <row r="71" spans="3:13" s="8" customFormat="1" ht="12.75" x14ac:dyDescent="0.2">
      <c r="C71" s="263" t="str">
        <f>Sensitivity_calcs!B94</f>
        <v>Total benefits 10% lower</v>
      </c>
      <c r="D71" s="263"/>
      <c r="E71" s="263"/>
      <c r="F71" s="278">
        <f>Sensitivity_calcs!C94</f>
        <v>0</v>
      </c>
      <c r="G71" s="273">
        <f>Sensitivity_calcs!D94</f>
        <v>6.783729262029925</v>
      </c>
      <c r="H71" s="273">
        <f>Sensitivity_calcs!E94</f>
        <v>0.11377839803915135</v>
      </c>
      <c r="I71" s="273" t="str">
        <f>Sensitivity_calcs!F94</f>
        <v/>
      </c>
      <c r="J71" s="273" t="str">
        <f>Sensitivity_calcs!G94</f>
        <v/>
      </c>
      <c r="K71" s="255"/>
      <c r="L71" s="280" t="str">
        <f>Sensitivity_calcs!K94</f>
        <v>Option 2</v>
      </c>
      <c r="M71" s="255"/>
    </row>
    <row r="72" spans="3:13" s="8" customFormat="1" ht="12.75" x14ac:dyDescent="0.2">
      <c r="C72" s="263" t="str">
        <f>Sensitivity_calcs!B95</f>
        <v>Capex 10% higher &amp; Total benefits 10% lower</v>
      </c>
      <c r="D72" s="263"/>
      <c r="E72" s="263"/>
      <c r="F72" s="278">
        <f>Sensitivity_calcs!C95</f>
        <v>0</v>
      </c>
      <c r="G72" s="273">
        <f>Sensitivity_calcs!D95</f>
        <v>6.4773162865893674</v>
      </c>
      <c r="H72" s="273">
        <f>Sensitivity_calcs!E95</f>
        <v>6.4445133218231768E-2</v>
      </c>
      <c r="I72" s="273" t="str">
        <f>Sensitivity_calcs!F95</f>
        <v/>
      </c>
      <c r="J72" s="273" t="str">
        <f>Sensitivity_calcs!G95</f>
        <v/>
      </c>
      <c r="K72" s="255"/>
      <c r="L72" s="280" t="str">
        <f>Sensitivity_calcs!K95</f>
        <v>Option 2</v>
      </c>
      <c r="M72" s="255"/>
    </row>
    <row r="73" spans="3:13" s="8" customFormat="1" ht="12.75" x14ac:dyDescent="0.2">
      <c r="C73" s="263">
        <f>Sensitivity_calcs!B96</f>
        <v>0</v>
      </c>
      <c r="D73" s="263"/>
      <c r="E73" s="263"/>
      <c r="F73" s="278" t="str">
        <f>Sensitivity_calcs!C96</f>
        <v/>
      </c>
      <c r="G73" s="273" t="str">
        <f>Sensitivity_calcs!D96</f>
        <v/>
      </c>
      <c r="H73" s="273" t="str">
        <f>Sensitivity_calcs!E96</f>
        <v/>
      </c>
      <c r="I73" s="273" t="str">
        <f>Sensitivity_calcs!F96</f>
        <v/>
      </c>
      <c r="J73" s="273" t="str">
        <f>Sensitivity_calcs!G96</f>
        <v/>
      </c>
      <c r="K73" s="255"/>
      <c r="L73" s="280" t="str">
        <f>Sensitivity_calcs!K96</f>
        <v/>
      </c>
      <c r="M73" s="255"/>
    </row>
    <row r="74" spans="3:13" s="8" customFormat="1" ht="12.75" x14ac:dyDescent="0.2">
      <c r="C74" s="263">
        <f>Sensitivity_calcs!B97</f>
        <v>0</v>
      </c>
      <c r="D74" s="258"/>
      <c r="E74" s="258"/>
      <c r="F74" s="278" t="str">
        <f>Sensitivity_calcs!C97</f>
        <v/>
      </c>
      <c r="G74" s="273" t="str">
        <f>Sensitivity_calcs!D97</f>
        <v/>
      </c>
      <c r="H74" s="273" t="str">
        <f>Sensitivity_calcs!E97</f>
        <v/>
      </c>
      <c r="I74" s="273" t="str">
        <f>Sensitivity_calcs!F97</f>
        <v/>
      </c>
      <c r="J74" s="273" t="str">
        <f>Sensitivity_calcs!G97</f>
        <v/>
      </c>
      <c r="K74" s="265">
        <f>IF(C74=0,0, INDEX($F$66:$J$66, MATCH(MAX($F74:$I74),$F74:$I74,0)))</f>
        <v>0</v>
      </c>
      <c r="L74" s="280" t="str">
        <f>Sensitivity_calcs!K97</f>
        <v/>
      </c>
    </row>
    <row r="75" spans="3:13" s="8" customFormat="1" ht="12.75" x14ac:dyDescent="0.2">
      <c r="D75" s="263">
        <f>Sensitivity_calcs!B98</f>
        <v>0</v>
      </c>
      <c r="E75" s="263"/>
      <c r="F75" s="278" t="str">
        <f>Sensitivity_calcs!C98</f>
        <v/>
      </c>
      <c r="G75" s="273" t="str">
        <f>Sensitivity_calcs!D98</f>
        <v/>
      </c>
      <c r="H75" s="273" t="str">
        <f>Sensitivity_calcs!E98</f>
        <v/>
      </c>
      <c r="I75" s="273" t="str">
        <f>Sensitivity_calcs!F98</f>
        <v/>
      </c>
      <c r="J75" s="273" t="str">
        <f>Sensitivity_calcs!G98</f>
        <v/>
      </c>
      <c r="K75" s="255"/>
      <c r="L75" s="280" t="str">
        <f>Sensitivity_calcs!K98</f>
        <v/>
      </c>
      <c r="M75" s="255"/>
    </row>
    <row r="76" spans="3:13" s="8" customFormat="1" ht="12.75" x14ac:dyDescent="0.2">
      <c r="D76" s="263">
        <f>Sensitivity_calcs!B99</f>
        <v>0</v>
      </c>
      <c r="E76" s="263"/>
      <c r="F76" s="279"/>
      <c r="G76" s="104"/>
      <c r="H76" s="104"/>
      <c r="I76" s="104"/>
      <c r="J76" s="104"/>
      <c r="K76" s="255"/>
      <c r="L76" s="255"/>
    </row>
    <row r="77" spans="3:13" s="8" customFormat="1" ht="12.75" x14ac:dyDescent="0.2">
      <c r="F77" s="262"/>
      <c r="G77" s="104"/>
      <c r="H77" s="104"/>
      <c r="I77" s="104"/>
      <c r="J77" s="104"/>
    </row>
    <row r="78" spans="3:13" s="8" customFormat="1" ht="12.75" x14ac:dyDescent="0.2">
      <c r="F78" s="262"/>
      <c r="G78" s="262"/>
      <c r="H78" s="262"/>
      <c r="I78" s="262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3"/>
      <c r="E81" s="243"/>
      <c r="F81" s="243"/>
    </row>
    <row r="82" spans="4:6" s="8" customFormat="1" ht="12.75" x14ac:dyDescent="0.2">
      <c r="D82" s="243"/>
      <c r="E82" s="243"/>
      <c r="F82" s="243"/>
    </row>
    <row r="83" spans="4:6" s="8" customFormat="1" ht="12.75" hidden="1" x14ac:dyDescent="0.2">
      <c r="D83" s="243"/>
      <c r="E83" s="243"/>
      <c r="F83" s="243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VM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3" t="s">
        <v>329</v>
      </c>
      <c r="F8" s="433"/>
      <c r="G8" s="433"/>
      <c r="H8" s="43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4" t="s">
        <v>58</v>
      </c>
      <c r="F14" s="434"/>
      <c r="G14" s="434"/>
      <c r="H14" s="434"/>
      <c r="I14" s="434"/>
      <c r="J14" s="434"/>
      <c r="K14" s="434"/>
      <c r="L14"/>
    </row>
    <row r="15" spans="1:16" s="1" customFormat="1" ht="12.75" customHeight="1" x14ac:dyDescent="0.2">
      <c r="C15" s="61" t="str">
        <v>Option 2</v>
      </c>
      <c r="D15" s="61"/>
      <c r="E15" s="435" t="s">
        <v>330</v>
      </c>
      <c r="F15" s="435"/>
      <c r="G15" s="435"/>
      <c r="H15" s="435"/>
      <c r="I15" s="435"/>
      <c r="J15" s="435"/>
      <c r="K15" s="435"/>
      <c r="L15"/>
    </row>
    <row r="16" spans="1:16" s="1" customFormat="1" ht="12.75" customHeight="1" x14ac:dyDescent="0.2">
      <c r="C16" s="61" t="str">
        <v>Option 3</v>
      </c>
      <c r="D16" s="61"/>
      <c r="E16" s="435" t="s">
        <v>331</v>
      </c>
      <c r="F16" s="435"/>
      <c r="G16" s="435"/>
      <c r="H16" s="435"/>
      <c r="I16" s="435"/>
      <c r="J16" s="435"/>
      <c r="K16" s="435"/>
      <c r="L16"/>
    </row>
    <row r="17" spans="1:16" s="1" customFormat="1" ht="12.75" customHeight="1" x14ac:dyDescent="0.2">
      <c r="C17" s="61" t="str">
        <v>Option 4</v>
      </c>
      <c r="D17" s="61"/>
      <c r="E17" s="435"/>
      <c r="F17" s="435"/>
      <c r="G17" s="435"/>
      <c r="H17" s="435"/>
      <c r="I17" s="435"/>
      <c r="J17" s="435"/>
      <c r="K17" s="435"/>
      <c r="L17"/>
    </row>
    <row r="18" spans="1:16" s="1" customFormat="1" ht="12.75" customHeight="1" x14ac:dyDescent="0.2">
      <c r="C18" s="61" t="str">
        <v>Option 5</v>
      </c>
      <c r="D18" s="61"/>
      <c r="E18" s="435"/>
      <c r="F18" s="435"/>
      <c r="G18" s="435"/>
      <c r="H18" s="435"/>
      <c r="I18" s="435"/>
      <c r="J18" s="435"/>
      <c r="K18" s="43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223</v>
      </c>
      <c r="D20"/>
      <c r="E20" s="290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3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7" customFormat="1" x14ac:dyDescent="0.2">
      <c r="A41" s="126"/>
      <c r="B41" s="126"/>
      <c r="C41" s="1" t="s">
        <v>245</v>
      </c>
      <c r="D41" s="239" t="s">
        <v>246</v>
      </c>
      <c r="E41" s="324" t="s">
        <v>326</v>
      </c>
      <c r="F41" s="325"/>
      <c r="G41" s="326" t="s">
        <v>327</v>
      </c>
      <c r="H41" s="130">
        <v>35890.696556723749</v>
      </c>
      <c r="I41" s="327" t="s">
        <v>215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5">
        <v>5400000</v>
      </c>
      <c r="H50" s="69">
        <v>45107</v>
      </c>
    </row>
    <row r="52" spans="3:8" x14ac:dyDescent="0.2">
      <c r="C52" s="8" t="s">
        <v>165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6" t="s">
        <v>68</v>
      </c>
      <c r="H69" s="156" t="s">
        <v>166</v>
      </c>
      <c r="I69" s="156" t="s">
        <v>180</v>
      </c>
      <c r="J69" s="155" t="s">
        <v>184</v>
      </c>
      <c r="K69" s="156"/>
      <c r="L69" s="156"/>
      <c r="M69" s="156"/>
    </row>
    <row r="70" spans="2:16" x14ac:dyDescent="0.2">
      <c r="C70" s="8" t="s">
        <v>167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430">
        <v>0</v>
      </c>
      <c r="K70" s="431"/>
      <c r="L70" s="431"/>
      <c r="M70" s="432"/>
    </row>
    <row r="71" spans="2:16" x14ac:dyDescent="0.2">
      <c r="C71" s="8" t="s">
        <v>168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430">
        <v>0</v>
      </c>
      <c r="K71" s="431"/>
      <c r="L71" s="431"/>
      <c r="M71" s="432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3">
        <v>0</v>
      </c>
      <c r="H78" s="69">
        <f>input_dollars</f>
        <v>45291</v>
      </c>
    </row>
    <row r="79" spans="2:16" x14ac:dyDescent="0.2">
      <c r="C79" s="8" t="s">
        <v>170</v>
      </c>
      <c r="G79" s="153">
        <v>0</v>
      </c>
      <c r="H79" s="69">
        <f>input_dollars</f>
        <v>45291</v>
      </c>
    </row>
    <row r="81" spans="1:16" x14ac:dyDescent="0.2">
      <c r="C81" s="8" t="s">
        <v>171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142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50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59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Workings_risks!E11</f>
        <v>314043.21136713168</v>
      </c>
      <c r="J28" s="32">
        <f>Workings_risks!F11</f>
        <v>366725.75098075159</v>
      </c>
      <c r="K28" s="32">
        <f>Workings_risks!G11</f>
        <v>435144.50831974798</v>
      </c>
      <c r="L28" s="32">
        <f>Workings_risks!H11</f>
        <v>513527.99836728716</v>
      </c>
      <c r="M28" s="32">
        <f>Workings_risks!I11</f>
        <v>576691.99111727823</v>
      </c>
      <c r="N28" s="32">
        <f>Workings_risks!J11</f>
        <v>648806.76663502806</v>
      </c>
      <c r="O28" s="32">
        <f>Workings_risks!K11</f>
        <v>774247.69285915373</v>
      </c>
      <c r="P28" s="32">
        <f>Workings_risks!L11</f>
        <v>946170.44471382222</v>
      </c>
      <c r="Q28" s="32">
        <f>Workings_risks!M11</f>
        <v>1075915.5410448825</v>
      </c>
      <c r="R28" s="32">
        <f>Workings_risks!N11</f>
        <v>1105431.7594349778</v>
      </c>
      <c r="S28" s="32">
        <f>Workings_risks!O11</f>
        <v>1135299.9251205649</v>
      </c>
      <c r="T28" s="32">
        <f>Workings_risks!P11</f>
        <v>1165519.6523406701</v>
      </c>
      <c r="U28" s="32">
        <f>Workings_risks!Q11</f>
        <v>1196090.5882064877</v>
      </c>
      <c r="V28" s="32">
        <f>Workings_risks!R11</f>
        <v>1227012.4117775587</v>
      </c>
      <c r="W28" s="32">
        <f>Workings_risks!S11</f>
        <v>1258284.8331797705</v>
      </c>
      <c r="X28" s="32">
        <f>Workings_risks!T11</f>
        <v>1289907.5927626358</v>
      </c>
      <c r="Y28" s="32">
        <f>Workings_risks!U11</f>
        <v>1321880.4602937605</v>
      </c>
      <c r="Z28" s="32">
        <f>Workings_risks!V11</f>
        <v>1354203.2341882547</v>
      </c>
      <c r="AA28" s="32">
        <f>Workings_risks!W11</f>
        <v>1386875.7407712797</v>
      </c>
      <c r="AB28" s="32">
        <f>Workings_risks!X11</f>
        <v>1419897.8335717919</v>
      </c>
      <c r="AC28" s="32">
        <f>Workings_risks!Y11</f>
        <v>1453269.3926458787</v>
      </c>
      <c r="AD28" s="32">
        <f>Workings_risks!Z11</f>
        <v>1486990.3239280463</v>
      </c>
      <c r="AE28" s="32">
        <f>Workings_risks!AA11</f>
        <v>1521060.5586089601</v>
      </c>
      <c r="AF28" s="32">
        <f>Workings_risks!AB11</f>
        <v>1555480.0525383314</v>
      </c>
      <c r="AG28" s="32">
        <f>Workings_risks!AC11</f>
        <v>1590248.7856515269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4" t="s">
        <v>208</v>
      </c>
      <c r="G30" s="206">
        <f>input_dollars</f>
        <v>45291</v>
      </c>
      <c r="H30" s="148"/>
      <c r="I30" s="32">
        <f>Workings_risks!E12</f>
        <v>703.12315512015812</v>
      </c>
      <c r="J30" s="32">
        <f>Workings_risks!F12</f>
        <v>724.24381769048989</v>
      </c>
      <c r="K30" s="32">
        <f>Workings_risks!G12</f>
        <v>745.62297222261861</v>
      </c>
      <c r="L30" s="32">
        <f>Workings_risks!H12</f>
        <v>767.25927661580749</v>
      </c>
      <c r="M30" s="32">
        <f>Workings_risks!I12</f>
        <v>789.15141866678459</v>
      </c>
      <c r="N30" s="32">
        <f>Workings_risks!J12</f>
        <v>811.29811490287261</v>
      </c>
      <c r="O30" s="32">
        <f>Workings_risks!K12</f>
        <v>833.69810947982546</v>
      </c>
      <c r="P30" s="32">
        <f>Workings_risks!L12</f>
        <v>856.35017313974834</v>
      </c>
      <c r="Q30" s="32">
        <f>Workings_risks!M12</f>
        <v>879.25310222486928</v>
      </c>
      <c r="R30" s="32">
        <f>Workings_risks!N12</f>
        <v>902.4057177433009</v>
      </c>
      <c r="S30" s="32">
        <f>Workings_risks!O12</f>
        <v>925.80686448325537</v>
      </c>
      <c r="T30" s="32">
        <f>Workings_risks!P12</f>
        <v>949.45541017247035</v>
      </c>
      <c r="U30" s="32">
        <f>Workings_risks!Q12</f>
        <v>973.35024467986591</v>
      </c>
      <c r="V30" s="32">
        <f>Workings_risks!R12</f>
        <v>997.49027925668895</v>
      </c>
      <c r="W30" s="32">
        <f>Workings_risks!S12</f>
        <v>1021.8744458146368</v>
      </c>
      <c r="X30" s="32">
        <f>Workings_risks!T12</f>
        <v>1046.5016962386194</v>
      </c>
      <c r="Y30" s="32">
        <f>Workings_risks!U12</f>
        <v>1071.3710017320254</v>
      </c>
      <c r="Z30" s="32">
        <f>Workings_risks!V12</f>
        <v>1096.4813521924946</v>
      </c>
      <c r="AA30" s="32">
        <f>Workings_risks!W12</f>
        <v>1121.8317556163763</v>
      </c>
      <c r="AB30" s="32">
        <f>Workings_risks!X12</f>
        <v>1147.4212375301631</v>
      </c>
      <c r="AC30" s="32">
        <f>Workings_risks!Y12</f>
        <v>1173.2488404473179</v>
      </c>
      <c r="AD30" s="32">
        <f>Workings_risks!Z12</f>
        <v>1199.313623349042</v>
      </c>
      <c r="AE30" s="32">
        <f>Workings_risks!AA12</f>
        <v>1199.313623349042</v>
      </c>
      <c r="AF30" s="32">
        <f>Workings_risks!AB12</f>
        <v>1199.313623349042</v>
      </c>
      <c r="AG30" s="32">
        <f>Workings_risks!AC12</f>
        <v>1199.313623349042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5"/>
      <c r="E31"/>
      <c r="G31" s="206">
        <f>input_dollars</f>
        <v>45291</v>
      </c>
      <c r="H31" s="148"/>
      <c r="I31" s="32">
        <f>Workings_risks!E13</f>
        <v>26504.43645311</v>
      </c>
      <c r="J31" s="32">
        <f>Workings_risks!F13</f>
        <v>27300.586110345044</v>
      </c>
      <c r="K31" s="32">
        <f>Workings_risks!G13</f>
        <v>28106.47969895996</v>
      </c>
      <c r="L31" s="32">
        <f>Workings_risks!H13</f>
        <v>28922.066628068304</v>
      </c>
      <c r="M31" s="32">
        <f>Workings_risks!I13</f>
        <v>29747.297433777469</v>
      </c>
      <c r="N31" s="32">
        <f>Workings_risks!J13</f>
        <v>30582.123735203164</v>
      </c>
      <c r="O31" s="32">
        <f>Workings_risks!K13</f>
        <v>31426.498192923013</v>
      </c>
      <c r="P31" s="32">
        <f>Workings_risks!L13</f>
        <v>32280.374469695078</v>
      </c>
      <c r="Q31" s="32">
        <f>Workings_risks!M13</f>
        <v>33143.707193281654</v>
      </c>
      <c r="R31" s="32">
        <f>Workings_risks!N13</f>
        <v>34016.451921232896</v>
      </c>
      <c r="S31" s="32">
        <f>Workings_risks!O13</f>
        <v>34898.56510749687</v>
      </c>
      <c r="T31" s="32">
        <f>Workings_risks!P13</f>
        <v>35790.004070733907</v>
      </c>
      <c r="U31" s="32">
        <f>Workings_risks!Q13</f>
        <v>36690.726964222769</v>
      </c>
      <c r="V31" s="32">
        <f>Workings_risks!R13</f>
        <v>37600.692747255394</v>
      </c>
      <c r="W31" s="32">
        <f>Workings_risks!S13</f>
        <v>38519.861157925552</v>
      </c>
      <c r="X31" s="32">
        <f>Workings_risks!T13</f>
        <v>39448.192687223185</v>
      </c>
      <c r="Y31" s="32">
        <f>Workings_risks!U13</f>
        <v>40385.648554354048</v>
      </c>
      <c r="Z31" s="32">
        <f>Workings_risks!V13</f>
        <v>41332.190683209257</v>
      </c>
      <c r="AA31" s="32">
        <f>Workings_risks!W13</f>
        <v>42287.781679916166</v>
      </c>
      <c r="AB31" s="32">
        <f>Workings_risks!X13</f>
        <v>43252.384811406082</v>
      </c>
      <c r="AC31" s="32">
        <f>Workings_risks!Y13</f>
        <v>44225.963984939197</v>
      </c>
      <c r="AD31" s="32">
        <f>Workings_risks!Z13</f>
        <v>45208.483728532046</v>
      </c>
      <c r="AE31" s="32">
        <f>Workings_risks!AA13</f>
        <v>45208.483728532046</v>
      </c>
      <c r="AF31" s="32">
        <f>Workings_risks!AB13</f>
        <v>45208.483728532046</v>
      </c>
      <c r="AG31" s="32">
        <f>Workings_risks!AC13</f>
        <v>45208.483728532046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4"/>
      <c r="E32"/>
      <c r="G32" s="206">
        <f>input_dollars</f>
        <v>45291</v>
      </c>
      <c r="H32"/>
      <c r="I32" s="32">
        <f>Workings_risks!E14</f>
        <v>2644.8598375061829</v>
      </c>
      <c r="J32" s="32">
        <f>Workings_risks!F14</f>
        <v>2724.3070748315481</v>
      </c>
      <c r="K32" s="32">
        <f>Workings_risks!G14</f>
        <v>2804.7266524974302</v>
      </c>
      <c r="L32" s="32">
        <f>Workings_risks!H14</f>
        <v>2886.1135220733927</v>
      </c>
      <c r="M32" s="32">
        <f>Workings_risks!I14</f>
        <v>2968.4627475909547</v>
      </c>
      <c r="N32" s="32">
        <f>Workings_risks!J14</f>
        <v>3051.7695011543028</v>
      </c>
      <c r="O32" s="32">
        <f>Workings_risks!K14</f>
        <v>3136.0290587944069</v>
      </c>
      <c r="P32" s="32">
        <f>Workings_risks!L14</f>
        <v>3221.2367965491458</v>
      </c>
      <c r="Q32" s="32">
        <f>Workings_risks!M14</f>
        <v>3307.3881867535219</v>
      </c>
      <c r="R32" s="32">
        <f>Workings_risks!N14</f>
        <v>3394.4787945254388</v>
      </c>
      <c r="S32" s="32">
        <f>Workings_risks!O14</f>
        <v>3482.5042744337443</v>
      </c>
      <c r="T32" s="32">
        <f>Workings_risks!P14</f>
        <v>3571.4603673363399</v>
      </c>
      <c r="U32" s="32">
        <f>Workings_risks!Q14</f>
        <v>3661.3428973771365</v>
      </c>
      <c r="V32" s="32">
        <f>Workings_risks!R14</f>
        <v>3752.1477691315577</v>
      </c>
      <c r="W32" s="32">
        <f>Workings_risks!S14</f>
        <v>3843.8709648911349</v>
      </c>
      <c r="X32" s="32">
        <f>Workings_risks!T14</f>
        <v>3936.5085420784021</v>
      </c>
      <c r="Y32" s="32">
        <f>Workings_risks!U14</f>
        <v>4030.0566307840586</v>
      </c>
      <c r="Z32" s="32">
        <f>Workings_risks!V14</f>
        <v>4124.5114314188777</v>
      </c>
      <c r="AA32" s="32">
        <f>Workings_risks!W14</f>
        <v>4219.8692124735298</v>
      </c>
      <c r="AB32" s="32">
        <f>Workings_risks!X14</f>
        <v>4316.1263083798649</v>
      </c>
      <c r="AC32" s="32">
        <f>Workings_risks!Y14</f>
        <v>4413.2791174677204</v>
      </c>
      <c r="AD32" s="32">
        <f>Workings_risks!Z14</f>
        <v>4511.3241000117914</v>
      </c>
      <c r="AE32" s="32">
        <f>Workings_risks!AA14</f>
        <v>4511.3241000117914</v>
      </c>
      <c r="AF32" s="32">
        <f>Workings_risks!AB14</f>
        <v>4511.3241000117914</v>
      </c>
      <c r="AG32" s="32">
        <f>Workings_risks!AC14</f>
        <v>4511.3241000117914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Workings_risks!E15</f>
        <v>4288.75</v>
      </c>
      <c r="J33" s="32">
        <f>Workings_risks!F15</f>
        <v>4288.75</v>
      </c>
      <c r="K33" s="32">
        <f>Workings_risks!G15</f>
        <v>4288.75</v>
      </c>
      <c r="L33" s="32">
        <f>Workings_risks!H15</f>
        <v>4288.75</v>
      </c>
      <c r="M33" s="32">
        <f>Workings_risks!I15</f>
        <v>4288.75</v>
      </c>
      <c r="N33" s="32">
        <f>Workings_risks!J15</f>
        <v>4288.75</v>
      </c>
      <c r="O33" s="32">
        <f>Workings_risks!K15</f>
        <v>4288.75</v>
      </c>
      <c r="P33" s="32">
        <f>Workings_risks!L15</f>
        <v>4288.75</v>
      </c>
      <c r="Q33" s="32">
        <f>Workings_risks!M15</f>
        <v>4288.75</v>
      </c>
      <c r="R33" s="32">
        <f>Workings_risks!N15</f>
        <v>4288.75</v>
      </c>
      <c r="S33" s="32">
        <f>Workings_risks!O15</f>
        <v>4288.75</v>
      </c>
      <c r="T33" s="32">
        <f>Workings_risks!P15</f>
        <v>4288.75</v>
      </c>
      <c r="U33" s="32">
        <f>Workings_risks!Q15</f>
        <v>4288.75</v>
      </c>
      <c r="V33" s="32">
        <f>Workings_risks!R15</f>
        <v>4288.75</v>
      </c>
      <c r="W33" s="32">
        <f>Workings_risks!S15</f>
        <v>4288.75</v>
      </c>
      <c r="X33" s="32">
        <f>Workings_risks!T15</f>
        <v>4288.75</v>
      </c>
      <c r="Y33" s="32">
        <f>Workings_risks!U15</f>
        <v>4288.75</v>
      </c>
      <c r="Z33" s="32">
        <f>Workings_risks!V15</f>
        <v>4288.75</v>
      </c>
      <c r="AA33" s="32">
        <f>Workings_risks!W15</f>
        <v>4288.75</v>
      </c>
      <c r="AB33" s="32">
        <f>Workings_risks!X15</f>
        <v>4288.75</v>
      </c>
      <c r="AC33" s="32">
        <f>Workings_risks!Y15</f>
        <v>4288.75</v>
      </c>
      <c r="AD33" s="32">
        <f>Workings_risks!Z15</f>
        <v>4288.75</v>
      </c>
      <c r="AE33" s="32">
        <f>Workings_risks!AA15</f>
        <v>4288.75</v>
      </c>
      <c r="AF33" s="32">
        <f>Workings_risks!AB15</f>
        <v>4288.75</v>
      </c>
      <c r="AG33" s="32">
        <f>Workings_risks!AC15</f>
        <v>4288.75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Workings_risks!D16</f>
        <v>Noise cost</v>
      </c>
      <c r="D34" s="205"/>
      <c r="E34"/>
      <c r="G34" s="206">
        <f>input_dollars</f>
        <v>45291</v>
      </c>
      <c r="H34"/>
      <c r="I34" s="32">
        <f>Workings_risks!E16</f>
        <v>50000</v>
      </c>
      <c r="J34" s="32">
        <f>Workings_risks!F16</f>
        <v>50000</v>
      </c>
      <c r="K34" s="32">
        <f>Workings_risks!G16</f>
        <v>50000</v>
      </c>
      <c r="L34" s="32">
        <f>Workings_risks!H16</f>
        <v>50000</v>
      </c>
      <c r="M34" s="32">
        <f>Workings_risks!I16</f>
        <v>50000</v>
      </c>
      <c r="N34" s="32">
        <f>Workings_risks!J16</f>
        <v>50000</v>
      </c>
      <c r="O34" s="32">
        <f>Workings_risks!K16</f>
        <v>50000</v>
      </c>
      <c r="P34" s="32">
        <f>Workings_risks!L16</f>
        <v>50000</v>
      </c>
      <c r="Q34" s="32">
        <f>Workings_risks!M16</f>
        <v>50000</v>
      </c>
      <c r="R34" s="32">
        <f>Workings_risks!N16</f>
        <v>50000</v>
      </c>
      <c r="S34" s="32">
        <f>Workings_risks!O16</f>
        <v>50000</v>
      </c>
      <c r="T34" s="32">
        <f>Workings_risks!P16</f>
        <v>50000</v>
      </c>
      <c r="U34" s="32">
        <f>Workings_risks!Q16</f>
        <v>50000</v>
      </c>
      <c r="V34" s="32">
        <f>Workings_risks!R16</f>
        <v>50000</v>
      </c>
      <c r="W34" s="32">
        <f>Workings_risks!S16</f>
        <v>50000</v>
      </c>
      <c r="X34" s="32">
        <f>Workings_risks!T16</f>
        <v>50000</v>
      </c>
      <c r="Y34" s="32">
        <f>Workings_risks!U16</f>
        <v>50000</v>
      </c>
      <c r="Z34" s="32">
        <f>Workings_risks!V16</f>
        <v>50000</v>
      </c>
      <c r="AA34" s="32">
        <f>Workings_risks!W16</f>
        <v>50000</v>
      </c>
      <c r="AB34" s="32">
        <f>Workings_risks!X16</f>
        <v>50000</v>
      </c>
      <c r="AC34" s="32">
        <f>Workings_risks!Y16</f>
        <v>50000</v>
      </c>
      <c r="AD34" s="32">
        <f>Workings_risks!Z16</f>
        <v>50000</v>
      </c>
      <c r="AE34" s="32">
        <f>Workings_risks!AA16</f>
        <v>50000</v>
      </c>
      <c r="AF34" s="32">
        <f>Workings_risks!AB16</f>
        <v>50000</v>
      </c>
      <c r="AG34" s="32">
        <f>Workings_risks!AC16</f>
        <v>50000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05">
        <f>SUM(I28:I34)</f>
        <v>398184.38081286807</v>
      </c>
      <c r="J36" s="105">
        <f t="shared" ref="J36:AB36" si="3">SUM(J28:J34)</f>
        <v>451763.63798361865</v>
      </c>
      <c r="K36" s="105">
        <f t="shared" si="3"/>
        <v>521090.08764342801</v>
      </c>
      <c r="L36" s="105">
        <f t="shared" si="3"/>
        <v>600392.18779404461</v>
      </c>
      <c r="M36" s="105">
        <f t="shared" si="3"/>
        <v>664485.6527173135</v>
      </c>
      <c r="N36" s="105">
        <f t="shared" si="3"/>
        <v>737540.70798628847</v>
      </c>
      <c r="O36" s="105">
        <f t="shared" si="3"/>
        <v>863932.66822035098</v>
      </c>
      <c r="P36" s="105">
        <f t="shared" si="3"/>
        <v>1036817.1561532061</v>
      </c>
      <c r="Q36" s="105">
        <f t="shared" si="3"/>
        <v>1167534.6395271425</v>
      </c>
      <c r="R36" s="105">
        <f t="shared" si="3"/>
        <v>1198033.8458684795</v>
      </c>
      <c r="S36" s="105">
        <f t="shared" si="3"/>
        <v>1228895.5513669788</v>
      </c>
      <c r="T36" s="105">
        <f t="shared" si="3"/>
        <v>1260119.3221889129</v>
      </c>
      <c r="U36" s="105">
        <f t="shared" si="3"/>
        <v>1291704.7583127676</v>
      </c>
      <c r="V36" s="105">
        <f t="shared" si="3"/>
        <v>1323651.4925732021</v>
      </c>
      <c r="W36" s="105">
        <f t="shared" si="3"/>
        <v>1355959.1897484018</v>
      </c>
      <c r="X36" s="105">
        <f t="shared" si="3"/>
        <v>1388627.5456881758</v>
      </c>
      <c r="Y36" s="105">
        <f t="shared" si="3"/>
        <v>1421656.2864806305</v>
      </c>
      <c r="Z36" s="105">
        <f t="shared" si="3"/>
        <v>1455045.1676550754</v>
      </c>
      <c r="AA36" s="105">
        <f t="shared" si="3"/>
        <v>1488793.9734192858</v>
      </c>
      <c r="AB36" s="105">
        <f t="shared" si="3"/>
        <v>1522902.515929108</v>
      </c>
      <c r="AC36" s="105">
        <f>SUM(AC28:AC34)</f>
        <v>1557370.6345887331</v>
      </c>
      <c r="AD36" s="105">
        <f>SUM(AD28:AD34)</f>
        <v>1592198.1953799389</v>
      </c>
      <c r="AE36" s="105">
        <f>SUM(AE28:AE34)</f>
        <v>1626268.4300608528</v>
      </c>
      <c r="AF36" s="105">
        <f>SUM(AF28:AF34)</f>
        <v>1660687.923990224</v>
      </c>
      <c r="AG36" s="105">
        <f>SUM(AG28:AG34)</f>
        <v>1695456.6571034195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39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Replace #1 transformer completed in 2030-31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324</v>
      </c>
      <c r="D14"/>
      <c r="E14" s="147">
        <v>50</v>
      </c>
      <c r="G14" s="206">
        <f>input_dollars</f>
        <v>45291</v>
      </c>
      <c r="H14" s="148"/>
      <c r="I14" s="32">
        <f>Workings_costs!E20</f>
        <v>0</v>
      </c>
      <c r="J14" s="32">
        <f>Workings_costs!F20</f>
        <v>0</v>
      </c>
      <c r="K14" s="32">
        <f>Workings_costs!G20</f>
        <v>0</v>
      </c>
      <c r="L14" s="32">
        <f>Workings_costs!H20</f>
        <v>1858359.5333333332</v>
      </c>
      <c r="M14" s="32">
        <f>Workings_costs!I20</f>
        <v>3716719.0666666664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1858359.5333333332</v>
      </c>
      <c r="M17" s="105">
        <f t="shared" si="0"/>
        <v>3716719.0666666664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32">
        <f>Workings_risks!E24</f>
        <v>314043.21136713168</v>
      </c>
      <c r="J28" s="32">
        <f>Workings_risks!F24</f>
        <v>366725.75098075159</v>
      </c>
      <c r="K28" s="32">
        <f>Workings_risks!G24</f>
        <v>435144.50831974798</v>
      </c>
      <c r="L28" s="32">
        <f>Workings_risks!H24</f>
        <v>513527.99836728716</v>
      </c>
      <c r="M28" s="32">
        <f>Workings_risks!I24</f>
        <v>576691.99111727823</v>
      </c>
      <c r="N28" s="32">
        <f>Workings_risks!J24</f>
        <v>59031.518312537526</v>
      </c>
      <c r="O28" s="32">
        <f>Workings_risks!K24</f>
        <v>103711.63860605261</v>
      </c>
      <c r="P28" s="32">
        <f>Workings_risks!L24</f>
        <v>158627.18323894384</v>
      </c>
      <c r="Q28" s="32">
        <f>Workings_risks!M24</f>
        <v>210911.84148709723</v>
      </c>
      <c r="R28" s="32">
        <f>Workings_risks!N24</f>
        <v>243669.59594861651</v>
      </c>
      <c r="S28" s="32">
        <f>Workings_risks!O24</f>
        <v>275020.29600224737</v>
      </c>
      <c r="T28" s="32">
        <f>Workings_risks!P24</f>
        <v>305426.93962108146</v>
      </c>
      <c r="U28" s="32">
        <f>Workings_risks!Q24</f>
        <v>335188.72055556724</v>
      </c>
      <c r="V28" s="32">
        <f>Workings_risks!R24</f>
        <v>364511.35187184426</v>
      </c>
      <c r="W28" s="32">
        <f>Workings_risks!S24</f>
        <v>393542.86681228934</v>
      </c>
      <c r="X28" s="32">
        <f>Workings_risks!T24</f>
        <v>422393.57853196008</v>
      </c>
      <c r="Y28" s="32">
        <f>Workings_risks!U24</f>
        <v>451147.99608782219</v>
      </c>
      <c r="Z28" s="32">
        <f>Workings_risks!V24</f>
        <v>479872.32952870918</v>
      </c>
      <c r="AA28" s="32">
        <f>Workings_risks!W24</f>
        <v>508619.42509386397</v>
      </c>
      <c r="AB28" s="32">
        <f>Workings_risks!X24</f>
        <v>537432.12777361262</v>
      </c>
      <c r="AC28" s="32">
        <f>Workings_risks!Y24</f>
        <v>566345.64156242856</v>
      </c>
      <c r="AD28" s="32">
        <f>Workings_risks!Z24</f>
        <v>595389.22863769531</v>
      </c>
      <c r="AE28" s="32">
        <f>Workings_risks!AA24</f>
        <v>624587.45957300463</v>
      </c>
      <c r="AF28" s="32">
        <f>Workings_risks!AB24</f>
        <v>653961.15082096995</v>
      </c>
      <c r="AG28" s="32">
        <f>Workings_risks!AC24</f>
        <v>683528.07948957942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32">
        <f>Workings_risks!E25</f>
        <v>703.12315512015812</v>
      </c>
      <c r="J30" s="32">
        <f>Workings_risks!F25</f>
        <v>724.24381769048989</v>
      </c>
      <c r="K30" s="32">
        <f>Workings_risks!G25</f>
        <v>745.62297222261861</v>
      </c>
      <c r="L30" s="32">
        <f>Workings_risks!H25</f>
        <v>767.25927661580749</v>
      </c>
      <c r="M30" s="32">
        <f>Workings_risks!I25</f>
        <v>789.15141866678459</v>
      </c>
      <c r="N30" s="32">
        <f>Workings_risks!J25</f>
        <v>589.68472411524044</v>
      </c>
      <c r="O30" s="32">
        <f>Workings_risks!K25</f>
        <v>605.7325900658409</v>
      </c>
      <c r="P30" s="32">
        <f>Workings_risks!L25</f>
        <v>622.1836544947754</v>
      </c>
      <c r="Q30" s="32">
        <f>Workings_risks!M25</f>
        <v>639.00888012176881</v>
      </c>
      <c r="R30" s="32">
        <f>Workings_risks!N25</f>
        <v>656.1898862180966</v>
      </c>
      <c r="S30" s="32">
        <f>Workings_risks!O25</f>
        <v>673.71339069446753</v>
      </c>
      <c r="T30" s="32">
        <f>Workings_risks!P25</f>
        <v>691.56907218438755</v>
      </c>
      <c r="U30" s="32">
        <f>Workings_risks!Q25</f>
        <v>709.74852798117161</v>
      </c>
      <c r="V30" s="32">
        <f>Workings_risks!R25</f>
        <v>728.24469165529945</v>
      </c>
      <c r="W30" s="32">
        <f>Workings_risks!S25</f>
        <v>747.05147649006165</v>
      </c>
      <c r="X30" s="32">
        <f>Workings_risks!T25</f>
        <v>766.16354233414131</v>
      </c>
      <c r="Y30" s="32">
        <f>Workings_risks!U25</f>
        <v>785.57613535228154</v>
      </c>
      <c r="Z30" s="32">
        <f>Workings_risks!V25</f>
        <v>805.28497346942299</v>
      </c>
      <c r="AA30" s="32">
        <f>Workings_risks!W25</f>
        <v>825.28616183602901</v>
      </c>
      <c r="AB30" s="32">
        <f>Workings_risks!X25</f>
        <v>845.57612878718419</v>
      </c>
      <c r="AC30" s="32">
        <f>Workings_risks!Y25</f>
        <v>866.15157624342237</v>
      </c>
      <c r="AD30" s="32">
        <f>Workings_risks!Z25</f>
        <v>887.0094405653449</v>
      </c>
      <c r="AE30" s="32">
        <f>Workings_risks!AA25</f>
        <v>887.0094405653449</v>
      </c>
      <c r="AF30" s="32">
        <f>Workings_risks!AB25</f>
        <v>887.0094405653449</v>
      </c>
      <c r="AG30" s="32">
        <f>Workings_risks!AC25</f>
        <v>887.0094405653449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32">
        <f>Workings_risks!E26</f>
        <v>26504.43645311</v>
      </c>
      <c r="J31" s="32">
        <f>Workings_risks!F26</f>
        <v>27300.586110345044</v>
      </c>
      <c r="K31" s="32">
        <f>Workings_risks!G26</f>
        <v>28106.47969895996</v>
      </c>
      <c r="L31" s="32">
        <f>Workings_risks!H26</f>
        <v>28922.066628068304</v>
      </c>
      <c r="M31" s="32">
        <f>Workings_risks!I26</f>
        <v>29747.297433777469</v>
      </c>
      <c r="N31" s="32">
        <f>Workings_risks!J26</f>
        <v>22228.341057849502</v>
      </c>
      <c r="O31" s="32">
        <f>Workings_risks!K26</f>
        <v>22833.270137767271</v>
      </c>
      <c r="P31" s="32">
        <f>Workings_risks!L26</f>
        <v>23453.397904243968</v>
      </c>
      <c r="Q31" s="32">
        <f>Workings_risks!M26</f>
        <v>24087.629788363436</v>
      </c>
      <c r="R31" s="32">
        <f>Workings_risks!N26</f>
        <v>24735.272923089666</v>
      </c>
      <c r="S31" s="32">
        <f>Workings_risks!O26</f>
        <v>25395.826636116501</v>
      </c>
      <c r="T31" s="32">
        <f>Workings_risks!P26</f>
        <v>26068.90186046419</v>
      </c>
      <c r="U31" s="32">
        <f>Workings_risks!Q26</f>
        <v>26754.181853605143</v>
      </c>
      <c r="V31" s="32">
        <f>Workings_risks!R26</f>
        <v>27451.400244376906</v>
      </c>
      <c r="W31" s="32">
        <f>Workings_risks!S26</f>
        <v>28160.327592182832</v>
      </c>
      <c r="X31" s="32">
        <f>Workings_risks!T26</f>
        <v>28880.762598430774</v>
      </c>
      <c r="Y31" s="32">
        <f>Workings_risks!U26</f>
        <v>29612.52606588685</v>
      </c>
      <c r="Z31" s="32">
        <f>Workings_risks!V26</f>
        <v>30355.45658045814</v>
      </c>
      <c r="AA31" s="32">
        <f>Workings_risks!W26</f>
        <v>31109.407324632964</v>
      </c>
      <c r="AB31" s="32">
        <f>Workings_risks!X26</f>
        <v>31874.243663440055</v>
      </c>
      <c r="AC31" s="32">
        <f>Workings_risks!Y26</f>
        <v>32649.841274793045</v>
      </c>
      <c r="AD31" s="32">
        <f>Workings_risks!Z26</f>
        <v>33436.084673893609</v>
      </c>
      <c r="AE31" s="32">
        <f>Workings_risks!AA26</f>
        <v>33436.084673893609</v>
      </c>
      <c r="AF31" s="32">
        <f>Workings_risks!AB26</f>
        <v>33436.084673893609</v>
      </c>
      <c r="AG31" s="32">
        <f>Workings_risks!AC26</f>
        <v>33436.084673893609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32">
        <f>Workings_risks!E27</f>
        <v>2644.8598375061829</v>
      </c>
      <c r="J32" s="32">
        <f>Workings_risks!F27</f>
        <v>2724.3070748315481</v>
      </c>
      <c r="K32" s="32">
        <f>Workings_risks!G27</f>
        <v>2804.7266524974302</v>
      </c>
      <c r="L32" s="32">
        <f>Workings_risks!H27</f>
        <v>2886.1135220733927</v>
      </c>
      <c r="M32" s="32">
        <f>Workings_risks!I27</f>
        <v>2968.4627475909547</v>
      </c>
      <c r="N32" s="32">
        <f>Workings_risks!J27</f>
        <v>2218.1511620631873</v>
      </c>
      <c r="O32" s="32">
        <f>Workings_risks!K27</f>
        <v>2278.5166269484571</v>
      </c>
      <c r="P32" s="32">
        <f>Workings_risks!L27</f>
        <v>2340.3987585145546</v>
      </c>
      <c r="Q32" s="32">
        <f>Workings_risks!M27</f>
        <v>2403.6883304675789</v>
      </c>
      <c r="R32" s="32">
        <f>Workings_risks!N27</f>
        <v>2468.3162020733162</v>
      </c>
      <c r="S32" s="32">
        <f>Workings_risks!O27</f>
        <v>2534.2324115800175</v>
      </c>
      <c r="T32" s="32">
        <f>Workings_risks!P27</f>
        <v>2601.3981342561842</v>
      </c>
      <c r="U32" s="32">
        <f>Workings_risks!Q27</f>
        <v>2669.781762578617</v>
      </c>
      <c r="V32" s="32">
        <f>Workings_risks!R27</f>
        <v>2739.3567155486717</v>
      </c>
      <c r="W32" s="32">
        <f>Workings_risks!S27</f>
        <v>2810.1000974439567</v>
      </c>
      <c r="X32" s="32">
        <f>Workings_risks!T27</f>
        <v>2881.9918208137292</v>
      </c>
      <c r="Y32" s="32">
        <f>Workings_risks!U27</f>
        <v>2955.0140036868811</v>
      </c>
      <c r="Z32" s="32">
        <f>Workings_risks!V27</f>
        <v>3029.1505386599479</v>
      </c>
      <c r="AA32" s="32">
        <f>Workings_risks!W27</f>
        <v>3104.3867749124606</v>
      </c>
      <c r="AB32" s="32">
        <f>Workings_risks!X27</f>
        <v>3180.7092773114418</v>
      </c>
      <c r="AC32" s="32">
        <f>Workings_risks!Y27</f>
        <v>3258.1056398397445</v>
      </c>
      <c r="AD32" s="32">
        <f>Workings_risks!Z27</f>
        <v>3336.5643383472316</v>
      </c>
      <c r="AE32" s="32">
        <f>Workings_risks!AA27</f>
        <v>3336.5643383472316</v>
      </c>
      <c r="AF32" s="32">
        <f>Workings_risks!AB27</f>
        <v>3336.5643383472316</v>
      </c>
      <c r="AG32" s="32">
        <f>Workings_risks!AC27</f>
        <v>3336.5643383472316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32">
        <f>Workings_risks!E28</f>
        <v>4288.75</v>
      </c>
      <c r="J33" s="32">
        <f>Workings_risks!F28</f>
        <v>4288.75</v>
      </c>
      <c r="K33" s="32">
        <f>Workings_risks!G28</f>
        <v>4288.75</v>
      </c>
      <c r="L33" s="32">
        <f>Workings_risks!H28</f>
        <v>4288.75</v>
      </c>
      <c r="M33" s="32">
        <f>Workings_risks!I28</f>
        <v>4288.75</v>
      </c>
      <c r="N33" s="32">
        <f>Workings_risks!J28</f>
        <v>587.5</v>
      </c>
      <c r="O33" s="32">
        <f>Workings_risks!K28</f>
        <v>587.5</v>
      </c>
      <c r="P33" s="32">
        <f>Workings_risks!L28</f>
        <v>587.5</v>
      </c>
      <c r="Q33" s="32">
        <f>Workings_risks!M28</f>
        <v>587.5</v>
      </c>
      <c r="R33" s="32">
        <f>Workings_risks!N28</f>
        <v>587.5</v>
      </c>
      <c r="S33" s="32">
        <f>Workings_risks!O28</f>
        <v>587.5</v>
      </c>
      <c r="T33" s="32">
        <f>Workings_risks!P28</f>
        <v>587.5</v>
      </c>
      <c r="U33" s="32">
        <f>Workings_risks!Q28</f>
        <v>587.5</v>
      </c>
      <c r="V33" s="32">
        <f>Workings_risks!R28</f>
        <v>587.5</v>
      </c>
      <c r="W33" s="32">
        <f>Workings_risks!S28</f>
        <v>587.5</v>
      </c>
      <c r="X33" s="32">
        <f>Workings_risks!T28</f>
        <v>587.5</v>
      </c>
      <c r="Y33" s="32">
        <f>Workings_risks!U28</f>
        <v>587.5</v>
      </c>
      <c r="Z33" s="32">
        <f>Workings_risks!V28</f>
        <v>587.5</v>
      </c>
      <c r="AA33" s="32">
        <f>Workings_risks!W28</f>
        <v>587.5</v>
      </c>
      <c r="AB33" s="32">
        <f>Workings_risks!X28</f>
        <v>587.5</v>
      </c>
      <c r="AC33" s="32">
        <f>Workings_risks!Y28</f>
        <v>587.5</v>
      </c>
      <c r="AD33" s="32">
        <f>Workings_risks!Z28</f>
        <v>587.5</v>
      </c>
      <c r="AE33" s="32">
        <f>Workings_risks!AA28</f>
        <v>587.5</v>
      </c>
      <c r="AF33" s="32">
        <f>Workings_risks!AB28</f>
        <v>587.5</v>
      </c>
      <c r="AG33" s="32">
        <f>Workings_risks!AC28</f>
        <v>587.5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'Option1 (base case)'!C34</f>
        <v>Noise cost</v>
      </c>
      <c r="D34" s="205"/>
      <c r="E34"/>
      <c r="G34" s="206">
        <f>input_dollars</f>
        <v>45291</v>
      </c>
      <c r="H34"/>
      <c r="I34" s="32">
        <f>Workings_risks!E29</f>
        <v>50000</v>
      </c>
      <c r="J34" s="32">
        <f>Workings_risks!F29</f>
        <v>50000</v>
      </c>
      <c r="K34" s="32">
        <f>Workings_risks!G29</f>
        <v>50000</v>
      </c>
      <c r="L34" s="32">
        <f>Workings_risks!H29</f>
        <v>50000</v>
      </c>
      <c r="M34" s="32">
        <f>Workings_risks!I29</f>
        <v>50000</v>
      </c>
      <c r="N34" s="32">
        <f>Workings_risks!J29</f>
        <v>25000</v>
      </c>
      <c r="O34" s="32">
        <f>Workings_risks!K29</f>
        <v>25000</v>
      </c>
      <c r="P34" s="32">
        <f>Workings_risks!L29</f>
        <v>25000</v>
      </c>
      <c r="Q34" s="32">
        <f>Workings_risks!M29</f>
        <v>25000</v>
      </c>
      <c r="R34" s="32">
        <f>Workings_risks!N29</f>
        <v>25000</v>
      </c>
      <c r="S34" s="32">
        <f>Workings_risks!O29</f>
        <v>25000</v>
      </c>
      <c r="T34" s="32">
        <f>Workings_risks!P29</f>
        <v>25000</v>
      </c>
      <c r="U34" s="32">
        <f>Workings_risks!Q29</f>
        <v>25000</v>
      </c>
      <c r="V34" s="32">
        <f>Workings_risks!R29</f>
        <v>25000</v>
      </c>
      <c r="W34" s="32">
        <f>Workings_risks!S29</f>
        <v>25000</v>
      </c>
      <c r="X34" s="32">
        <f>Workings_risks!T29</f>
        <v>25000</v>
      </c>
      <c r="Y34" s="32">
        <f>Workings_risks!U29</f>
        <v>25000</v>
      </c>
      <c r="Z34" s="32">
        <f>Workings_risks!V29</f>
        <v>25000</v>
      </c>
      <c r="AA34" s="32">
        <f>Workings_risks!W29</f>
        <v>25000</v>
      </c>
      <c r="AB34" s="32">
        <f>Workings_risks!X29</f>
        <v>25000</v>
      </c>
      <c r="AC34" s="32">
        <f>Workings_risks!Y29</f>
        <v>25000</v>
      </c>
      <c r="AD34" s="32">
        <f>Workings_risks!Z29</f>
        <v>25000</v>
      </c>
      <c r="AE34" s="32">
        <f>Workings_risks!AA29</f>
        <v>25000</v>
      </c>
      <c r="AF34" s="32">
        <f>Workings_risks!AB29</f>
        <v>25000</v>
      </c>
      <c r="AG34" s="32">
        <f>Workings_risks!AC29</f>
        <v>25000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398184.38081286807</v>
      </c>
      <c r="J36" s="169">
        <f t="shared" ref="J36:AG36" si="2">SUM(J28:J34)</f>
        <v>451763.63798361865</v>
      </c>
      <c r="K36" s="169">
        <f t="shared" si="2"/>
        <v>521090.08764342801</v>
      </c>
      <c r="L36" s="169">
        <f t="shared" si="2"/>
        <v>600392.18779404461</v>
      </c>
      <c r="M36" s="169">
        <f t="shared" si="2"/>
        <v>664485.6527173135</v>
      </c>
      <c r="N36" s="169">
        <f t="shared" si="2"/>
        <v>109655.19525656546</v>
      </c>
      <c r="O36" s="169">
        <f t="shared" si="2"/>
        <v>155016.65796083419</v>
      </c>
      <c r="P36" s="169">
        <f t="shared" si="2"/>
        <v>210630.66355619713</v>
      </c>
      <c r="Q36" s="169">
        <f t="shared" si="2"/>
        <v>263629.66848605004</v>
      </c>
      <c r="R36" s="169">
        <f t="shared" si="2"/>
        <v>297116.87495999754</v>
      </c>
      <c r="S36" s="169">
        <f t="shared" si="2"/>
        <v>329211.56844063837</v>
      </c>
      <c r="T36" s="169">
        <f t="shared" si="2"/>
        <v>360376.30868798622</v>
      </c>
      <c r="U36" s="169">
        <f t="shared" si="2"/>
        <v>390909.93269973219</v>
      </c>
      <c r="V36" s="169">
        <f t="shared" si="2"/>
        <v>421017.85352342512</v>
      </c>
      <c r="W36" s="169">
        <f t="shared" si="2"/>
        <v>450847.8459784062</v>
      </c>
      <c r="X36" s="169">
        <f t="shared" si="2"/>
        <v>480509.99649353878</v>
      </c>
      <c r="Y36" s="169">
        <f t="shared" si="2"/>
        <v>510088.61229274818</v>
      </c>
      <c r="Z36" s="169">
        <f t="shared" si="2"/>
        <v>539649.72162129672</v>
      </c>
      <c r="AA36" s="169">
        <f t="shared" si="2"/>
        <v>569246.00535524543</v>
      </c>
      <c r="AB36" s="169">
        <f t="shared" si="2"/>
        <v>598920.15684315132</v>
      </c>
      <c r="AC36" s="169">
        <f t="shared" si="2"/>
        <v>628707.24005330482</v>
      </c>
      <c r="AD36" s="169">
        <f t="shared" si="2"/>
        <v>658636.38709050149</v>
      </c>
      <c r="AE36" s="169">
        <f t="shared" si="2"/>
        <v>687834.61802581081</v>
      </c>
      <c r="AF36" s="169">
        <f t="shared" si="2"/>
        <v>717208.30927377613</v>
      </c>
      <c r="AG36" s="169">
        <f t="shared" si="2"/>
        <v>746775.2379423856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4220.9953699573898</v>
      </c>
      <c r="G47" s="206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4" t="s">
        <v>206</v>
      </c>
      <c r="E49" s="111">
        <f>Assumptions!G98</f>
        <v>0.54769380678923496</v>
      </c>
      <c r="G49" s="206" t="s">
        <v>207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4" t="s">
        <v>206</v>
      </c>
      <c r="E50" s="111">
        <f>Assumptions!G99</f>
        <v>0.54769380678923496</v>
      </c>
      <c r="G50" s="206" t="s">
        <v>207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627885.51272972301</v>
      </c>
      <c r="O64" s="131">
        <f>(1-INDEX(Data!$C$9:$C$13, MATCH($A$3, options,0)))*('Option1 (base case)'!O36-O36)</f>
        <v>708916.01025951677</v>
      </c>
      <c r="P64" s="131">
        <f>(1-INDEX(Data!$C$9:$C$13, MATCH($A$3, options,0)))*('Option1 (base case)'!P36-P36)</f>
        <v>826186.49259700906</v>
      </c>
      <c r="Q64" s="131">
        <f>(1-INDEX(Data!$C$9:$C$13, MATCH($A$3, options,0)))*('Option1 (base case)'!Q36-Q36)</f>
        <v>903904.97104109242</v>
      </c>
      <c r="R64" s="131">
        <f>(1-INDEX(Data!$C$9:$C$13, MATCH($A$3, options,0)))*('Option1 (base case)'!R36-R36)</f>
        <v>900916.97090848186</v>
      </c>
      <c r="S64" s="131">
        <f>(1-INDEX(Data!$C$9:$C$13, MATCH($A$3, options,0)))*('Option1 (base case)'!S36-S36)</f>
        <v>899683.98292634042</v>
      </c>
      <c r="T64" s="131">
        <f>(1-INDEX(Data!$C$9:$C$13, MATCH($A$3, options,0)))*('Option1 (base case)'!T36-T36)</f>
        <v>899743.01350092667</v>
      </c>
      <c r="U64" s="131">
        <f>(1-INDEX(Data!$C$9:$C$13, MATCH($A$3, options,0)))*('Option1 (base case)'!U36-U36)</f>
        <v>900794.82561303535</v>
      </c>
      <c r="V64" s="131">
        <f>(1-INDEX(Data!$C$9:$C$13, MATCH($A$3, options,0)))*('Option1 (base case)'!V36-V36)</f>
        <v>902633.63904977706</v>
      </c>
      <c r="W64" s="131">
        <f>(1-INDEX(Data!$C$9:$C$13, MATCH($A$3, options,0)))*('Option1 (base case)'!W36-W36)</f>
        <v>905111.3437699955</v>
      </c>
      <c r="X64" s="131">
        <f>(1-INDEX(Data!$C$9:$C$13, MATCH($A$3, options,0)))*('Option1 (base case)'!X36-X36)</f>
        <v>908117.54919463699</v>
      </c>
      <c r="Y64" s="131">
        <f>(1-INDEX(Data!$C$9:$C$13, MATCH($A$3, options,0)))*('Option1 (base case)'!Y36-Y36)</f>
        <v>911567.67418788234</v>
      </c>
      <c r="Z64" s="131">
        <f>(1-INDEX(Data!$C$9:$C$13, MATCH($A$3, options,0)))*('Option1 (base case)'!Z36-Z36)</f>
        <v>915395.44603377872</v>
      </c>
      <c r="AA64" s="131">
        <f>(1-INDEX(Data!$C$9:$C$13, MATCH($A$3, options,0)))*('Option1 (base case)'!AA36-AA36)</f>
        <v>919547.96806404041</v>
      </c>
      <c r="AB64" s="131">
        <f>(1-INDEX(Data!$C$9:$C$13, MATCH($A$3, options,0)))*('Option1 (base case)'!AB36-AB36)</f>
        <v>923982.3590859567</v>
      </c>
      <c r="AC64" s="131">
        <f>(1-INDEX(Data!$C$9:$C$13, MATCH($A$3, options,0)))*('Option1 (base case)'!AC36-AC36)</f>
        <v>928663.39453542826</v>
      </c>
      <c r="AD64" s="131">
        <f>(1-INDEX(Data!$C$9:$C$13, MATCH($A$3, options,0)))*('Option1 (base case)'!AD36-AD36)</f>
        <v>933561.80828943744</v>
      </c>
      <c r="AE64" s="131">
        <f>(1-INDEX(Data!$C$9:$C$13, MATCH($A$3, options,0)))*('Option1 (base case)'!AE36-AE36)</f>
        <v>938433.81203504198</v>
      </c>
      <c r="AF64" s="131">
        <f>(1-INDEX(Data!$C$9:$C$13, MATCH($A$3, options,0)))*('Option1 (base case)'!AF36-AF36)</f>
        <v>943479.61471644789</v>
      </c>
      <c r="AG64" s="131">
        <f>(1-INDEX(Data!$C$9:$C$13, MATCH($A$3, options,0)))*('Option1 (base case)'!AG36-AG36)</f>
        <v>948681.41916103393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6"/>
      <c r="G67" s="209">
        <f>input_dollars</f>
        <v>45291</v>
      </c>
      <c r="H67" s="31"/>
      <c r="I67" s="118">
        <f t="shared" ref="I67:AG67" si="4">-I14</f>
        <v>0</v>
      </c>
      <c r="J67" s="118">
        <f t="shared" si="4"/>
        <v>0</v>
      </c>
      <c r="K67" s="118">
        <f t="shared" si="4"/>
        <v>0</v>
      </c>
      <c r="L67" s="118">
        <f t="shared" si="4"/>
        <v>-1858359.5333333332</v>
      </c>
      <c r="M67" s="118">
        <f t="shared" si="4"/>
        <v>-3716719.0666666664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Replace 1 transformer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-1858359.5333333332</v>
      </c>
      <c r="M72" s="118" cm="1">
        <f t="array" ref="M72">SUMPRODUCT(($I67:M67))-SUMPRODUCT(($I67:M67)*($I$6:M$6&lt;=(M$6-$E14)))</f>
        <v>-5575078.5999999996</v>
      </c>
      <c r="N72" s="118" cm="1">
        <f t="array" ref="N72">SUMPRODUCT(($I67:N67))-SUMPRODUCT(($I67:N67)*($I$6:N$6&lt;=(N$6-$E14)))</f>
        <v>-5575078.5999999996</v>
      </c>
      <c r="O72" s="118" cm="1">
        <f t="array" ref="O72">SUMPRODUCT(($I67:O67))-SUMPRODUCT(($I67:O67)*($I$6:O$6&lt;=(O$6-$E14)))</f>
        <v>-5575078.5999999996</v>
      </c>
      <c r="P72" s="118" cm="1">
        <f t="array" ref="P72">SUMPRODUCT(($I67:P67))-SUMPRODUCT(($I67:P67)*($I$6:P$6&lt;=(P$6-$E14)))</f>
        <v>-5575078.5999999996</v>
      </c>
      <c r="Q72" s="118" cm="1">
        <f t="array" ref="Q72">SUMPRODUCT(($I67:Q67))-SUMPRODUCT(($I67:Q67)*($I$6:Q$6&lt;=(Q$6-$E14)))</f>
        <v>-5575078.5999999996</v>
      </c>
      <c r="R72" s="118" cm="1">
        <f t="array" ref="R72">SUMPRODUCT(($I67:R67))-SUMPRODUCT(($I67:R67)*($I$6:R$6&lt;=(R$6-$E14)))</f>
        <v>-5575078.5999999996</v>
      </c>
      <c r="S72" s="118" cm="1">
        <f t="array" ref="S72">SUMPRODUCT(($I67:S67))-SUMPRODUCT(($I67:S67)*($I$6:S$6&lt;=(S$6-$E14)))</f>
        <v>-5575078.5999999996</v>
      </c>
      <c r="T72" s="118" cm="1">
        <f t="array" ref="T72">SUMPRODUCT(($I67:T67))-SUMPRODUCT(($I67:T67)*($I$6:T$6&lt;=(T$6-$E14)))</f>
        <v>-5575078.5999999996</v>
      </c>
      <c r="U72" s="118" cm="1">
        <f t="array" ref="U72">SUMPRODUCT(($I67:U67))-SUMPRODUCT(($I67:U67)*($I$6:U$6&lt;=(U$6-$E14)))</f>
        <v>-5575078.5999999996</v>
      </c>
      <c r="V72" s="118" cm="1">
        <f t="array" ref="V72">SUMPRODUCT(($I67:V67))-SUMPRODUCT(($I67:V67)*($I$6:V$6&lt;=(V$6-$E14)))</f>
        <v>-5575078.5999999996</v>
      </c>
      <c r="W72" s="118" cm="1">
        <f t="array" ref="W72">SUMPRODUCT(($I67:W67))-SUMPRODUCT(($I67:W67)*($I$6:W$6&lt;=(W$6-$E14)))</f>
        <v>-5575078.5999999996</v>
      </c>
      <c r="X72" s="118" cm="1">
        <f t="array" ref="X72">SUMPRODUCT(($I67:X67))-SUMPRODUCT(($I67:X67)*($I$6:X$6&lt;=(X$6-$E14)))</f>
        <v>-5575078.5999999996</v>
      </c>
      <c r="Y72" s="118" cm="1">
        <f t="array" ref="Y72">SUMPRODUCT(($I67:Y67))-SUMPRODUCT(($I67:Y67)*($I$6:Y$6&lt;=(Y$6-$E14)))</f>
        <v>-5575078.5999999996</v>
      </c>
      <c r="Z72" s="118" cm="1">
        <f t="array" ref="Z72">SUMPRODUCT(($I67:Z67))-SUMPRODUCT(($I67:Z67)*($I$6:Z$6&lt;=(Z$6-$E14)))</f>
        <v>-5575078.5999999996</v>
      </c>
      <c r="AA72" s="118" cm="1">
        <f t="array" ref="AA72">SUMPRODUCT(($I67:AA67))-SUMPRODUCT(($I67:AA67)*($I$6:AA$6&lt;=(AA$6-$E14)))</f>
        <v>-5575078.5999999996</v>
      </c>
      <c r="AB72" s="118" cm="1">
        <f t="array" ref="AB72">SUMPRODUCT(($I67:AB67))-SUMPRODUCT(($I67:AB67)*($I$6:AB$6&lt;=(AB$6-$E14)))</f>
        <v>-5575078.5999999996</v>
      </c>
      <c r="AC72" s="118" cm="1">
        <f t="array" ref="AC72">SUMPRODUCT(($I67:AC67))-SUMPRODUCT(($I67:AC67)*($I$6:AC$6&lt;=(AC$6-$E14)))</f>
        <v>-5575078.5999999996</v>
      </c>
      <c r="AD72" s="118" cm="1">
        <f t="array" ref="AD72">SUMPRODUCT(($I67:AD67))-SUMPRODUCT(($I67:AD67)*($I$6:AD$6&lt;=(AD$6-$E14)))</f>
        <v>-5575078.5999999996</v>
      </c>
      <c r="AE72" s="118" cm="1">
        <f t="array" ref="AE72">SUMPRODUCT(($I67:AE67))-SUMPRODUCT(($I67:AE67)*($I$6:AE$6&lt;=(AE$6-$E14)))</f>
        <v>-5575078.5999999996</v>
      </c>
      <c r="AF72" s="118" cm="1">
        <f t="array" ref="AF72">SUMPRODUCT(($I67:AF67))-SUMPRODUCT(($I67:AF67)*($I$6:AF$6&lt;=(AF$6-$E14)))</f>
        <v>-5575078.5999999996</v>
      </c>
      <c r="AG72" s="118" cm="1">
        <f t="array" ref="AG72">SUMPRODUCT(($I67:AG67))-SUMPRODUCT(($I67:AG67)*($I$6:AG$6&lt;=(AG$6-$E14)))</f>
        <v>-5575078.5999999996</v>
      </c>
    </row>
    <row r="73" spans="1:33" x14ac:dyDescent="0.2">
      <c r="A73" s="8"/>
      <c r="B73" s="8"/>
      <c r="C73" s="4">
        <f>C15</f>
        <v>0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6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0</v>
      </c>
      <c r="K77" s="118">
        <f t="shared" si="7"/>
        <v>0</v>
      </c>
      <c r="L77" s="118">
        <f t="shared" si="7"/>
        <v>0</v>
      </c>
      <c r="M77" s="118">
        <f t="shared" si="7"/>
        <v>-79228.760614358966</v>
      </c>
      <c r="N77" s="118">
        <f t="shared" si="7"/>
        <v>-237686.2818430769</v>
      </c>
      <c r="O77" s="118">
        <f t="shared" si="7"/>
        <v>-237686.2818430769</v>
      </c>
      <c r="P77" s="118">
        <f t="shared" si="7"/>
        <v>-237686.2818430769</v>
      </c>
      <c r="Q77" s="118">
        <f t="shared" si="7"/>
        <v>-237686.2818430769</v>
      </c>
      <c r="R77" s="118">
        <f t="shared" si="7"/>
        <v>-237686.2818430769</v>
      </c>
      <c r="S77" s="118">
        <f t="shared" si="7"/>
        <v>-237686.2818430769</v>
      </c>
      <c r="T77" s="118">
        <f t="shared" si="7"/>
        <v>-237686.2818430769</v>
      </c>
      <c r="U77" s="118">
        <f t="shared" si="7"/>
        <v>-237686.2818430769</v>
      </c>
      <c r="V77" s="118">
        <f t="shared" si="7"/>
        <v>-237686.2818430769</v>
      </c>
      <c r="W77" s="118">
        <f t="shared" si="7"/>
        <v>-237686.2818430769</v>
      </c>
      <c r="X77" s="118">
        <f t="shared" si="7"/>
        <v>-237686.2818430769</v>
      </c>
      <c r="Y77" s="118">
        <f t="shared" si="7"/>
        <v>-237686.2818430769</v>
      </c>
      <c r="Z77" s="118">
        <f t="shared" si="7"/>
        <v>-237686.2818430769</v>
      </c>
      <c r="AA77" s="118">
        <f t="shared" si="7"/>
        <v>-237686.2818430769</v>
      </c>
      <c r="AB77" s="118">
        <f t="shared" si="7"/>
        <v>-237686.2818430769</v>
      </c>
      <c r="AC77" s="118">
        <f t="shared" si="7"/>
        <v>-237686.2818430769</v>
      </c>
      <c r="AD77" s="118">
        <f t="shared" si="7"/>
        <v>-237686.2818430769</v>
      </c>
      <c r="AE77" s="118">
        <f t="shared" si="7"/>
        <v>-237686.2818430769</v>
      </c>
      <c r="AF77" s="118">
        <f t="shared" si="7"/>
        <v>-237686.2818430769</v>
      </c>
      <c r="AG77" s="118">
        <f t="shared" si="7"/>
        <v>-237686.2818430769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6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0</v>
      </c>
      <c r="L80" s="175">
        <f t="shared" si="10"/>
        <v>0</v>
      </c>
      <c r="M80" s="175">
        <f t="shared" si="10"/>
        <v>-79228.760614358966</v>
      </c>
      <c r="N80" s="175">
        <f t="shared" si="10"/>
        <v>-237686.2818430769</v>
      </c>
      <c r="O80" s="175">
        <f t="shared" si="10"/>
        <v>-237686.2818430769</v>
      </c>
      <c r="P80" s="175">
        <f t="shared" si="10"/>
        <v>-237686.2818430769</v>
      </c>
      <c r="Q80" s="175">
        <f t="shared" si="10"/>
        <v>-237686.2818430769</v>
      </c>
      <c r="R80" s="175">
        <f t="shared" si="10"/>
        <v>-237686.2818430769</v>
      </c>
      <c r="S80" s="175">
        <f t="shared" si="10"/>
        <v>-237686.2818430769</v>
      </c>
      <c r="T80" s="175">
        <f t="shared" si="10"/>
        <v>-237686.2818430769</v>
      </c>
      <c r="U80" s="175">
        <f t="shared" si="10"/>
        <v>-237686.2818430769</v>
      </c>
      <c r="V80" s="175">
        <f t="shared" si="10"/>
        <v>-237686.2818430769</v>
      </c>
      <c r="W80" s="175">
        <f t="shared" si="10"/>
        <v>-237686.2818430769</v>
      </c>
      <c r="X80" s="175">
        <f t="shared" si="10"/>
        <v>-237686.2818430769</v>
      </c>
      <c r="Y80" s="175">
        <f t="shared" si="10"/>
        <v>-237686.2818430769</v>
      </c>
      <c r="Z80" s="175">
        <f t="shared" si="10"/>
        <v>-237686.2818430769</v>
      </c>
      <c r="AA80" s="175">
        <f t="shared" si="10"/>
        <v>-237686.2818430769</v>
      </c>
      <c r="AB80" s="175">
        <f t="shared" si="10"/>
        <v>-237686.2818430769</v>
      </c>
      <c r="AC80" s="175">
        <f>SUM(AC77:AC79)</f>
        <v>-237686.2818430769</v>
      </c>
      <c r="AD80" s="175">
        <f>SUM(AD77:AD79)</f>
        <v>-237686.2818430769</v>
      </c>
      <c r="AE80" s="175">
        <f>SUM(AE77:AE79)</f>
        <v>-237686.2818430769</v>
      </c>
      <c r="AF80" s="175">
        <f>SUM(AF77:AF79)</f>
        <v>-237686.2818430769</v>
      </c>
      <c r="AG80" s="175">
        <f>SUM(AG77:AG79)</f>
        <v>-237686.2818430769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0</v>
      </c>
      <c r="K82" s="118">
        <f t="shared" si="12"/>
        <v>0</v>
      </c>
      <c r="L82" s="118">
        <f t="shared" si="12"/>
        <v>0</v>
      </c>
      <c r="M82" s="118">
        <f t="shared" si="12"/>
        <v>-79228.760614358966</v>
      </c>
      <c r="N82" s="118">
        <f t="shared" si="12"/>
        <v>-237686.2818430769</v>
      </c>
      <c r="O82" s="118">
        <f t="shared" si="12"/>
        <v>-237686.2818430769</v>
      </c>
      <c r="P82" s="118">
        <f t="shared" si="12"/>
        <v>-237686.2818430769</v>
      </c>
      <c r="Q82" s="118">
        <f t="shared" si="12"/>
        <v>-237686.2818430769</v>
      </c>
      <c r="R82" s="118">
        <f t="shared" si="12"/>
        <v>-237686.2818430769</v>
      </c>
      <c r="S82" s="118">
        <f t="shared" si="12"/>
        <v>-237686.2818430769</v>
      </c>
      <c r="T82" s="118">
        <f t="shared" si="12"/>
        <v>-237686.2818430769</v>
      </c>
      <c r="U82" s="118">
        <f t="shared" si="12"/>
        <v>-237686.2818430769</v>
      </c>
      <c r="V82" s="118">
        <f t="shared" si="12"/>
        <v>-237686.2818430769</v>
      </c>
      <c r="W82" s="118">
        <f t="shared" si="12"/>
        <v>-237686.2818430769</v>
      </c>
      <c r="X82" s="118">
        <f t="shared" si="12"/>
        <v>-237686.2818430769</v>
      </c>
      <c r="Y82" s="118">
        <f t="shared" si="12"/>
        <v>-237686.2818430769</v>
      </c>
      <c r="Z82" s="118">
        <f t="shared" si="12"/>
        <v>-237686.2818430769</v>
      </c>
      <c r="AA82" s="118">
        <f t="shared" si="12"/>
        <v>-237686.2818430769</v>
      </c>
      <c r="AB82" s="118">
        <f t="shared" si="12"/>
        <v>-237686.2818430769</v>
      </c>
      <c r="AC82" s="118">
        <f>AC80</f>
        <v>-237686.2818430769</v>
      </c>
      <c r="AD82" s="118">
        <f>AD80</f>
        <v>-237686.2818430769</v>
      </c>
      <c r="AE82" s="118">
        <f>AE80</f>
        <v>-237686.2818430769</v>
      </c>
      <c r="AF82" s="118">
        <f>AF80</f>
        <v>-237686.2818430769</v>
      </c>
      <c r="AG82" s="118">
        <f>AG80</f>
        <v>-237686.2818430769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0</v>
      </c>
      <c r="M84" s="31">
        <f t="shared" si="14"/>
        <v>0</v>
      </c>
      <c r="N84" s="31">
        <f t="shared" si="14"/>
        <v>627885.51272972301</v>
      </c>
      <c r="O84" s="31">
        <f t="shared" si="14"/>
        <v>708916.01025951677</v>
      </c>
      <c r="P84" s="31">
        <f t="shared" si="14"/>
        <v>826186.49259700906</v>
      </c>
      <c r="Q84" s="31">
        <f t="shared" si="14"/>
        <v>903904.97104109242</v>
      </c>
      <c r="R84" s="31">
        <f t="shared" si="14"/>
        <v>900916.97090848186</v>
      </c>
      <c r="S84" s="31">
        <f t="shared" si="14"/>
        <v>899683.98292634042</v>
      </c>
      <c r="T84" s="31">
        <f t="shared" si="14"/>
        <v>899743.01350092667</v>
      </c>
      <c r="U84" s="31">
        <f t="shared" si="14"/>
        <v>900794.82561303535</v>
      </c>
      <c r="V84" s="31">
        <f t="shared" si="14"/>
        <v>902633.63904977706</v>
      </c>
      <c r="W84" s="31">
        <f t="shared" si="14"/>
        <v>905111.3437699955</v>
      </c>
      <c r="X84" s="31">
        <f t="shared" si="14"/>
        <v>908117.54919463699</v>
      </c>
      <c r="Y84" s="31">
        <f t="shared" si="14"/>
        <v>911567.67418788234</v>
      </c>
      <c r="Z84" s="31">
        <f t="shared" si="14"/>
        <v>915395.44603377872</v>
      </c>
      <c r="AA84" s="31">
        <f t="shared" si="14"/>
        <v>919547.96806404041</v>
      </c>
      <c r="AB84" s="31">
        <f t="shared" si="14"/>
        <v>923982.3590859567</v>
      </c>
      <c r="AC84" s="31">
        <f>AC64</f>
        <v>928663.39453542826</v>
      </c>
      <c r="AD84" s="31">
        <f>AD64</f>
        <v>933561.80828943744</v>
      </c>
      <c r="AE84" s="31">
        <f>AE64</f>
        <v>938433.81203504198</v>
      </c>
      <c r="AF84" s="31">
        <f>AF64</f>
        <v>943479.61471644789</v>
      </c>
      <c r="AG84" s="31">
        <f>AG64</f>
        <v>948681.41916103393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0</v>
      </c>
      <c r="L87" s="178">
        <f t="shared" si="16"/>
        <v>0</v>
      </c>
      <c r="M87" s="178">
        <f t="shared" si="16"/>
        <v>-79228.760614358966</v>
      </c>
      <c r="N87" s="178">
        <f t="shared" si="16"/>
        <v>390199.23088664608</v>
      </c>
      <c r="O87" s="178">
        <f t="shared" si="16"/>
        <v>471229.72841643984</v>
      </c>
      <c r="P87" s="178">
        <f t="shared" si="16"/>
        <v>588500.21075393213</v>
      </c>
      <c r="Q87" s="178">
        <f t="shared" si="16"/>
        <v>666218.68919801549</v>
      </c>
      <c r="R87" s="178">
        <f t="shared" si="16"/>
        <v>663230.68906540493</v>
      </c>
      <c r="S87" s="178">
        <f t="shared" si="16"/>
        <v>661997.7010832635</v>
      </c>
      <c r="T87" s="178">
        <f t="shared" si="16"/>
        <v>662056.73165784974</v>
      </c>
      <c r="U87" s="178">
        <f t="shared" si="16"/>
        <v>663108.54376995843</v>
      </c>
      <c r="V87" s="178">
        <f t="shared" si="16"/>
        <v>664947.35720670014</v>
      </c>
      <c r="W87" s="178">
        <f t="shared" si="16"/>
        <v>667425.06192691857</v>
      </c>
      <c r="X87" s="178">
        <f t="shared" si="16"/>
        <v>670431.26735156006</v>
      </c>
      <c r="Y87" s="178">
        <f t="shared" si="16"/>
        <v>673881.39234480541</v>
      </c>
      <c r="Z87" s="178">
        <f t="shared" si="16"/>
        <v>677709.16419070179</v>
      </c>
      <c r="AA87" s="178">
        <f t="shared" si="16"/>
        <v>681861.68622096349</v>
      </c>
      <c r="AB87" s="178">
        <f t="shared" si="16"/>
        <v>686296.07724287978</v>
      </c>
      <c r="AC87" s="178">
        <f>SUM(AC82:AC86)</f>
        <v>690977.11269235134</v>
      </c>
      <c r="AD87" s="178">
        <f>SUM(AD82:AD86)</f>
        <v>695875.52644636051</v>
      </c>
      <c r="AE87" s="178">
        <f>SUM(AE82:AE86)</f>
        <v>700747.53019196505</v>
      </c>
      <c r="AF87" s="178">
        <f>SUM(AF82:AF86)</f>
        <v>705793.33287337096</v>
      </c>
      <c r="AG87" s="178">
        <f>SUM(AG82:AG86)</f>
        <v>710995.13731795701</v>
      </c>
    </row>
    <row r="88" spans="1:33" x14ac:dyDescent="0.2">
      <c r="A88" s="8"/>
      <c r="B88" s="8"/>
      <c r="C88" s="75"/>
      <c r="D88" s="137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4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0</v>
      </c>
      <c r="M106" s="31">
        <f t="shared" si="17"/>
        <v>-79228.760614358966</v>
      </c>
      <c r="N106" s="31">
        <f t="shared" si="17"/>
        <v>390199.23088664608</v>
      </c>
      <c r="O106" s="31">
        <f t="shared" si="17"/>
        <v>471229.72841643984</v>
      </c>
      <c r="P106" s="31">
        <f t="shared" si="17"/>
        <v>588500.21075393213</v>
      </c>
      <c r="Q106" s="31">
        <f t="shared" si="17"/>
        <v>666218.68919801549</v>
      </c>
      <c r="R106" s="31">
        <f t="shared" si="17"/>
        <v>663230.68906540493</v>
      </c>
      <c r="S106" s="31">
        <f t="shared" si="17"/>
        <v>661997.7010832635</v>
      </c>
      <c r="T106" s="31">
        <f t="shared" si="17"/>
        <v>662056.73165784974</v>
      </c>
      <c r="U106" s="31">
        <f t="shared" si="17"/>
        <v>663108.54376995843</v>
      </c>
      <c r="V106" s="31">
        <f t="shared" si="17"/>
        <v>664947.35720670014</v>
      </c>
      <c r="W106" s="31">
        <f t="shared" si="17"/>
        <v>667425.06192691857</v>
      </c>
      <c r="X106" s="31">
        <f t="shared" si="17"/>
        <v>670431.26735156006</v>
      </c>
      <c r="Y106" s="31">
        <f t="shared" si="17"/>
        <v>673881.39234480541</v>
      </c>
      <c r="Z106" s="31">
        <f t="shared" si="17"/>
        <v>677709.16419070179</v>
      </c>
      <c r="AA106" s="31">
        <f t="shared" si="17"/>
        <v>681861.68622096349</v>
      </c>
      <c r="AB106" s="31">
        <f t="shared" si="17"/>
        <v>686296.07724287978</v>
      </c>
      <c r="AC106" s="31">
        <f t="shared" si="17"/>
        <v>690977.11269235134</v>
      </c>
      <c r="AD106" s="31">
        <f t="shared" si="17"/>
        <v>695875.52644636051</v>
      </c>
      <c r="AE106" s="31">
        <f t="shared" si="17"/>
        <v>700747.53019196505</v>
      </c>
      <c r="AF106" s="31">
        <f t="shared" si="17"/>
        <v>705793.33287337096</v>
      </c>
      <c r="AG106" s="31">
        <f t="shared" si="17"/>
        <v>710995.13731795701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0</v>
      </c>
      <c r="M107" s="31">
        <f t="shared" si="18"/>
        <v>-79228.760614358966</v>
      </c>
      <c r="N107" s="31">
        <f t="shared" si="18"/>
        <v>-237686.2818430769</v>
      </c>
      <c r="O107" s="31">
        <f t="shared" si="18"/>
        <v>-237686.2818430769</v>
      </c>
      <c r="P107" s="31">
        <f t="shared" si="18"/>
        <v>-237686.2818430769</v>
      </c>
      <c r="Q107" s="31">
        <f t="shared" si="18"/>
        <v>-237686.2818430769</v>
      </c>
      <c r="R107" s="31">
        <f t="shared" si="18"/>
        <v>-237686.2818430769</v>
      </c>
      <c r="S107" s="31">
        <f t="shared" si="18"/>
        <v>-237686.2818430769</v>
      </c>
      <c r="T107" s="31">
        <f t="shared" si="18"/>
        <v>-237686.2818430769</v>
      </c>
      <c r="U107" s="31">
        <f t="shared" si="18"/>
        <v>-237686.2818430769</v>
      </c>
      <c r="V107" s="31">
        <f t="shared" si="18"/>
        <v>-237686.2818430769</v>
      </c>
      <c r="W107" s="31">
        <f t="shared" si="18"/>
        <v>-237686.2818430769</v>
      </c>
      <c r="X107" s="31">
        <f t="shared" si="18"/>
        <v>-237686.2818430769</v>
      </c>
      <c r="Y107" s="31">
        <f t="shared" si="18"/>
        <v>-237686.2818430769</v>
      </c>
      <c r="Z107" s="31">
        <f t="shared" si="18"/>
        <v>-237686.2818430769</v>
      </c>
      <c r="AA107" s="31">
        <f t="shared" si="18"/>
        <v>-237686.2818430769</v>
      </c>
      <c r="AB107" s="31">
        <f t="shared" si="18"/>
        <v>-237686.2818430769</v>
      </c>
      <c r="AC107" s="31">
        <f t="shared" si="18"/>
        <v>-237686.2818430769</v>
      </c>
      <c r="AD107" s="31">
        <f t="shared" si="18"/>
        <v>-237686.2818430769</v>
      </c>
      <c r="AE107" s="31">
        <f t="shared" si="18"/>
        <v>-237686.2818430769</v>
      </c>
      <c r="AF107" s="31">
        <f t="shared" si="18"/>
        <v>-237686.2818430769</v>
      </c>
      <c r="AG107" s="31">
        <f t="shared" si="18"/>
        <v>-237686.2818430769</v>
      </c>
    </row>
    <row r="108" spans="1:43" x14ac:dyDescent="0.2">
      <c r="C108" s="1" t="s">
        <v>241</v>
      </c>
      <c r="D108" s="251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0</v>
      </c>
      <c r="N108" s="31">
        <f t="shared" si="19"/>
        <v>627885.51272972301</v>
      </c>
      <c r="O108" s="31">
        <f t="shared" si="19"/>
        <v>708916.01025951677</v>
      </c>
      <c r="P108" s="31">
        <f t="shared" si="19"/>
        <v>826186.49259700906</v>
      </c>
      <c r="Q108" s="31">
        <f t="shared" si="19"/>
        <v>903904.97104109242</v>
      </c>
      <c r="R108" s="31">
        <f t="shared" si="19"/>
        <v>900916.97090848186</v>
      </c>
      <c r="S108" s="31">
        <f t="shared" si="19"/>
        <v>899683.98292634042</v>
      </c>
      <c r="T108" s="31">
        <f t="shared" si="19"/>
        <v>899743.01350092667</v>
      </c>
      <c r="U108" s="31">
        <f t="shared" si="19"/>
        <v>900794.82561303535</v>
      </c>
      <c r="V108" s="31">
        <f t="shared" si="19"/>
        <v>902633.63904977706</v>
      </c>
      <c r="W108" s="31">
        <f t="shared" si="19"/>
        <v>905111.3437699955</v>
      </c>
      <c r="X108" s="31">
        <f t="shared" si="19"/>
        <v>908117.54919463699</v>
      </c>
      <c r="Y108" s="31">
        <f t="shared" si="19"/>
        <v>911567.67418788234</v>
      </c>
      <c r="Z108" s="31">
        <f t="shared" si="19"/>
        <v>915395.44603377872</v>
      </c>
      <c r="AA108" s="31">
        <f t="shared" si="19"/>
        <v>919547.96806404041</v>
      </c>
      <c r="AB108" s="31">
        <f t="shared" si="19"/>
        <v>923982.3590859567</v>
      </c>
      <c r="AC108" s="31">
        <f t="shared" si="19"/>
        <v>928663.39453542826</v>
      </c>
      <c r="AD108" s="31">
        <f t="shared" si="19"/>
        <v>933561.80828943744</v>
      </c>
      <c r="AE108" s="31">
        <f t="shared" si="19"/>
        <v>938433.81203504198</v>
      </c>
      <c r="AF108" s="31">
        <f t="shared" si="19"/>
        <v>943479.61471644789</v>
      </c>
      <c r="AG108" s="31">
        <f t="shared" si="19"/>
        <v>948681.41916103393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-87151.636675794856</v>
      </c>
      <c r="N110" s="31" cm="1">
        <f t="array" ref="N110">N$106+IF($C110&lt;&gt;0,SUMPRODUCT((N$107:N$108)*TRANSPOSE(($D110:$E110))),0)</f>
        <v>366430.60270233836</v>
      </c>
      <c r="O110" s="31" cm="1">
        <f t="array" ref="O110">O$106+IF($C110&lt;&gt;0,SUMPRODUCT((O$107:O$108)*TRANSPOSE(($D110:$E110))),0)</f>
        <v>447461.10023213213</v>
      </c>
      <c r="P110" s="31" cm="1">
        <f t="array" ref="P110">P$106+IF($C110&lt;&gt;0,SUMPRODUCT((P$107:P$108)*TRANSPOSE(($D110:$E110))),0)</f>
        <v>564731.58256962441</v>
      </c>
      <c r="Q110" s="31" cm="1">
        <f t="array" ref="Q110">Q$106+IF($C110&lt;&gt;0,SUMPRODUCT((Q$107:Q$108)*TRANSPOSE(($D110:$E110))),0)</f>
        <v>642450.06101370777</v>
      </c>
      <c r="R110" s="31" cm="1">
        <f t="array" ref="R110">R$106+IF($C110&lt;&gt;0,SUMPRODUCT((R$107:R$108)*TRANSPOSE(($D110:$E110))),0)</f>
        <v>639462.06088109722</v>
      </c>
      <c r="S110" s="31" cm="1">
        <f t="array" ref="S110">S$106+IF($C110&lt;&gt;0,SUMPRODUCT((S$107:S$108)*TRANSPOSE(($D110:$E110))),0)</f>
        <v>638229.07289895578</v>
      </c>
      <c r="T110" s="31" cm="1">
        <f t="array" ref="T110">T$106+IF($C110&lt;&gt;0,SUMPRODUCT((T$107:T$108)*TRANSPOSE(($D110:$E110))),0)</f>
        <v>638288.10347354203</v>
      </c>
      <c r="U110" s="31" cm="1">
        <f t="array" ref="U110">U$106+IF($C110&lt;&gt;0,SUMPRODUCT((U$107:U$108)*TRANSPOSE(($D110:$E110))),0)</f>
        <v>639339.91558565071</v>
      </c>
      <c r="V110" s="31" cm="1">
        <f t="array" ref="V110">V$106+IF($C110&lt;&gt;0,SUMPRODUCT((V$107:V$108)*TRANSPOSE(($D110:$E110))),0)</f>
        <v>641178.72902239242</v>
      </c>
      <c r="W110" s="31" cm="1">
        <f t="array" ref="W110">W$106+IF($C110&lt;&gt;0,SUMPRODUCT((W$107:W$108)*TRANSPOSE(($D110:$E110))),0)</f>
        <v>643656.43374261085</v>
      </c>
      <c r="X110" s="31" cm="1">
        <f t="array" ref="X110">X$106+IF($C110&lt;&gt;0,SUMPRODUCT((X$107:X$108)*TRANSPOSE(($D110:$E110))),0)</f>
        <v>646662.63916725235</v>
      </c>
      <c r="Y110" s="31" cm="1">
        <f t="array" ref="Y110">Y$106+IF($C110&lt;&gt;0,SUMPRODUCT((Y$107:Y$108)*TRANSPOSE(($D110:$E110))),0)</f>
        <v>650112.7641604977</v>
      </c>
      <c r="Z110" s="31" cm="1">
        <f t="array" ref="Z110">Z$106+IF($C110&lt;&gt;0,SUMPRODUCT((Z$107:Z$108)*TRANSPOSE(($D110:$E110))),0)</f>
        <v>653940.53600639408</v>
      </c>
      <c r="AA110" s="31" cm="1">
        <f t="array" ref="AA110">AA$106+IF($C110&lt;&gt;0,SUMPRODUCT((AA$107:AA$108)*TRANSPOSE(($D110:$E110))),0)</f>
        <v>658093.05803665577</v>
      </c>
      <c r="AB110" s="31" cm="1">
        <f t="array" ref="AB110">AB$106+IF($C110&lt;&gt;0,SUMPRODUCT((AB$107:AB$108)*TRANSPOSE(($D110:$E110))),0)</f>
        <v>662527.44905857206</v>
      </c>
      <c r="AC110" s="31" cm="1">
        <f t="array" ref="AC110">AC$106+IF($C110&lt;&gt;0,SUMPRODUCT((AC$107:AC$108)*TRANSPOSE(($D110:$E110))),0)</f>
        <v>667208.48450804362</v>
      </c>
      <c r="AD110" s="31" cm="1">
        <f t="array" ref="AD110">AD$106+IF($C110&lt;&gt;0,SUMPRODUCT((AD$107:AD$108)*TRANSPOSE(($D110:$E110))),0)</f>
        <v>672106.8982620528</v>
      </c>
      <c r="AE110" s="31" cm="1">
        <f t="array" ref="AE110">AE$106+IF($C110&lt;&gt;0,SUMPRODUCT((AE$107:AE$108)*TRANSPOSE(($D110:$E110))),0)</f>
        <v>676978.90200765734</v>
      </c>
      <c r="AF110" s="31" cm="1">
        <f t="array" ref="AF110">AF$106+IF($C110&lt;&gt;0,SUMPRODUCT((AF$107:AF$108)*TRANSPOSE(($D110:$E110))),0)</f>
        <v>682024.70468906325</v>
      </c>
      <c r="AG110" s="31" cm="1">
        <f t="array" ref="AG110">AG$106+IF($C110&lt;&gt;0,SUMPRODUCT((AG$107:AG$108)*TRANSPOSE(($D110:$E110))),0)</f>
        <v>687226.50913364929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-71305.884552923075</v>
      </c>
      <c r="N111" s="31" cm="1">
        <f t="array" ref="N111">N$106+IF($C111&lt;&gt;0,SUMPRODUCT((N$107:N$108)*TRANSPOSE(($D111:$E111))),0)</f>
        <v>413967.8590709538</v>
      </c>
      <c r="O111" s="31" cm="1">
        <f t="array" ref="O111">O$106+IF($C111&lt;&gt;0,SUMPRODUCT((O$107:O$108)*TRANSPOSE(($D111:$E111))),0)</f>
        <v>494998.35660074756</v>
      </c>
      <c r="P111" s="31" cm="1">
        <f t="array" ref="P111">P$106+IF($C111&lt;&gt;0,SUMPRODUCT((P$107:P$108)*TRANSPOSE(($D111:$E111))),0)</f>
        <v>612268.83893823985</v>
      </c>
      <c r="Q111" s="31" cm="1">
        <f t="array" ref="Q111">Q$106+IF($C111&lt;&gt;0,SUMPRODUCT((Q$107:Q$108)*TRANSPOSE(($D111:$E111))),0)</f>
        <v>689987.31738232321</v>
      </c>
      <c r="R111" s="31" cm="1">
        <f t="array" ref="R111">R$106+IF($C111&lt;&gt;0,SUMPRODUCT((R$107:R$108)*TRANSPOSE(($D111:$E111))),0)</f>
        <v>686999.31724971265</v>
      </c>
      <c r="S111" s="31" cm="1">
        <f t="array" ref="S111">S$106+IF($C111&lt;&gt;0,SUMPRODUCT((S$107:S$108)*TRANSPOSE(($D111:$E111))),0)</f>
        <v>685766.32926757121</v>
      </c>
      <c r="T111" s="31" cm="1">
        <f t="array" ref="T111">T$106+IF($C111&lt;&gt;0,SUMPRODUCT((T$107:T$108)*TRANSPOSE(($D111:$E111))),0)</f>
        <v>685825.35984215746</v>
      </c>
      <c r="U111" s="31" cm="1">
        <f t="array" ref="U111">U$106+IF($C111&lt;&gt;0,SUMPRODUCT((U$107:U$108)*TRANSPOSE(($D111:$E111))),0)</f>
        <v>686877.17195426614</v>
      </c>
      <c r="V111" s="31" cm="1">
        <f t="array" ref="V111">V$106+IF($C111&lt;&gt;0,SUMPRODUCT((V$107:V$108)*TRANSPOSE(($D111:$E111))),0)</f>
        <v>688715.98539100785</v>
      </c>
      <c r="W111" s="31" cm="1">
        <f t="array" ref="W111">W$106+IF($C111&lt;&gt;0,SUMPRODUCT((W$107:W$108)*TRANSPOSE(($D111:$E111))),0)</f>
        <v>691193.69011122629</v>
      </c>
      <c r="X111" s="31" cm="1">
        <f t="array" ref="X111">X$106+IF($C111&lt;&gt;0,SUMPRODUCT((X$107:X$108)*TRANSPOSE(($D111:$E111))),0)</f>
        <v>694199.89553586778</v>
      </c>
      <c r="Y111" s="31" cm="1">
        <f t="array" ref="Y111">Y$106+IF($C111&lt;&gt;0,SUMPRODUCT((Y$107:Y$108)*TRANSPOSE(($D111:$E111))),0)</f>
        <v>697650.02052911313</v>
      </c>
      <c r="Z111" s="31" cm="1">
        <f t="array" ref="Z111">Z$106+IF($C111&lt;&gt;0,SUMPRODUCT((Z$107:Z$108)*TRANSPOSE(($D111:$E111))),0)</f>
        <v>701477.79237500951</v>
      </c>
      <c r="AA111" s="31" cm="1">
        <f t="array" ref="AA111">AA$106+IF($C111&lt;&gt;0,SUMPRODUCT((AA$107:AA$108)*TRANSPOSE(($D111:$E111))),0)</f>
        <v>705630.3144052712</v>
      </c>
      <c r="AB111" s="31" cm="1">
        <f t="array" ref="AB111">AB$106+IF($C111&lt;&gt;0,SUMPRODUCT((AB$107:AB$108)*TRANSPOSE(($D111:$E111))),0)</f>
        <v>710064.70542718749</v>
      </c>
      <c r="AC111" s="31" cm="1">
        <f t="array" ref="AC111">AC$106+IF($C111&lt;&gt;0,SUMPRODUCT((AC$107:AC$108)*TRANSPOSE(($D111:$E111))),0)</f>
        <v>714745.74087665905</v>
      </c>
      <c r="AD111" s="31" cm="1">
        <f t="array" ref="AD111">AD$106+IF($C111&lt;&gt;0,SUMPRODUCT((AD$107:AD$108)*TRANSPOSE(($D111:$E111))),0)</f>
        <v>719644.15463066823</v>
      </c>
      <c r="AE111" s="31" cm="1">
        <f t="array" ref="AE111">AE$106+IF($C111&lt;&gt;0,SUMPRODUCT((AE$107:AE$108)*TRANSPOSE(($D111:$E111))),0)</f>
        <v>724516.15837627277</v>
      </c>
      <c r="AF111" s="31" cm="1">
        <f t="array" ref="AF111">AF$106+IF($C111&lt;&gt;0,SUMPRODUCT((AF$107:AF$108)*TRANSPOSE(($D111:$E111))),0)</f>
        <v>729561.96105767868</v>
      </c>
      <c r="AG111" s="31" cm="1">
        <f t="array" ref="AG111">AG$106+IF($C111&lt;&gt;0,SUMPRODUCT((AG$107:AG$108)*TRANSPOSE(($D111:$E111))),0)</f>
        <v>734763.76550226472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-79228.760614358966</v>
      </c>
      <c r="N112" s="31" cm="1">
        <f t="array" ref="N112">N$106+IF($C112&lt;&gt;0,SUMPRODUCT((N$107:N$108)*TRANSPOSE(($D112:$E112))),0)</f>
        <v>452987.78215961839</v>
      </c>
      <c r="O112" s="31" cm="1">
        <f t="array" ref="O112">O$106+IF($C112&lt;&gt;0,SUMPRODUCT((O$107:O$108)*TRANSPOSE(($D112:$E112))),0)</f>
        <v>542121.32944239152</v>
      </c>
      <c r="P112" s="31" cm="1">
        <f t="array" ref="P112">P$106+IF($C112&lt;&gt;0,SUMPRODUCT((P$107:P$108)*TRANSPOSE(($D112:$E112))),0)</f>
        <v>671118.86001363304</v>
      </c>
      <c r="Q112" s="31" cm="1">
        <f t="array" ref="Q112">Q$106+IF($C112&lt;&gt;0,SUMPRODUCT((Q$107:Q$108)*TRANSPOSE(($D112:$E112))),0)</f>
        <v>756609.18630212476</v>
      </c>
      <c r="R112" s="31" cm="1">
        <f t="array" ref="R112">R$106+IF($C112&lt;&gt;0,SUMPRODUCT((R$107:R$108)*TRANSPOSE(($D112:$E112))),0)</f>
        <v>753322.38615625317</v>
      </c>
      <c r="S112" s="31" cm="1">
        <f t="array" ref="S112">S$106+IF($C112&lt;&gt;0,SUMPRODUCT((S$107:S$108)*TRANSPOSE(($D112:$E112))),0)</f>
        <v>751966.09937589755</v>
      </c>
      <c r="T112" s="31" cm="1">
        <f t="array" ref="T112">T$106+IF($C112&lt;&gt;0,SUMPRODUCT((T$107:T$108)*TRANSPOSE(($D112:$E112))),0)</f>
        <v>752031.03300794237</v>
      </c>
      <c r="U112" s="31" cm="1">
        <f t="array" ref="U112">U$106+IF($C112&lt;&gt;0,SUMPRODUCT((U$107:U$108)*TRANSPOSE(($D112:$E112))),0)</f>
        <v>753188.02633126196</v>
      </c>
      <c r="V112" s="31" cm="1">
        <f t="array" ref="V112">V$106+IF($C112&lt;&gt;0,SUMPRODUCT((V$107:V$108)*TRANSPOSE(($D112:$E112))),0)</f>
        <v>755210.72111167782</v>
      </c>
      <c r="W112" s="31" cm="1">
        <f t="array" ref="W112">W$106+IF($C112&lt;&gt;0,SUMPRODUCT((W$107:W$108)*TRANSPOSE(($D112:$E112))),0)</f>
        <v>757936.19630391814</v>
      </c>
      <c r="X112" s="31" cm="1">
        <f t="array" ref="X112">X$106+IF($C112&lt;&gt;0,SUMPRODUCT((X$107:X$108)*TRANSPOSE(($D112:$E112))),0)</f>
        <v>761243.02227102383</v>
      </c>
      <c r="Y112" s="31" cm="1">
        <f t="array" ref="Y112">Y$106+IF($C112&lt;&gt;0,SUMPRODUCT((Y$107:Y$108)*TRANSPOSE(($D112:$E112))),0)</f>
        <v>765038.15976359369</v>
      </c>
      <c r="Z112" s="31" cm="1">
        <f t="array" ref="Z112">Z$106+IF($C112&lt;&gt;0,SUMPRODUCT((Z$107:Z$108)*TRANSPOSE(($D112:$E112))),0)</f>
        <v>769248.70879407972</v>
      </c>
      <c r="AA112" s="31" cm="1">
        <f t="array" ref="AA112">AA$106+IF($C112&lt;&gt;0,SUMPRODUCT((AA$107:AA$108)*TRANSPOSE(($D112:$E112))),0)</f>
        <v>773816.4830273675</v>
      </c>
      <c r="AB112" s="31" cm="1">
        <f t="array" ref="AB112">AB$106+IF($C112&lt;&gt;0,SUMPRODUCT((AB$107:AB$108)*TRANSPOSE(($D112:$E112))),0)</f>
        <v>778694.31315147551</v>
      </c>
      <c r="AC112" s="31" cm="1">
        <f t="array" ref="AC112">AC$106+IF($C112&lt;&gt;0,SUMPRODUCT((AC$107:AC$108)*TRANSPOSE(($D112:$E112))),0)</f>
        <v>783843.45214589417</v>
      </c>
      <c r="AD112" s="31" cm="1">
        <f t="array" ref="AD112">AD$106+IF($C112&lt;&gt;0,SUMPRODUCT((AD$107:AD$108)*TRANSPOSE(($D112:$E112))),0)</f>
        <v>789231.70727530424</v>
      </c>
      <c r="AE112" s="31" cm="1">
        <f t="array" ref="AE112">AE$106+IF($C112&lt;&gt;0,SUMPRODUCT((AE$107:AE$108)*TRANSPOSE(($D112:$E112))),0)</f>
        <v>794590.91139546921</v>
      </c>
      <c r="AF112" s="31" cm="1">
        <f t="array" ref="AF112">AF$106+IF($C112&lt;&gt;0,SUMPRODUCT((AF$107:AF$108)*TRANSPOSE(($D112:$E112))),0)</f>
        <v>800141.29434501578</v>
      </c>
      <c r="AG112" s="31" cm="1">
        <f t="array" ref="AG112">AG$106+IF($C112&lt;&gt;0,SUMPRODUCT((AG$107:AG$108)*TRANSPOSE(($D112:$E112))),0)</f>
        <v>805863.27923406044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-79228.760614358966</v>
      </c>
      <c r="N113" s="31" cm="1">
        <f t="array" ref="N113">N$106+IF($C113&lt;&gt;0,SUMPRODUCT((N$107:N$108)*TRANSPOSE(($D113:$E113))),0)</f>
        <v>327410.67961367377</v>
      </c>
      <c r="O113" s="31" cm="1">
        <f t="array" ref="O113">O$106+IF($C113&lt;&gt;0,SUMPRODUCT((O$107:O$108)*TRANSPOSE(($D113:$E113))),0)</f>
        <v>400338.12739048817</v>
      </c>
      <c r="P113" s="31" cm="1">
        <f t="array" ref="P113">P$106+IF($C113&lt;&gt;0,SUMPRODUCT((P$107:P$108)*TRANSPOSE(($D113:$E113))),0)</f>
        <v>505881.56149423122</v>
      </c>
      <c r="Q113" s="31" cm="1">
        <f t="array" ref="Q113">Q$106+IF($C113&lt;&gt;0,SUMPRODUCT((Q$107:Q$108)*TRANSPOSE(($D113:$E113))),0)</f>
        <v>575828.19209390623</v>
      </c>
      <c r="R113" s="31" cm="1">
        <f t="array" ref="R113">R$106+IF($C113&lt;&gt;0,SUMPRODUCT((R$107:R$108)*TRANSPOSE(($D113:$E113))),0)</f>
        <v>573138.9919745567</v>
      </c>
      <c r="S113" s="31" cm="1">
        <f t="array" ref="S113">S$106+IF($C113&lt;&gt;0,SUMPRODUCT((S$107:S$108)*TRANSPOSE(($D113:$E113))),0)</f>
        <v>572029.30279062944</v>
      </c>
      <c r="T113" s="31" cm="1">
        <f t="array" ref="T113">T$106+IF($C113&lt;&gt;0,SUMPRODUCT((T$107:T$108)*TRANSPOSE(($D113:$E113))),0)</f>
        <v>572082.43030775711</v>
      </c>
      <c r="U113" s="31" cm="1">
        <f t="array" ref="U113">U$106+IF($C113&lt;&gt;0,SUMPRODUCT((U$107:U$108)*TRANSPOSE(($D113:$E113))),0)</f>
        <v>573029.06120865489</v>
      </c>
      <c r="V113" s="31" cm="1">
        <f t="array" ref="V113">V$106+IF($C113&lt;&gt;0,SUMPRODUCT((V$107:V$108)*TRANSPOSE(($D113:$E113))),0)</f>
        <v>574683.99330172245</v>
      </c>
      <c r="W113" s="31" cm="1">
        <f t="array" ref="W113">W$106+IF($C113&lt;&gt;0,SUMPRODUCT((W$107:W$108)*TRANSPOSE(($D113:$E113))),0)</f>
        <v>576913.927549919</v>
      </c>
      <c r="X113" s="31" cm="1">
        <f t="array" ref="X113">X$106+IF($C113&lt;&gt;0,SUMPRODUCT((X$107:X$108)*TRANSPOSE(($D113:$E113))),0)</f>
        <v>579619.51243209629</v>
      </c>
      <c r="Y113" s="31" cm="1">
        <f t="array" ref="Y113">Y$106+IF($C113&lt;&gt;0,SUMPRODUCT((Y$107:Y$108)*TRANSPOSE(($D113:$E113))),0)</f>
        <v>582724.62492601713</v>
      </c>
      <c r="Z113" s="31" cm="1">
        <f t="array" ref="Z113">Z$106+IF($C113&lt;&gt;0,SUMPRODUCT((Z$107:Z$108)*TRANSPOSE(($D113:$E113))),0)</f>
        <v>586169.61958732386</v>
      </c>
      <c r="AA113" s="31" cm="1">
        <f t="array" ref="AA113">AA$106+IF($C113&lt;&gt;0,SUMPRODUCT((AA$107:AA$108)*TRANSPOSE(($D113:$E113))),0)</f>
        <v>589906.88941455947</v>
      </c>
      <c r="AB113" s="31" cm="1">
        <f t="array" ref="AB113">AB$106+IF($C113&lt;&gt;0,SUMPRODUCT((AB$107:AB$108)*TRANSPOSE(($D113:$E113))),0)</f>
        <v>593897.84133428405</v>
      </c>
      <c r="AC113" s="31" cm="1">
        <f t="array" ref="AC113">AC$106+IF($C113&lt;&gt;0,SUMPRODUCT((AC$107:AC$108)*TRANSPOSE(($D113:$E113))),0)</f>
        <v>598110.7732388085</v>
      </c>
      <c r="AD113" s="31" cm="1">
        <f t="array" ref="AD113">AD$106+IF($C113&lt;&gt;0,SUMPRODUCT((AD$107:AD$108)*TRANSPOSE(($D113:$E113))),0)</f>
        <v>602519.34561741678</v>
      </c>
      <c r="AE113" s="31" cm="1">
        <f t="array" ref="AE113">AE$106+IF($C113&lt;&gt;0,SUMPRODUCT((AE$107:AE$108)*TRANSPOSE(($D113:$E113))),0)</f>
        <v>606904.14898846089</v>
      </c>
      <c r="AF113" s="31" cm="1">
        <f t="array" ref="AF113">AF$106+IF($C113&lt;&gt;0,SUMPRODUCT((AF$107:AF$108)*TRANSPOSE(($D113:$E113))),0)</f>
        <v>611445.37140172615</v>
      </c>
      <c r="AG113" s="31" cm="1">
        <f t="array" ref="AG113">AG$106+IF($C113&lt;&gt;0,SUMPRODUCT((AG$107:AG$108)*TRANSPOSE(($D113:$E113))),0)</f>
        <v>616126.99540185358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-87151.636675794856</v>
      </c>
      <c r="N114" s="31" cm="1">
        <f t="array" ref="N114">N$106+IF($C114&lt;&gt;0,SUMPRODUCT((N$107:N$108)*TRANSPOSE(($D114:$E114))),0)</f>
        <v>303642.05142936611</v>
      </c>
      <c r="O114" s="31" cm="1">
        <f t="array" ref="O114">O$106+IF($C114&lt;&gt;0,SUMPRODUCT((O$107:O$108)*TRANSPOSE(($D114:$E114))),0)</f>
        <v>376569.49920618045</v>
      </c>
      <c r="P114" s="31" cm="1">
        <f t="array" ref="P114">P$106+IF($C114&lt;&gt;0,SUMPRODUCT((P$107:P$108)*TRANSPOSE(($D114:$E114))),0)</f>
        <v>482112.93330992351</v>
      </c>
      <c r="Q114" s="31" cm="1">
        <f t="array" ref="Q114">Q$106+IF($C114&lt;&gt;0,SUMPRODUCT((Q$107:Q$108)*TRANSPOSE(($D114:$E114))),0)</f>
        <v>552059.56390959851</v>
      </c>
      <c r="R114" s="31" cm="1">
        <f t="array" ref="R114">R$106+IF($C114&lt;&gt;0,SUMPRODUCT((R$107:R$108)*TRANSPOSE(($D114:$E114))),0)</f>
        <v>549370.3637902491</v>
      </c>
      <c r="S114" s="31" cm="1">
        <f t="array" ref="S114">S$106+IF($C114&lt;&gt;0,SUMPRODUCT((S$107:S$108)*TRANSPOSE(($D114:$E114))),0)</f>
        <v>548260.67460632173</v>
      </c>
      <c r="T114" s="31" cm="1">
        <f t="array" ref="T114">T$106+IF($C114&lt;&gt;0,SUMPRODUCT((T$107:T$108)*TRANSPOSE(($D114:$E114))),0)</f>
        <v>548313.80212344939</v>
      </c>
      <c r="U114" s="31" cm="1">
        <f t="array" ref="U114">U$106+IF($C114&lt;&gt;0,SUMPRODUCT((U$107:U$108)*TRANSPOSE(($D114:$E114))),0)</f>
        <v>549260.43302434718</v>
      </c>
      <c r="V114" s="31" cm="1">
        <f t="array" ref="V114">V$106+IF($C114&lt;&gt;0,SUMPRODUCT((V$107:V$108)*TRANSPOSE(($D114:$E114))),0)</f>
        <v>550915.36511741474</v>
      </c>
      <c r="W114" s="31" cm="1">
        <f t="array" ref="W114">W$106+IF($C114&lt;&gt;0,SUMPRODUCT((W$107:W$108)*TRANSPOSE(($D114:$E114))),0)</f>
        <v>553145.29936561128</v>
      </c>
      <c r="X114" s="31" cm="1">
        <f t="array" ref="X114">X$106+IF($C114&lt;&gt;0,SUMPRODUCT((X$107:X$108)*TRANSPOSE(($D114:$E114))),0)</f>
        <v>555850.88424778869</v>
      </c>
      <c r="Y114" s="31" cm="1">
        <f t="array" ref="Y114">Y$106+IF($C114&lt;&gt;0,SUMPRODUCT((Y$107:Y$108)*TRANSPOSE(($D114:$E114))),0)</f>
        <v>558955.99674170953</v>
      </c>
      <c r="Z114" s="31" cm="1">
        <f t="array" ref="Z114">Z$106+IF($C114&lt;&gt;0,SUMPRODUCT((Z$107:Z$108)*TRANSPOSE(($D114:$E114))),0)</f>
        <v>562400.99140301626</v>
      </c>
      <c r="AA114" s="31" cm="1">
        <f t="array" ref="AA114">AA$106+IF($C114&lt;&gt;0,SUMPRODUCT((AA$107:AA$108)*TRANSPOSE(($D114:$E114))),0)</f>
        <v>566138.26123025175</v>
      </c>
      <c r="AB114" s="31" cm="1">
        <f t="array" ref="AB114">AB$106+IF($C114&lt;&gt;0,SUMPRODUCT((AB$107:AB$108)*TRANSPOSE(($D114:$E114))),0)</f>
        <v>570129.21314997645</v>
      </c>
      <c r="AC114" s="31" cm="1">
        <f t="array" ref="AC114">AC$106+IF($C114&lt;&gt;0,SUMPRODUCT((AC$107:AC$108)*TRANSPOSE(($D114:$E114))),0)</f>
        <v>574342.14505450078</v>
      </c>
      <c r="AD114" s="31" cm="1">
        <f t="array" ref="AD114">AD$106+IF($C114&lt;&gt;0,SUMPRODUCT((AD$107:AD$108)*TRANSPOSE(($D114:$E114))),0)</f>
        <v>578750.71743310906</v>
      </c>
      <c r="AE114" s="31" cm="1">
        <f t="array" ref="AE114">AE$106+IF($C114&lt;&gt;0,SUMPRODUCT((AE$107:AE$108)*TRANSPOSE(($D114:$E114))),0)</f>
        <v>583135.52080415317</v>
      </c>
      <c r="AF114" s="31" cm="1">
        <f t="array" ref="AF114">AF$106+IF($C114&lt;&gt;0,SUMPRODUCT((AF$107:AF$108)*TRANSPOSE(($D114:$E114))),0)</f>
        <v>587676.74321741844</v>
      </c>
      <c r="AG114" s="31" cm="1">
        <f t="array" ref="AG114">AG$106+IF($C114&lt;&gt;0,SUMPRODUCT((AG$107:AG$108)*TRANSPOSE(($D114:$E114))),0)</f>
        <v>592358.36721754586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-79228.760614358966</v>
      </c>
      <c r="N115" s="31" cm="1">
        <f t="array" ref="N115">N$106+IF($C115&lt;&gt;0,SUMPRODUCT((N$107:N$108)*TRANSPOSE(($D115:$E115))),0)</f>
        <v>390199.23088664608</v>
      </c>
      <c r="O115" s="31" cm="1">
        <f t="array" ref="O115">O$106+IF($C115&lt;&gt;0,SUMPRODUCT((O$107:O$108)*TRANSPOSE(($D115:$E115))),0)</f>
        <v>471229.72841643984</v>
      </c>
      <c r="P115" s="31" cm="1">
        <f t="array" ref="P115">P$106+IF($C115&lt;&gt;0,SUMPRODUCT((P$107:P$108)*TRANSPOSE(($D115:$E115))),0)</f>
        <v>588500.21075393213</v>
      </c>
      <c r="Q115" s="31" cm="1">
        <f t="array" ref="Q115">Q$106+IF($C115&lt;&gt;0,SUMPRODUCT((Q$107:Q$108)*TRANSPOSE(($D115:$E115))),0)</f>
        <v>666218.68919801549</v>
      </c>
      <c r="R115" s="31" cm="1">
        <f t="array" ref="R115">R$106+IF($C115&lt;&gt;0,SUMPRODUCT((R$107:R$108)*TRANSPOSE(($D115:$E115))),0)</f>
        <v>663230.68906540493</v>
      </c>
      <c r="S115" s="31" cm="1">
        <f t="array" ref="S115">S$106+IF($C115&lt;&gt;0,SUMPRODUCT((S$107:S$108)*TRANSPOSE(($D115:$E115))),0)</f>
        <v>661997.7010832635</v>
      </c>
      <c r="T115" s="31" cm="1">
        <f t="array" ref="T115">T$106+IF($C115&lt;&gt;0,SUMPRODUCT((T$107:T$108)*TRANSPOSE(($D115:$E115))),0)</f>
        <v>662056.73165784974</v>
      </c>
      <c r="U115" s="31" cm="1">
        <f t="array" ref="U115">U$106+IF($C115&lt;&gt;0,SUMPRODUCT((U$107:U$108)*TRANSPOSE(($D115:$E115))),0)</f>
        <v>663108.54376995843</v>
      </c>
      <c r="V115" s="31" cm="1">
        <f t="array" ref="V115">V$106+IF($C115&lt;&gt;0,SUMPRODUCT((V$107:V$108)*TRANSPOSE(($D115:$E115))),0)</f>
        <v>664947.35720670014</v>
      </c>
      <c r="W115" s="31" cm="1">
        <f t="array" ref="W115">W$106+IF($C115&lt;&gt;0,SUMPRODUCT((W$107:W$108)*TRANSPOSE(($D115:$E115))),0)</f>
        <v>667425.06192691857</v>
      </c>
      <c r="X115" s="31" cm="1">
        <f t="array" ref="X115">X$106+IF($C115&lt;&gt;0,SUMPRODUCT((X$107:X$108)*TRANSPOSE(($D115:$E115))),0)</f>
        <v>670431.26735156006</v>
      </c>
      <c r="Y115" s="31" cm="1">
        <f t="array" ref="Y115">Y$106+IF($C115&lt;&gt;0,SUMPRODUCT((Y$107:Y$108)*TRANSPOSE(($D115:$E115))),0)</f>
        <v>673881.39234480541</v>
      </c>
      <c r="Z115" s="31" cm="1">
        <f t="array" ref="Z115">Z$106+IF($C115&lt;&gt;0,SUMPRODUCT((Z$107:Z$108)*TRANSPOSE(($D115:$E115))),0)</f>
        <v>677709.16419070179</v>
      </c>
      <c r="AA115" s="31" cm="1">
        <f t="array" ref="AA115">AA$106+IF($C115&lt;&gt;0,SUMPRODUCT((AA$107:AA$108)*TRANSPOSE(($D115:$E115))),0)</f>
        <v>681861.68622096349</v>
      </c>
      <c r="AB115" s="31" cm="1">
        <f t="array" ref="AB115">AB$106+IF($C115&lt;&gt;0,SUMPRODUCT((AB$107:AB$108)*TRANSPOSE(($D115:$E115))),0)</f>
        <v>686296.07724287978</v>
      </c>
      <c r="AC115" s="31" cm="1">
        <f t="array" ref="AC115">AC$106+IF($C115&lt;&gt;0,SUMPRODUCT((AC$107:AC$108)*TRANSPOSE(($D115:$E115))),0)</f>
        <v>690977.11269235134</v>
      </c>
      <c r="AD115" s="31" cm="1">
        <f t="array" ref="AD115">AD$106+IF($C115&lt;&gt;0,SUMPRODUCT((AD$107:AD$108)*TRANSPOSE(($D115:$E115))),0)</f>
        <v>695875.52644636051</v>
      </c>
      <c r="AE115" s="31" cm="1">
        <f t="array" ref="AE115">AE$106+IF($C115&lt;&gt;0,SUMPRODUCT((AE$107:AE$108)*TRANSPOSE(($D115:$E115))),0)</f>
        <v>700747.53019196505</v>
      </c>
      <c r="AF115" s="31" cm="1">
        <f t="array" ref="AF115">AF$106+IF($C115&lt;&gt;0,SUMPRODUCT((AF$107:AF$108)*TRANSPOSE(($D115:$E115))),0)</f>
        <v>705793.33287337096</v>
      </c>
      <c r="AG115" s="31" cm="1">
        <f t="array" ref="AG115">AG$106+IF($C115&lt;&gt;0,SUMPRODUCT((AG$107:AG$108)*TRANSPOSE(($D115:$E115))),0)</f>
        <v>710995.13731795701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-79228.760614358966</v>
      </c>
      <c r="N116" s="31" cm="1">
        <f t="array" ref="N116">N$106+IF($C116&lt;&gt;0,SUMPRODUCT((N$107:N$108)*TRANSPOSE(($D116:$E116))),0)</f>
        <v>390199.23088664608</v>
      </c>
      <c r="O116" s="31" cm="1">
        <f t="array" ref="O116">O$106+IF($C116&lt;&gt;0,SUMPRODUCT((O$107:O$108)*TRANSPOSE(($D116:$E116))),0)</f>
        <v>471229.72841643984</v>
      </c>
      <c r="P116" s="31" cm="1">
        <f t="array" ref="P116">P$106+IF($C116&lt;&gt;0,SUMPRODUCT((P$107:P$108)*TRANSPOSE(($D116:$E116))),0)</f>
        <v>588500.21075393213</v>
      </c>
      <c r="Q116" s="31" cm="1">
        <f t="array" ref="Q116">Q$106+IF($C116&lt;&gt;0,SUMPRODUCT((Q$107:Q$108)*TRANSPOSE(($D116:$E116))),0)</f>
        <v>666218.68919801549</v>
      </c>
      <c r="R116" s="31" cm="1">
        <f t="array" ref="R116">R$106+IF($C116&lt;&gt;0,SUMPRODUCT((R$107:R$108)*TRANSPOSE(($D116:$E116))),0)</f>
        <v>663230.68906540493</v>
      </c>
      <c r="S116" s="31" cm="1">
        <f t="array" ref="S116">S$106+IF($C116&lt;&gt;0,SUMPRODUCT((S$107:S$108)*TRANSPOSE(($D116:$E116))),0)</f>
        <v>661997.7010832635</v>
      </c>
      <c r="T116" s="31" cm="1">
        <f t="array" ref="T116">T$106+IF($C116&lt;&gt;0,SUMPRODUCT((T$107:T$108)*TRANSPOSE(($D116:$E116))),0)</f>
        <v>662056.73165784974</v>
      </c>
      <c r="U116" s="31" cm="1">
        <f t="array" ref="U116">U$106+IF($C116&lt;&gt;0,SUMPRODUCT((U$107:U$108)*TRANSPOSE(($D116:$E116))),0)</f>
        <v>663108.54376995843</v>
      </c>
      <c r="V116" s="31" cm="1">
        <f t="array" ref="V116">V$106+IF($C116&lt;&gt;0,SUMPRODUCT((V$107:V$108)*TRANSPOSE(($D116:$E116))),0)</f>
        <v>664947.35720670014</v>
      </c>
      <c r="W116" s="31" cm="1">
        <f t="array" ref="W116">W$106+IF($C116&lt;&gt;0,SUMPRODUCT((W$107:W$108)*TRANSPOSE(($D116:$E116))),0)</f>
        <v>667425.06192691857</v>
      </c>
      <c r="X116" s="31" cm="1">
        <f t="array" ref="X116">X$106+IF($C116&lt;&gt;0,SUMPRODUCT((X$107:X$108)*TRANSPOSE(($D116:$E116))),0)</f>
        <v>670431.26735156006</v>
      </c>
      <c r="Y116" s="31" cm="1">
        <f t="array" ref="Y116">Y$106+IF($C116&lt;&gt;0,SUMPRODUCT((Y$107:Y$108)*TRANSPOSE(($D116:$E116))),0)</f>
        <v>673881.39234480541</v>
      </c>
      <c r="Z116" s="31" cm="1">
        <f t="array" ref="Z116">Z$106+IF($C116&lt;&gt;0,SUMPRODUCT((Z$107:Z$108)*TRANSPOSE(($D116:$E116))),0)</f>
        <v>677709.16419070179</v>
      </c>
      <c r="AA116" s="31" cm="1">
        <f t="array" ref="AA116">AA$106+IF($C116&lt;&gt;0,SUMPRODUCT((AA$107:AA$108)*TRANSPOSE(($D116:$E116))),0)</f>
        <v>681861.68622096349</v>
      </c>
      <c r="AB116" s="31" cm="1">
        <f t="array" ref="AB116">AB$106+IF($C116&lt;&gt;0,SUMPRODUCT((AB$107:AB$108)*TRANSPOSE(($D116:$E116))),0)</f>
        <v>686296.07724287978</v>
      </c>
      <c r="AC116" s="31" cm="1">
        <f t="array" ref="AC116">AC$106+IF($C116&lt;&gt;0,SUMPRODUCT((AC$107:AC$108)*TRANSPOSE(($D116:$E116))),0)</f>
        <v>690977.11269235134</v>
      </c>
      <c r="AD116" s="31" cm="1">
        <f t="array" ref="AD116">AD$106+IF($C116&lt;&gt;0,SUMPRODUCT((AD$107:AD$108)*TRANSPOSE(($D116:$E116))),0)</f>
        <v>695875.52644636051</v>
      </c>
      <c r="AE116" s="31" cm="1">
        <f t="array" ref="AE116">AE$106+IF($C116&lt;&gt;0,SUMPRODUCT((AE$107:AE$108)*TRANSPOSE(($D116:$E116))),0)</f>
        <v>700747.53019196505</v>
      </c>
      <c r="AF116" s="31" cm="1">
        <f t="array" ref="AF116">AF$106+IF($C116&lt;&gt;0,SUMPRODUCT((AF$107:AF$108)*TRANSPOSE(($D116:$E116))),0)</f>
        <v>705793.33287337096</v>
      </c>
      <c r="AG116" s="31" cm="1">
        <f t="array" ref="AG116">AG$106+IF($C116&lt;&gt;0,SUMPRODUCT((AG$107:AG$108)*TRANSPOSE(($D116:$E116))),0)</f>
        <v>710995.13731795701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-79228.760614358966</v>
      </c>
      <c r="N117" s="31" cm="1">
        <f t="array" ref="N117">N$106+IF($C117&lt;&gt;0,SUMPRODUCT((N$107:N$108)*TRANSPOSE(($D117:$E117))),0)</f>
        <v>390199.23088664608</v>
      </c>
      <c r="O117" s="31" cm="1">
        <f t="array" ref="O117">O$106+IF($C117&lt;&gt;0,SUMPRODUCT((O$107:O$108)*TRANSPOSE(($D117:$E117))),0)</f>
        <v>471229.72841643984</v>
      </c>
      <c r="P117" s="31" cm="1">
        <f t="array" ref="P117">P$106+IF($C117&lt;&gt;0,SUMPRODUCT((P$107:P$108)*TRANSPOSE(($D117:$E117))),0)</f>
        <v>588500.21075393213</v>
      </c>
      <c r="Q117" s="31" cm="1">
        <f t="array" ref="Q117">Q$106+IF($C117&lt;&gt;0,SUMPRODUCT((Q$107:Q$108)*TRANSPOSE(($D117:$E117))),0)</f>
        <v>666218.68919801549</v>
      </c>
      <c r="R117" s="31" cm="1">
        <f t="array" ref="R117">R$106+IF($C117&lt;&gt;0,SUMPRODUCT((R$107:R$108)*TRANSPOSE(($D117:$E117))),0)</f>
        <v>663230.68906540493</v>
      </c>
      <c r="S117" s="31" cm="1">
        <f t="array" ref="S117">S$106+IF($C117&lt;&gt;0,SUMPRODUCT((S$107:S$108)*TRANSPOSE(($D117:$E117))),0)</f>
        <v>661997.7010832635</v>
      </c>
      <c r="T117" s="31" cm="1">
        <f t="array" ref="T117">T$106+IF($C117&lt;&gt;0,SUMPRODUCT((T$107:T$108)*TRANSPOSE(($D117:$E117))),0)</f>
        <v>662056.73165784974</v>
      </c>
      <c r="U117" s="31" cm="1">
        <f t="array" ref="U117">U$106+IF($C117&lt;&gt;0,SUMPRODUCT((U$107:U$108)*TRANSPOSE(($D117:$E117))),0)</f>
        <v>663108.54376995843</v>
      </c>
      <c r="V117" s="31" cm="1">
        <f t="array" ref="V117">V$106+IF($C117&lt;&gt;0,SUMPRODUCT((V$107:V$108)*TRANSPOSE(($D117:$E117))),0)</f>
        <v>664947.35720670014</v>
      </c>
      <c r="W117" s="31" cm="1">
        <f t="array" ref="W117">W$106+IF($C117&lt;&gt;0,SUMPRODUCT((W$107:W$108)*TRANSPOSE(($D117:$E117))),0)</f>
        <v>667425.06192691857</v>
      </c>
      <c r="X117" s="31" cm="1">
        <f t="array" ref="X117">X$106+IF($C117&lt;&gt;0,SUMPRODUCT((X$107:X$108)*TRANSPOSE(($D117:$E117))),0)</f>
        <v>670431.26735156006</v>
      </c>
      <c r="Y117" s="31" cm="1">
        <f t="array" ref="Y117">Y$106+IF($C117&lt;&gt;0,SUMPRODUCT((Y$107:Y$108)*TRANSPOSE(($D117:$E117))),0)</f>
        <v>673881.39234480541</v>
      </c>
      <c r="Z117" s="31" cm="1">
        <f t="array" ref="Z117">Z$106+IF($C117&lt;&gt;0,SUMPRODUCT((Z$107:Z$108)*TRANSPOSE(($D117:$E117))),0)</f>
        <v>677709.16419070179</v>
      </c>
      <c r="AA117" s="31" cm="1">
        <f t="array" ref="AA117">AA$106+IF($C117&lt;&gt;0,SUMPRODUCT((AA$107:AA$108)*TRANSPOSE(($D117:$E117))),0)</f>
        <v>681861.68622096349</v>
      </c>
      <c r="AB117" s="31" cm="1">
        <f t="array" ref="AB117">AB$106+IF($C117&lt;&gt;0,SUMPRODUCT((AB$107:AB$108)*TRANSPOSE(($D117:$E117))),0)</f>
        <v>686296.07724287978</v>
      </c>
      <c r="AC117" s="31" cm="1">
        <f t="array" ref="AC117">AC$106+IF($C117&lt;&gt;0,SUMPRODUCT((AC$107:AC$108)*TRANSPOSE(($D117:$E117))),0)</f>
        <v>690977.11269235134</v>
      </c>
      <c r="AD117" s="31" cm="1">
        <f t="array" ref="AD117">AD$106+IF($C117&lt;&gt;0,SUMPRODUCT((AD$107:AD$108)*TRANSPOSE(($D117:$E117))),0)</f>
        <v>695875.52644636051</v>
      </c>
      <c r="AE117" s="31" cm="1">
        <f t="array" ref="AE117">AE$106+IF($C117&lt;&gt;0,SUMPRODUCT((AE$107:AE$108)*TRANSPOSE(($D117:$E117))),0)</f>
        <v>700747.53019196505</v>
      </c>
      <c r="AF117" s="31" cm="1">
        <f t="array" ref="AF117">AF$106+IF($C117&lt;&gt;0,SUMPRODUCT((AF$107:AF$108)*TRANSPOSE(($D117:$E117))),0)</f>
        <v>705793.33287337096</v>
      </c>
      <c r="AG117" s="31" cm="1">
        <f t="array" ref="AG117">AG$106+IF($C117&lt;&gt;0,SUMPRODUCT((AG$107:AG$108)*TRANSPOSE(($D117:$E117))),0)</f>
        <v>710995.13731795701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85" zoomScaleNormal="85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Refurbish #1 transformer completed in 2029-30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325</v>
      </c>
      <c r="D14"/>
      <c r="E14" s="147">
        <v>10</v>
      </c>
      <c r="G14" s="206">
        <f>input_dollars</f>
        <v>45291</v>
      </c>
      <c r="H14" s="148"/>
      <c r="I14" s="32">
        <f>Workings_costs!E34</f>
        <v>0</v>
      </c>
      <c r="J14" s="32">
        <f>Workings_costs!F34</f>
        <v>0</v>
      </c>
      <c r="K14" s="32">
        <f>Workings_costs!G34</f>
        <v>0</v>
      </c>
      <c r="L14" s="32">
        <f>Workings_costs!H34</f>
        <v>500000</v>
      </c>
      <c r="M14" s="32">
        <f>Workings_costs!I34</f>
        <v>0</v>
      </c>
      <c r="N14" s="32">
        <f>Workings_costs!J34</f>
        <v>0</v>
      </c>
      <c r="O14" s="32">
        <f>Workings_costs!K34</f>
        <v>0</v>
      </c>
      <c r="P14" s="32">
        <f>Workings_costs!L34</f>
        <v>0</v>
      </c>
      <c r="Q14" s="32">
        <f>Workings_costs!M34</f>
        <v>0</v>
      </c>
      <c r="R14" s="32">
        <f>Workings_costs!N34</f>
        <v>0</v>
      </c>
      <c r="S14" s="32">
        <f>Workings_costs!O34</f>
        <v>0</v>
      </c>
      <c r="T14" s="32">
        <f>Workings_costs!P34</f>
        <v>0</v>
      </c>
      <c r="U14" s="32">
        <f>Workings_costs!Q34</f>
        <v>0</v>
      </c>
      <c r="V14" s="32">
        <f>Workings_costs!R34</f>
        <v>0</v>
      </c>
      <c r="W14" s="32">
        <f>Workings_costs!S34</f>
        <v>0</v>
      </c>
      <c r="X14" s="32">
        <f>Workings_costs!T34</f>
        <v>0</v>
      </c>
      <c r="Y14" s="32">
        <f>Workings_costs!U34</f>
        <v>0</v>
      </c>
      <c r="Z14" s="32">
        <f>Workings_costs!V34</f>
        <v>0</v>
      </c>
      <c r="AA14" s="32">
        <f>Workings_costs!W34</f>
        <v>0</v>
      </c>
      <c r="AB14" s="32">
        <f>Workings_costs!X34</f>
        <v>0</v>
      </c>
      <c r="AC14" s="32">
        <f>Workings_costs!Y34</f>
        <v>0</v>
      </c>
      <c r="AD14" s="32">
        <f>Workings_costs!Z34</f>
        <v>0</v>
      </c>
      <c r="AE14" s="32">
        <f>Workings_costs!AA34</f>
        <v>0</v>
      </c>
      <c r="AF14" s="32">
        <f>Workings_costs!AB34</f>
        <v>0</v>
      </c>
      <c r="AG14" s="32">
        <f>Workings_costs!AC34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500000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67">
        <f>Workings_risks!E37</f>
        <v>314043.21136713168</v>
      </c>
      <c r="J28" s="167">
        <f>Workings_risks!F37</f>
        <v>366725.75098075159</v>
      </c>
      <c r="K28" s="167">
        <f>Workings_risks!G37</f>
        <v>435144.50831974798</v>
      </c>
      <c r="L28" s="167">
        <f>Workings_risks!H37</f>
        <v>513527.99836728716</v>
      </c>
      <c r="M28" s="167">
        <f>Workings_risks!I37</f>
        <v>552672.90181522083</v>
      </c>
      <c r="N28" s="167">
        <f>Workings_risks!J37</f>
        <v>621750.9517747194</v>
      </c>
      <c r="O28" s="167">
        <f>Workings_risks!K37</f>
        <v>742002.32305995096</v>
      </c>
      <c r="P28" s="167">
        <f>Workings_risks!L37</f>
        <v>906855.26756045886</v>
      </c>
      <c r="Q28" s="167">
        <f>Workings_risks!M37</f>
        <v>1031279.0303223566</v>
      </c>
      <c r="R28" s="167">
        <f>Workings_risks!N37</f>
        <v>1059540.5426616287</v>
      </c>
      <c r="S28" s="167">
        <f>Workings_risks!O37</f>
        <v>1088138.0035917866</v>
      </c>
      <c r="T28" s="167">
        <f>Workings_risks!P37</f>
        <v>1117071.0139951222</v>
      </c>
      <c r="U28" s="167">
        <f>Workings_risks!Q37</f>
        <v>1146339.2060315532</v>
      </c>
      <c r="V28" s="167">
        <f>Workings_risks!R37</f>
        <v>1175942.2422564717</v>
      </c>
      <c r="W28" s="167">
        <f>Workings_risks!S37</f>
        <v>1205879.8147784295</v>
      </c>
      <c r="X28" s="167">
        <f>Workings_risks!T37</f>
        <v>1236151.6444542964</v>
      </c>
      <c r="Y28" s="167">
        <f>Workings_risks!U37</f>
        <v>1266757.480119861</v>
      </c>
      <c r="Z28" s="167">
        <f>Workings_risks!V37</f>
        <v>1297697.0978537586</v>
      </c>
      <c r="AA28" s="167">
        <f>Workings_risks!W37</f>
        <v>1328970.3002729937</v>
      </c>
      <c r="AB28" s="167">
        <f>Workings_risks!X37</f>
        <v>1360576.9158582673</v>
      </c>
      <c r="AC28" s="167">
        <f>Workings_risks!Y37</f>
        <v>1392516.7983074712</v>
      </c>
      <c r="AD28" s="167">
        <f>Workings_risks!Z37</f>
        <v>1424789.8259159017</v>
      </c>
      <c r="AE28" s="167">
        <f>Workings_risks!AA37</f>
        <v>1457395.9009817196</v>
      </c>
      <c r="AF28" s="167">
        <f>Workings_risks!AB37</f>
        <v>1490334.9492353802</v>
      </c>
      <c r="AG28" s="167">
        <f>Workings_risks!AC37</f>
        <v>1523606.919291734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4" t="s">
        <v>208</v>
      </c>
      <c r="G30" s="206">
        <f>input_dollars</f>
        <v>45291</v>
      </c>
      <c r="H30" s="148"/>
      <c r="I30" s="167">
        <f>Workings_risks!E38</f>
        <v>703.12315512015812</v>
      </c>
      <c r="J30" s="167">
        <f>Workings_risks!F38</f>
        <v>724.24381769048989</v>
      </c>
      <c r="K30" s="167">
        <f>Workings_risks!G38</f>
        <v>745.62297222261861</v>
      </c>
      <c r="L30" s="167">
        <f>Workings_risks!H38</f>
        <v>767.25927661580749</v>
      </c>
      <c r="M30" s="167">
        <f>Workings_risks!I38</f>
        <v>784.85054392994584</v>
      </c>
      <c r="N30" s="167">
        <f>Workings_risks!J38</f>
        <v>806.86096629406416</v>
      </c>
      <c r="O30" s="167">
        <f>Workings_risks!K38</f>
        <v>829.12294145736803</v>
      </c>
      <c r="P30" s="167">
        <f>Workings_risks!L38</f>
        <v>851.63524957278275</v>
      </c>
      <c r="Q30" s="167">
        <f>Workings_risks!M38</f>
        <v>874.39669617736172</v>
      </c>
      <c r="R30" s="167">
        <f>Workings_risks!N38</f>
        <v>897.40611126666818</v>
      </c>
      <c r="S30" s="167">
        <f>Workings_risks!O38</f>
        <v>920.66234841712446</v>
      </c>
      <c r="T30" s="167">
        <f>Workings_risks!P38</f>
        <v>944.16428395312187</v>
      </c>
      <c r="U30" s="167">
        <f>Workings_risks!Q38</f>
        <v>967.91081615594283</v>
      </c>
      <c r="V30" s="167">
        <f>Workings_risks!R38</f>
        <v>991.90086451178286</v>
      </c>
      <c r="W30" s="167">
        <f>Workings_risks!S38</f>
        <v>1016.1333689963884</v>
      </c>
      <c r="X30" s="167">
        <f>Workings_risks!T38</f>
        <v>1040.607289393995</v>
      </c>
      <c r="Y30" s="167">
        <f>Workings_risks!U38</f>
        <v>1065.3216046484558</v>
      </c>
      <c r="Z30" s="167">
        <f>Workings_risks!V38</f>
        <v>1090.2753122445797</v>
      </c>
      <c r="AA30" s="167">
        <f>Workings_risks!W38</f>
        <v>1115.4674276178814</v>
      </c>
      <c r="AB30" s="167">
        <f>Workings_risks!X38</f>
        <v>1140.8969835910466</v>
      </c>
      <c r="AC30" s="167">
        <f>Workings_risks!Y38</f>
        <v>1166.5630298355507</v>
      </c>
      <c r="AD30" s="167">
        <f>Workings_risks!Z38</f>
        <v>1192.4646323569916</v>
      </c>
      <c r="AE30" s="167">
        <f>Workings_risks!AA38</f>
        <v>1192.4646323569916</v>
      </c>
      <c r="AF30" s="167">
        <f>Workings_risks!AB38</f>
        <v>1192.4646323569916</v>
      </c>
      <c r="AG30" s="167">
        <f>Workings_risks!AC38</f>
        <v>1192.4646323569916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5"/>
      <c r="E31"/>
      <c r="G31" s="206">
        <f>input_dollars</f>
        <v>45291</v>
      </c>
      <c r="H31" s="148"/>
      <c r="I31" s="167">
        <f>Workings_risks!E39</f>
        <v>26504.43645311</v>
      </c>
      <c r="J31" s="167">
        <f>Workings_risks!F39</f>
        <v>27300.586110345044</v>
      </c>
      <c r="K31" s="167">
        <f>Workings_risks!G39</f>
        <v>28106.47969895996</v>
      </c>
      <c r="L31" s="167">
        <f>Workings_risks!H39</f>
        <v>28922.066628068304</v>
      </c>
      <c r="M31" s="167">
        <f>Workings_risks!I39</f>
        <v>28936.683671983155</v>
      </c>
      <c r="N31" s="167">
        <f>Workings_risks!J39</f>
        <v>29745.825552738421</v>
      </c>
      <c r="O31" s="167">
        <f>Workings_risks!K39</f>
        <v>30564.186596224135</v>
      </c>
      <c r="P31" s="167">
        <f>Workings_risks!L39</f>
        <v>31391.722238916573</v>
      </c>
      <c r="Q31" s="167">
        <f>Workings_risks!M39</f>
        <v>32228.388841586446</v>
      </c>
      <c r="R31" s="167">
        <f>Workings_risks!N39</f>
        <v>33074.143655707041</v>
      </c>
      <c r="S31" s="167">
        <f>Workings_risks!O39</f>
        <v>33928.944791597409</v>
      </c>
      <c r="T31" s="167">
        <f>Workings_risks!P39</f>
        <v>34792.751188184913</v>
      </c>
      <c r="U31" s="167">
        <f>Workings_risks!Q39</f>
        <v>35665.522584280865</v>
      </c>
      <c r="V31" s="167">
        <f>Workings_risks!R39</f>
        <v>36547.219491271375</v>
      </c>
      <c r="W31" s="167">
        <f>Workings_risks!S39</f>
        <v>37437.803167133832</v>
      </c>
      <c r="X31" s="167">
        <f>Workings_risks!T39</f>
        <v>38337.235591695397</v>
      </c>
      <c r="Y31" s="167">
        <f>Workings_risks!U39</f>
        <v>39245.479443057338</v>
      </c>
      <c r="Z31" s="167">
        <f>Workings_risks!V39</f>
        <v>40162.498075113755</v>
      </c>
      <c r="AA31" s="167">
        <f>Workings_risks!W39</f>
        <v>41088.255496099693</v>
      </c>
      <c r="AB31" s="167">
        <f>Workings_risks!X39</f>
        <v>42022.716348107366</v>
      </c>
      <c r="AC31" s="167">
        <f>Workings_risks!Y39</f>
        <v>42965.845887514086</v>
      </c>
      <c r="AD31" s="167">
        <f>Workings_risks!Z39</f>
        <v>43917.609966269854</v>
      </c>
      <c r="AE31" s="167">
        <f>Workings_risks!AA39</f>
        <v>43917.609966269854</v>
      </c>
      <c r="AF31" s="167">
        <f>Workings_risks!AB39</f>
        <v>43917.609966269854</v>
      </c>
      <c r="AG31" s="167">
        <f>Workings_risks!AC39</f>
        <v>43917.609966269854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4"/>
      <c r="E32"/>
      <c r="G32" s="206">
        <f>input_dollars</f>
        <v>45291</v>
      </c>
      <c r="H32"/>
      <c r="I32" s="167">
        <f>Workings_risks!E40</f>
        <v>2644.8598375061829</v>
      </c>
      <c r="J32" s="167">
        <f>Workings_risks!F40</f>
        <v>2724.3070748315481</v>
      </c>
      <c r="K32" s="167">
        <f>Workings_risks!G40</f>
        <v>2804.7266524974302</v>
      </c>
      <c r="L32" s="167">
        <f>Workings_risks!H40</f>
        <v>2886.1135220733927</v>
      </c>
      <c r="M32" s="167">
        <f>Workings_risks!I40</f>
        <v>2968.4627475909547</v>
      </c>
      <c r="N32" s="167">
        <f>Workings_risks!J40</f>
        <v>3051.7695011543028</v>
      </c>
      <c r="O32" s="167">
        <f>Workings_risks!K40</f>
        <v>3136.0290587944069</v>
      </c>
      <c r="P32" s="167">
        <f>Workings_risks!L40</f>
        <v>3221.2367965491458</v>
      </c>
      <c r="Q32" s="167">
        <f>Workings_risks!M40</f>
        <v>3307.3881867535219</v>
      </c>
      <c r="R32" s="167">
        <f>Workings_risks!N40</f>
        <v>3394.4787945254388</v>
      </c>
      <c r="S32" s="167">
        <f>Workings_risks!O40</f>
        <v>3482.5042744337443</v>
      </c>
      <c r="T32" s="167">
        <f>Workings_risks!P40</f>
        <v>3571.4603673363399</v>
      </c>
      <c r="U32" s="167">
        <f>Workings_risks!Q40</f>
        <v>3661.3428973771365</v>
      </c>
      <c r="V32" s="167">
        <f>Workings_risks!R40</f>
        <v>3752.1477691315577</v>
      </c>
      <c r="W32" s="167">
        <f>Workings_risks!S40</f>
        <v>3843.8709648911349</v>
      </c>
      <c r="X32" s="167">
        <f>Workings_risks!T40</f>
        <v>3936.5085420784021</v>
      </c>
      <c r="Y32" s="167">
        <f>Workings_risks!U40</f>
        <v>4030.0566307840586</v>
      </c>
      <c r="Z32" s="167">
        <f>Workings_risks!V40</f>
        <v>4124.5114314188777</v>
      </c>
      <c r="AA32" s="167">
        <f>Workings_risks!W40</f>
        <v>4219.8692124735298</v>
      </c>
      <c r="AB32" s="167">
        <f>Workings_risks!X40</f>
        <v>4316.1263083798649</v>
      </c>
      <c r="AC32" s="167">
        <f>Workings_risks!Y40</f>
        <v>4413.2791174677204</v>
      </c>
      <c r="AD32" s="167">
        <f>Workings_risks!Z40</f>
        <v>4511.3241000117914</v>
      </c>
      <c r="AE32" s="167">
        <f>Workings_risks!AA40</f>
        <v>4511.3241000117914</v>
      </c>
      <c r="AF32" s="167">
        <f>Workings_risks!AB40</f>
        <v>4511.3241000117914</v>
      </c>
      <c r="AG32" s="167">
        <f>Workings_risks!AC40</f>
        <v>4511.3241000117914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4" t="s">
        <v>208</v>
      </c>
      <c r="E33"/>
      <c r="G33" s="206">
        <f>input_dollars</f>
        <v>45291</v>
      </c>
      <c r="H33"/>
      <c r="I33" s="167">
        <f>Workings_risks!E41</f>
        <v>4288.75</v>
      </c>
      <c r="J33" s="167">
        <f>Workings_risks!F41</f>
        <v>4288.75</v>
      </c>
      <c r="K33" s="167">
        <f>Workings_risks!G41</f>
        <v>4288.75</v>
      </c>
      <c r="L33" s="167">
        <f>Workings_risks!H41</f>
        <v>4288.75</v>
      </c>
      <c r="M33" s="167">
        <f>Workings_risks!I41</f>
        <v>2438.125</v>
      </c>
      <c r="N33" s="167">
        <f>Workings_risks!J41</f>
        <v>2438.125</v>
      </c>
      <c r="O33" s="167">
        <f>Workings_risks!K41</f>
        <v>2438.125</v>
      </c>
      <c r="P33" s="167">
        <f>Workings_risks!L41</f>
        <v>2438.125</v>
      </c>
      <c r="Q33" s="167">
        <f>Workings_risks!M41</f>
        <v>2438.125</v>
      </c>
      <c r="R33" s="167">
        <f>Workings_risks!N41</f>
        <v>2438.125</v>
      </c>
      <c r="S33" s="167">
        <f>Workings_risks!O41</f>
        <v>2438.125</v>
      </c>
      <c r="T33" s="167">
        <f>Workings_risks!P41</f>
        <v>2438.125</v>
      </c>
      <c r="U33" s="167">
        <f>Workings_risks!Q41</f>
        <v>2438.125</v>
      </c>
      <c r="V33" s="167">
        <f>Workings_risks!R41</f>
        <v>2438.125</v>
      </c>
      <c r="W33" s="167">
        <f>Workings_risks!S41</f>
        <v>2438.125</v>
      </c>
      <c r="X33" s="167">
        <f>Workings_risks!T41</f>
        <v>2438.125</v>
      </c>
      <c r="Y33" s="167">
        <f>Workings_risks!U41</f>
        <v>2438.125</v>
      </c>
      <c r="Z33" s="167">
        <f>Workings_risks!V41</f>
        <v>2438.125</v>
      </c>
      <c r="AA33" s="167">
        <f>Workings_risks!W41</f>
        <v>2438.125</v>
      </c>
      <c r="AB33" s="167">
        <f>Workings_risks!X41</f>
        <v>2438.125</v>
      </c>
      <c r="AC33" s="167">
        <f>Workings_risks!Y41</f>
        <v>2438.125</v>
      </c>
      <c r="AD33" s="167">
        <f>Workings_risks!Z41</f>
        <v>2438.125</v>
      </c>
      <c r="AE33" s="167">
        <f>Workings_risks!AA41</f>
        <v>2438.125</v>
      </c>
      <c r="AF33" s="167">
        <f>Workings_risks!AB41</f>
        <v>2438.125</v>
      </c>
      <c r="AG33" s="167">
        <f>Workings_risks!AC41</f>
        <v>2438.125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1" t="str">
        <f>'Option1 (base case)'!C34</f>
        <v>Noise cost</v>
      </c>
      <c r="D34" s="205"/>
      <c r="E34"/>
      <c r="G34" s="206">
        <f>input_dollars</f>
        <v>45291</v>
      </c>
      <c r="H34"/>
      <c r="I34" s="167">
        <f>Workings_risks!E42</f>
        <v>50000</v>
      </c>
      <c r="J34" s="167">
        <f>Workings_risks!F42</f>
        <v>50000</v>
      </c>
      <c r="K34" s="167">
        <f>Workings_risks!G42</f>
        <v>50000</v>
      </c>
      <c r="L34" s="167">
        <f>Workings_risks!H42</f>
        <v>50000</v>
      </c>
      <c r="M34" s="167">
        <f>Workings_risks!I42</f>
        <v>50000</v>
      </c>
      <c r="N34" s="167">
        <f>Workings_risks!J42</f>
        <v>50000</v>
      </c>
      <c r="O34" s="167">
        <f>Workings_risks!K42</f>
        <v>50000</v>
      </c>
      <c r="P34" s="167">
        <f>Workings_risks!L42</f>
        <v>50000</v>
      </c>
      <c r="Q34" s="167">
        <f>Workings_risks!M42</f>
        <v>50000</v>
      </c>
      <c r="R34" s="167">
        <f>Workings_risks!N42</f>
        <v>50000</v>
      </c>
      <c r="S34" s="167">
        <f>Workings_risks!O42</f>
        <v>50000</v>
      </c>
      <c r="T34" s="167">
        <f>Workings_risks!P42</f>
        <v>50000</v>
      </c>
      <c r="U34" s="167">
        <f>Workings_risks!Q42</f>
        <v>50000</v>
      </c>
      <c r="V34" s="167">
        <f>Workings_risks!R42</f>
        <v>50000</v>
      </c>
      <c r="W34" s="167">
        <f>Workings_risks!S42</f>
        <v>50000</v>
      </c>
      <c r="X34" s="167">
        <f>Workings_risks!T42</f>
        <v>50000</v>
      </c>
      <c r="Y34" s="167">
        <f>Workings_risks!U42</f>
        <v>50000</v>
      </c>
      <c r="Z34" s="167">
        <f>Workings_risks!V42</f>
        <v>50000</v>
      </c>
      <c r="AA34" s="167">
        <f>Workings_risks!W42</f>
        <v>50000</v>
      </c>
      <c r="AB34" s="167">
        <f>Workings_risks!X42</f>
        <v>50000</v>
      </c>
      <c r="AC34" s="167">
        <f>Workings_risks!Y42</f>
        <v>50000</v>
      </c>
      <c r="AD34" s="167">
        <f>Workings_risks!Z42</f>
        <v>50000</v>
      </c>
      <c r="AE34" s="167">
        <f>Workings_risks!AA42</f>
        <v>50000</v>
      </c>
      <c r="AF34" s="167">
        <f>Workings_risks!AB42</f>
        <v>50000</v>
      </c>
      <c r="AG34" s="167">
        <f>Workings_risks!AC42</f>
        <v>50000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398184.38081286807</v>
      </c>
      <c r="J36" s="169">
        <f t="shared" ref="J36:AB36" si="2">SUM(J28:J34)</f>
        <v>451763.63798361865</v>
      </c>
      <c r="K36" s="169">
        <f t="shared" si="2"/>
        <v>521090.08764342801</v>
      </c>
      <c r="L36" s="169">
        <f t="shared" si="2"/>
        <v>600392.18779404461</v>
      </c>
      <c r="M36" s="169">
        <f t="shared" si="2"/>
        <v>637801.02377872495</v>
      </c>
      <c r="N36" s="169">
        <f t="shared" si="2"/>
        <v>707793.53279490618</v>
      </c>
      <c r="O36" s="169">
        <f t="shared" si="2"/>
        <v>828969.78665642673</v>
      </c>
      <c r="P36" s="169">
        <f t="shared" si="2"/>
        <v>994757.98684549739</v>
      </c>
      <c r="Q36" s="169">
        <f t="shared" si="2"/>
        <v>1120127.3290468738</v>
      </c>
      <c r="R36" s="169">
        <f t="shared" si="2"/>
        <v>1149344.6962231279</v>
      </c>
      <c r="S36" s="169">
        <f t="shared" si="2"/>
        <v>1178908.2400062347</v>
      </c>
      <c r="T36" s="169">
        <f t="shared" si="2"/>
        <v>1208817.5148345965</v>
      </c>
      <c r="U36" s="169">
        <f t="shared" si="2"/>
        <v>1239072.1073293672</v>
      </c>
      <c r="V36" s="169">
        <f t="shared" si="2"/>
        <v>1269671.6353813861</v>
      </c>
      <c r="W36" s="169">
        <f t="shared" si="2"/>
        <v>1300615.7472794508</v>
      </c>
      <c r="X36" s="169">
        <f t="shared" si="2"/>
        <v>1331904.1208774641</v>
      </c>
      <c r="Y36" s="169">
        <f t="shared" si="2"/>
        <v>1363536.4627983507</v>
      </c>
      <c r="Z36" s="169">
        <f t="shared" si="2"/>
        <v>1395512.507672536</v>
      </c>
      <c r="AA36" s="169">
        <f t="shared" si="2"/>
        <v>1427832.0174091847</v>
      </c>
      <c r="AB36" s="169">
        <f t="shared" si="2"/>
        <v>1460494.7804983458</v>
      </c>
      <c r="AC36" s="169">
        <f>SUM(AC28:AC34)</f>
        <v>1493500.6113422886</v>
      </c>
      <c r="AD36" s="169">
        <f>SUM(AD28:AD34)</f>
        <v>1526849.3496145403</v>
      </c>
      <c r="AE36" s="169">
        <f>SUM(AE28:AE34)</f>
        <v>1559455.4246803583</v>
      </c>
      <c r="AF36" s="169">
        <f>SUM(AF28:AF34)</f>
        <v>1592394.4729340188</v>
      </c>
      <c r="AG36" s="169">
        <f>SUM(AG28:AG34)</f>
        <v>1625666.4429903727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26684.628938588547</v>
      </c>
      <c r="N64" s="131">
        <f>(1-INDEX(Data!$C$9:$C$13, MATCH($A$3, options,0)))*('Option1 (base case)'!N36-N36)</f>
        <v>29747.175191382295</v>
      </c>
      <c r="O64" s="131">
        <f>(1-INDEX(Data!$C$9:$C$13, MATCH($A$3, options,0)))*('Option1 (base case)'!O36-O36)</f>
        <v>34962.881563924253</v>
      </c>
      <c r="P64" s="131">
        <f>(1-INDEX(Data!$C$9:$C$13, MATCH($A$3, options,0)))*('Option1 (base case)'!P36-P36)</f>
        <v>42059.16930770874</v>
      </c>
      <c r="Q64" s="131">
        <f>(1-INDEX(Data!$C$9:$C$13, MATCH($A$3, options,0)))*('Option1 (base case)'!Q36-Q36)</f>
        <v>47407.310480268672</v>
      </c>
      <c r="R64" s="131">
        <f>(1-INDEX(Data!$C$9:$C$13, MATCH($A$3, options,0)))*('Option1 (base case)'!R36-R36)</f>
        <v>48689.149645351572</v>
      </c>
      <c r="S64" s="131">
        <f>(1-INDEX(Data!$C$9:$C$13, MATCH($A$3, options,0)))*('Option1 (base case)'!S36-S36)</f>
        <v>49987.311360744061</v>
      </c>
      <c r="T64" s="131">
        <f>(1-INDEX(Data!$C$9:$C$13, MATCH($A$3, options,0)))*('Option1 (base case)'!T36-T36)</f>
        <v>51301.807354316348</v>
      </c>
      <c r="U64" s="131">
        <f>(1-INDEX(Data!$C$9:$C$13, MATCH($A$3, options,0)))*('Option1 (base case)'!U36-U36)</f>
        <v>52632.65098340041</v>
      </c>
      <c r="V64" s="131">
        <f>(1-INDEX(Data!$C$9:$C$13, MATCH($A$3, options,0)))*('Option1 (base case)'!V36-V36)</f>
        <v>53979.857191815972</v>
      </c>
      <c r="W64" s="131">
        <f>(1-INDEX(Data!$C$9:$C$13, MATCH($A$3, options,0)))*('Option1 (base case)'!W36-W36)</f>
        <v>55343.442468950991</v>
      </c>
      <c r="X64" s="131">
        <f>(1-INDEX(Data!$C$9:$C$13, MATCH($A$3, options,0)))*('Option1 (base case)'!X36-X36)</f>
        <v>56723.42481071176</v>
      </c>
      <c r="Y64" s="131">
        <f>(1-INDEX(Data!$C$9:$C$13, MATCH($A$3, options,0)))*('Option1 (base case)'!Y36-Y36)</f>
        <v>58119.823682279792</v>
      </c>
      <c r="Z64" s="131">
        <f>(1-INDEX(Data!$C$9:$C$13, MATCH($A$3, options,0)))*('Option1 (base case)'!Z36-Z36)</f>
        <v>59532.659982539481</v>
      </c>
      <c r="AA64" s="131">
        <f>(1-INDEX(Data!$C$9:$C$13, MATCH($A$3, options,0)))*('Option1 (base case)'!AA36-AA36)</f>
        <v>60961.95601010113</v>
      </c>
      <c r="AB64" s="131">
        <f>(1-INDEX(Data!$C$9:$C$13, MATCH($A$3, options,0)))*('Option1 (base case)'!AB36-AB36)</f>
        <v>62407.735430762172</v>
      </c>
      <c r="AC64" s="131">
        <f>(1-INDEX(Data!$C$9:$C$13, MATCH($A$3, options,0)))*('Option1 (base case)'!AC36-AC36)</f>
        <v>63870.023246444529</v>
      </c>
      <c r="AD64" s="131">
        <f>(1-INDEX(Data!$C$9:$C$13, MATCH($A$3, options,0)))*('Option1 (base case)'!AD36-AD36)</f>
        <v>65348.845765398582</v>
      </c>
      <c r="AE64" s="131">
        <f>(1-INDEX(Data!$C$9:$C$13, MATCH($A$3, options,0)))*('Option1 (base case)'!AE36-AE36)</f>
        <v>66813.00538049452</v>
      </c>
      <c r="AF64" s="131">
        <f>(1-INDEX(Data!$C$9:$C$13, MATCH($A$3, options,0)))*('Option1 (base case)'!AF36-AF36)</f>
        <v>68293.451056205202</v>
      </c>
      <c r="AG64" s="131">
        <f>(1-INDEX(Data!$C$9:$C$13, MATCH($A$3, options,0)))*('Option1 (base case)'!AG36-AG36)</f>
        <v>69790.214113046881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6"/>
      <c r="G67" s="209">
        <f>input_dollars</f>
        <v>45291</v>
      </c>
      <c r="H67" s="31"/>
      <c r="I67" s="118">
        <f t="shared" ref="I67:AG67" si="4">-I14</f>
        <v>0</v>
      </c>
      <c r="J67" s="118">
        <f t="shared" si="4"/>
        <v>0</v>
      </c>
      <c r="K67" s="118">
        <f t="shared" si="4"/>
        <v>0</v>
      </c>
      <c r="L67" s="118">
        <f t="shared" si="4"/>
        <v>-500000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6"/>
      <c r="G68" s="209">
        <f>input_dollars</f>
        <v>45291</v>
      </c>
      <c r="H68" s="31"/>
      <c r="I68" s="118">
        <f t="shared" ref="I68:AG68" si="5">-I15</f>
        <v>0</v>
      </c>
      <c r="J68" s="118">
        <f t="shared" si="5"/>
        <v>0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6"/>
      <c r="G69" s="209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  <c r="AH69"/>
    </row>
    <row r="70" spans="1:34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-500000</v>
      </c>
      <c r="M72" s="118" cm="1">
        <f t="array" ref="M72">SUMPRODUCT(($I67:M67))-SUMPRODUCT(($I67:M67)*($I$6:M$6&lt;=(M$6-$E14)))</f>
        <v>-500000</v>
      </c>
      <c r="N72" s="118" cm="1">
        <f t="array" ref="N72">SUMPRODUCT(($I67:N67))-SUMPRODUCT(($I67:N67)*($I$6:N$6&lt;=(N$6-$E14)))</f>
        <v>-500000</v>
      </c>
      <c r="O72" s="118" cm="1">
        <f t="array" ref="O72">SUMPRODUCT(($I67:O67))-SUMPRODUCT(($I67:O67)*($I$6:O$6&lt;=(O$6-$E14)))</f>
        <v>-500000</v>
      </c>
      <c r="P72" s="118" cm="1">
        <f t="array" ref="P72">SUMPRODUCT(($I67:P67))-SUMPRODUCT(($I67:P67)*($I$6:P$6&lt;=(P$6-$E14)))</f>
        <v>-500000</v>
      </c>
      <c r="Q72" s="118" cm="1">
        <f t="array" ref="Q72">SUMPRODUCT(($I67:Q67))-SUMPRODUCT(($I67:Q67)*($I$6:Q$6&lt;=(Q$6-$E14)))</f>
        <v>-500000</v>
      </c>
      <c r="R72" s="118" cm="1">
        <f t="array" ref="R72">SUMPRODUCT(($I67:R67))-SUMPRODUCT(($I67:R67)*($I$6:R$6&lt;=(R$6-$E14)))</f>
        <v>-500000</v>
      </c>
      <c r="S72" s="118" cm="1">
        <f t="array" ref="S72">SUMPRODUCT(($I67:S67))-SUMPRODUCT(($I67:S67)*($I$6:S$6&lt;=(S$6-$E14)))</f>
        <v>-500000</v>
      </c>
      <c r="T72" s="118" cm="1">
        <f t="array" ref="T72">SUMPRODUCT(($I67:T67))-SUMPRODUCT(($I67:T67)*($I$6:T$6&lt;=(T$6-$E14)))</f>
        <v>-500000</v>
      </c>
      <c r="U72" s="118" cm="1">
        <f t="array" ref="U72">SUMPRODUCT(($I67:U67))-SUMPRODUCT(($I67:U67)*($I$6:U$6&lt;=(U$6-$E14)))</f>
        <v>-500000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09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0</v>
      </c>
      <c r="K77" s="118">
        <f t="shared" si="7"/>
        <v>0</v>
      </c>
      <c r="L77" s="118">
        <f t="shared" si="7"/>
        <v>0</v>
      </c>
      <c r="M77" s="118">
        <f t="shared" si="7"/>
        <v>-60120.68393369564</v>
      </c>
      <c r="N77" s="118">
        <f t="shared" si="7"/>
        <v>-60120.68393369564</v>
      </c>
      <c r="O77" s="118">
        <f t="shared" si="7"/>
        <v>-60120.68393369564</v>
      </c>
      <c r="P77" s="118">
        <f t="shared" si="7"/>
        <v>-60120.68393369564</v>
      </c>
      <c r="Q77" s="118">
        <f t="shared" si="7"/>
        <v>-60120.68393369564</v>
      </c>
      <c r="R77" s="118">
        <f t="shared" si="7"/>
        <v>-60120.68393369564</v>
      </c>
      <c r="S77" s="118">
        <f t="shared" si="7"/>
        <v>-60120.68393369564</v>
      </c>
      <c r="T77" s="118">
        <f t="shared" si="7"/>
        <v>-60120.68393369564</v>
      </c>
      <c r="U77" s="118">
        <f t="shared" si="7"/>
        <v>-60120.68393369564</v>
      </c>
      <c r="V77" s="118">
        <f t="shared" si="7"/>
        <v>-60120.68393369564</v>
      </c>
      <c r="W77" s="118">
        <f t="shared" si="7"/>
        <v>0</v>
      </c>
      <c r="X77" s="118">
        <f t="shared" si="7"/>
        <v>0</v>
      </c>
      <c r="Y77" s="118">
        <f t="shared" si="7"/>
        <v>0</v>
      </c>
      <c r="Z77" s="118">
        <f t="shared" si="7"/>
        <v>0</v>
      </c>
      <c r="AA77" s="118">
        <f t="shared" si="7"/>
        <v>0</v>
      </c>
      <c r="AB77" s="118">
        <f t="shared" si="7"/>
        <v>0</v>
      </c>
      <c r="AC77" s="118">
        <f t="shared" si="7"/>
        <v>0</v>
      </c>
      <c r="AD77" s="118">
        <f t="shared" si="7"/>
        <v>0</v>
      </c>
      <c r="AE77" s="118">
        <f t="shared" si="7"/>
        <v>0</v>
      </c>
      <c r="AF77" s="118">
        <f t="shared" si="7"/>
        <v>0</v>
      </c>
      <c r="AG77" s="118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0</v>
      </c>
      <c r="K78" s="118">
        <f t="shared" si="8"/>
        <v>0</v>
      </c>
      <c r="L78" s="118">
        <f t="shared" si="8"/>
        <v>0</v>
      </c>
      <c r="M78" s="118">
        <f t="shared" si="8"/>
        <v>0</v>
      </c>
      <c r="N78" s="118">
        <f t="shared" si="8"/>
        <v>0</v>
      </c>
      <c r="O78" s="118">
        <f t="shared" si="8"/>
        <v>0</v>
      </c>
      <c r="P78" s="118">
        <f t="shared" si="8"/>
        <v>0</v>
      </c>
      <c r="Q78" s="118">
        <f t="shared" si="8"/>
        <v>0</v>
      </c>
      <c r="R78" s="118">
        <f t="shared" si="8"/>
        <v>0</v>
      </c>
      <c r="S78" s="118">
        <f t="shared" si="8"/>
        <v>0</v>
      </c>
      <c r="T78" s="118">
        <f t="shared" si="8"/>
        <v>0</v>
      </c>
      <c r="U78" s="118">
        <f t="shared" si="8"/>
        <v>0</v>
      </c>
      <c r="V78" s="118">
        <f t="shared" si="8"/>
        <v>0</v>
      </c>
      <c r="W78" s="118">
        <f t="shared" si="8"/>
        <v>0</v>
      </c>
      <c r="X78" s="118">
        <f t="shared" si="8"/>
        <v>0</v>
      </c>
      <c r="Y78" s="118">
        <f t="shared" si="8"/>
        <v>0</v>
      </c>
      <c r="Z78" s="118">
        <f t="shared" si="8"/>
        <v>0</v>
      </c>
      <c r="AA78" s="118">
        <f t="shared" si="8"/>
        <v>0</v>
      </c>
      <c r="AB78" s="118">
        <f t="shared" si="8"/>
        <v>0</v>
      </c>
      <c r="AC78" s="118">
        <f t="shared" si="8"/>
        <v>0</v>
      </c>
      <c r="AD78" s="118">
        <f t="shared" si="8"/>
        <v>0</v>
      </c>
      <c r="AE78" s="118">
        <f t="shared" si="8"/>
        <v>0</v>
      </c>
      <c r="AF78" s="118">
        <f t="shared" si="8"/>
        <v>0</v>
      </c>
      <c r="AG78" s="118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  <c r="AH79"/>
    </row>
    <row r="80" spans="1:34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0">SUM(J77:J79)</f>
        <v>0</v>
      </c>
      <c r="K80" s="175">
        <f t="shared" si="10"/>
        <v>0</v>
      </c>
      <c r="L80" s="175">
        <f t="shared" si="10"/>
        <v>0</v>
      </c>
      <c r="M80" s="175">
        <f t="shared" si="10"/>
        <v>-60120.68393369564</v>
      </c>
      <c r="N80" s="175">
        <f t="shared" si="10"/>
        <v>-60120.68393369564</v>
      </c>
      <c r="O80" s="175">
        <f t="shared" si="10"/>
        <v>-60120.68393369564</v>
      </c>
      <c r="P80" s="175">
        <f t="shared" si="10"/>
        <v>-60120.68393369564</v>
      </c>
      <c r="Q80" s="175">
        <f t="shared" si="10"/>
        <v>-60120.68393369564</v>
      </c>
      <c r="R80" s="175">
        <f t="shared" si="10"/>
        <v>-60120.68393369564</v>
      </c>
      <c r="S80" s="175">
        <f t="shared" si="10"/>
        <v>-60120.68393369564</v>
      </c>
      <c r="T80" s="175">
        <f t="shared" si="10"/>
        <v>-60120.68393369564</v>
      </c>
      <c r="U80" s="175">
        <f t="shared" si="10"/>
        <v>-60120.68393369564</v>
      </c>
      <c r="V80" s="175">
        <f t="shared" si="10"/>
        <v>-60120.68393369564</v>
      </c>
      <c r="W80" s="175">
        <f t="shared" si="10"/>
        <v>0</v>
      </c>
      <c r="X80" s="175">
        <f t="shared" si="10"/>
        <v>0</v>
      </c>
      <c r="Y80" s="175">
        <f t="shared" si="10"/>
        <v>0</v>
      </c>
      <c r="Z80" s="175">
        <f t="shared" si="10"/>
        <v>0</v>
      </c>
      <c r="AA80" s="175">
        <f t="shared" si="10"/>
        <v>0</v>
      </c>
      <c r="AB80" s="175">
        <f t="shared" si="10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6"/>
      <c r="G82" s="209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0</v>
      </c>
      <c r="K82" s="118">
        <f t="shared" si="12"/>
        <v>0</v>
      </c>
      <c r="L82" s="118">
        <f t="shared" si="12"/>
        <v>0</v>
      </c>
      <c r="M82" s="118">
        <f t="shared" si="12"/>
        <v>-60120.68393369564</v>
      </c>
      <c r="N82" s="118">
        <f t="shared" si="12"/>
        <v>-60120.68393369564</v>
      </c>
      <c r="O82" s="118">
        <f t="shared" si="12"/>
        <v>-60120.68393369564</v>
      </c>
      <c r="P82" s="118">
        <f t="shared" si="12"/>
        <v>-60120.68393369564</v>
      </c>
      <c r="Q82" s="118">
        <f t="shared" si="12"/>
        <v>-60120.68393369564</v>
      </c>
      <c r="R82" s="118">
        <f t="shared" si="12"/>
        <v>-60120.68393369564</v>
      </c>
      <c r="S82" s="118">
        <f t="shared" si="12"/>
        <v>-60120.68393369564</v>
      </c>
      <c r="T82" s="118">
        <f t="shared" si="12"/>
        <v>-60120.68393369564</v>
      </c>
      <c r="U82" s="118">
        <f t="shared" si="12"/>
        <v>-60120.68393369564</v>
      </c>
      <c r="V82" s="118">
        <f t="shared" si="12"/>
        <v>-60120.68393369564</v>
      </c>
      <c r="W82" s="118">
        <f t="shared" si="12"/>
        <v>0</v>
      </c>
      <c r="X82" s="118">
        <f t="shared" si="12"/>
        <v>0</v>
      </c>
      <c r="Y82" s="118">
        <f t="shared" si="12"/>
        <v>0</v>
      </c>
      <c r="Z82" s="118">
        <f t="shared" si="12"/>
        <v>0</v>
      </c>
      <c r="AA82" s="118">
        <f t="shared" si="12"/>
        <v>0</v>
      </c>
      <c r="AB82" s="118">
        <f t="shared" si="12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6"/>
      <c r="G83" s="209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6"/>
      <c r="G84" s="209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26684.628938588547</v>
      </c>
      <c r="N84" s="31">
        <f t="shared" si="14"/>
        <v>29747.175191382295</v>
      </c>
      <c r="O84" s="31">
        <f t="shared" si="14"/>
        <v>34962.881563924253</v>
      </c>
      <c r="P84" s="31">
        <f t="shared" si="14"/>
        <v>42059.16930770874</v>
      </c>
      <c r="Q84" s="31">
        <f t="shared" si="14"/>
        <v>47407.310480268672</v>
      </c>
      <c r="R84" s="31">
        <f t="shared" si="14"/>
        <v>48689.149645351572</v>
      </c>
      <c r="S84" s="31">
        <f t="shared" si="14"/>
        <v>49987.311360744061</v>
      </c>
      <c r="T84" s="31">
        <f t="shared" si="14"/>
        <v>51301.807354316348</v>
      </c>
      <c r="U84" s="31">
        <f t="shared" si="14"/>
        <v>52632.65098340041</v>
      </c>
      <c r="V84" s="31">
        <f t="shared" si="14"/>
        <v>53979.857191815972</v>
      </c>
      <c r="W84" s="31">
        <f t="shared" si="14"/>
        <v>55343.442468950991</v>
      </c>
      <c r="X84" s="31">
        <f t="shared" si="14"/>
        <v>56723.42481071176</v>
      </c>
      <c r="Y84" s="31">
        <f t="shared" si="14"/>
        <v>58119.823682279792</v>
      </c>
      <c r="Z84" s="31">
        <f t="shared" si="14"/>
        <v>59532.659982539481</v>
      </c>
      <c r="AA84" s="31">
        <f t="shared" si="14"/>
        <v>60961.95601010113</v>
      </c>
      <c r="AB84" s="31">
        <f t="shared" si="14"/>
        <v>62407.735430762172</v>
      </c>
      <c r="AC84" s="31">
        <f t="shared" si="14"/>
        <v>63870.023246444529</v>
      </c>
      <c r="AD84" s="31">
        <f t="shared" si="14"/>
        <v>65348.845765398582</v>
      </c>
      <c r="AE84" s="31">
        <f t="shared" si="14"/>
        <v>66813.00538049452</v>
      </c>
      <c r="AF84" s="31">
        <f t="shared" si="14"/>
        <v>68293.451056205202</v>
      </c>
      <c r="AG84" s="31">
        <f t="shared" si="14"/>
        <v>69790.214113046881</v>
      </c>
      <c r="AH84"/>
    </row>
    <row r="85" spans="1:34" x14ac:dyDescent="0.2">
      <c r="A85" s="8"/>
      <c r="B85" s="8"/>
      <c r="C85" s="4" t="s">
        <v>122</v>
      </c>
      <c r="D85" s="38"/>
      <c r="F85" s="96"/>
      <c r="G85" s="209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188</v>
      </c>
      <c r="D87" s="177"/>
      <c r="E87" s="172"/>
      <c r="F87" s="178"/>
      <c r="G87" s="214">
        <f t="shared" si="11"/>
        <v>45291</v>
      </c>
      <c r="H87" s="178"/>
      <c r="I87" s="178">
        <f t="shared" ref="I87:AB87" si="16">SUM(I82:I86)</f>
        <v>0</v>
      </c>
      <c r="J87" s="178">
        <f t="shared" si="16"/>
        <v>0</v>
      </c>
      <c r="K87" s="178">
        <f t="shared" si="16"/>
        <v>0</v>
      </c>
      <c r="L87" s="178">
        <f t="shared" si="16"/>
        <v>0</v>
      </c>
      <c r="M87" s="178">
        <f t="shared" si="16"/>
        <v>-33436.054995107093</v>
      </c>
      <c r="N87" s="178">
        <f t="shared" si="16"/>
        <v>-30373.508742313345</v>
      </c>
      <c r="O87" s="178">
        <f t="shared" si="16"/>
        <v>-25157.802369771387</v>
      </c>
      <c r="P87" s="178">
        <f t="shared" si="16"/>
        <v>-18061.5146259869</v>
      </c>
      <c r="Q87" s="178">
        <f t="shared" si="16"/>
        <v>-12713.373453426968</v>
      </c>
      <c r="R87" s="178">
        <f t="shared" si="16"/>
        <v>-11431.534288344068</v>
      </c>
      <c r="S87" s="178">
        <f t="shared" si="16"/>
        <v>-10133.372572951579</v>
      </c>
      <c r="T87" s="178">
        <f t="shared" si="16"/>
        <v>-8818.8765793792918</v>
      </c>
      <c r="U87" s="178">
        <f t="shared" si="16"/>
        <v>-7488.03295029523</v>
      </c>
      <c r="V87" s="178">
        <f t="shared" si="16"/>
        <v>-6140.8267418796677</v>
      </c>
      <c r="W87" s="178">
        <f t="shared" si="16"/>
        <v>55343.442468950991</v>
      </c>
      <c r="X87" s="178">
        <f t="shared" si="16"/>
        <v>56723.42481071176</v>
      </c>
      <c r="Y87" s="178">
        <f t="shared" si="16"/>
        <v>58119.823682279792</v>
      </c>
      <c r="Z87" s="178">
        <f t="shared" si="16"/>
        <v>59532.659982539481</v>
      </c>
      <c r="AA87" s="178">
        <f t="shared" si="16"/>
        <v>60961.95601010113</v>
      </c>
      <c r="AB87" s="178">
        <f t="shared" si="16"/>
        <v>62407.735430762172</v>
      </c>
      <c r="AC87" s="178">
        <f>SUM(AC82:AC86)</f>
        <v>63870.023246444529</v>
      </c>
      <c r="AD87" s="178">
        <f>SUM(AD82:AD86)</f>
        <v>65348.845765398582</v>
      </c>
      <c r="AE87" s="178">
        <f>SUM(AE82:AE86)</f>
        <v>66813.00538049452</v>
      </c>
      <c r="AF87" s="178">
        <f>SUM(AF82:AF86)</f>
        <v>68293.451056205202</v>
      </c>
      <c r="AG87" s="178">
        <f>SUM(AG82:AG86)</f>
        <v>69790.214113046881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193</v>
      </c>
      <c r="D92" s="235"/>
      <c r="E92" s="235"/>
      <c r="F92" s="235"/>
      <c r="G92" s="236">
        <f>IF(_xlfn.MINIFS($G$90:$G$91, $G$90:$G$91, "&gt;"&amp;0)=0, $A$4, _xlfn.MINIFS($G$90:$G$91, $G$90:$G$91, "&gt;"&amp;0))</f>
        <v>4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0</v>
      </c>
      <c r="M106" s="31">
        <f t="shared" si="17"/>
        <v>-33436.054995107093</v>
      </c>
      <c r="N106" s="31">
        <f t="shared" si="17"/>
        <v>-30373.508742313345</v>
      </c>
      <c r="O106" s="31">
        <f t="shared" si="17"/>
        <v>-25157.802369771387</v>
      </c>
      <c r="P106" s="31">
        <f t="shared" si="17"/>
        <v>-18061.5146259869</v>
      </c>
      <c r="Q106" s="31">
        <f t="shared" si="17"/>
        <v>-12713.373453426968</v>
      </c>
      <c r="R106" s="31">
        <f t="shared" si="17"/>
        <v>-11431.534288344068</v>
      </c>
      <c r="S106" s="31">
        <f t="shared" si="17"/>
        <v>-10133.372572951579</v>
      </c>
      <c r="T106" s="31">
        <f t="shared" si="17"/>
        <v>-8818.8765793792918</v>
      </c>
      <c r="U106" s="31">
        <f t="shared" si="17"/>
        <v>-7488.03295029523</v>
      </c>
      <c r="V106" s="31">
        <f t="shared" si="17"/>
        <v>-6140.8267418796677</v>
      </c>
      <c r="W106" s="31">
        <f t="shared" si="17"/>
        <v>55343.442468950991</v>
      </c>
      <c r="X106" s="31">
        <f t="shared" si="17"/>
        <v>56723.42481071176</v>
      </c>
      <c r="Y106" s="31">
        <f t="shared" si="17"/>
        <v>58119.823682279792</v>
      </c>
      <c r="Z106" s="31">
        <f t="shared" si="17"/>
        <v>59532.659982539481</v>
      </c>
      <c r="AA106" s="31">
        <f t="shared" si="17"/>
        <v>60961.95601010113</v>
      </c>
      <c r="AB106" s="31">
        <f t="shared" si="17"/>
        <v>62407.735430762172</v>
      </c>
      <c r="AC106" s="31">
        <f t="shared" si="17"/>
        <v>63870.023246444529</v>
      </c>
      <c r="AD106" s="31">
        <f t="shared" si="17"/>
        <v>65348.845765398582</v>
      </c>
      <c r="AE106" s="31">
        <f t="shared" si="17"/>
        <v>66813.00538049452</v>
      </c>
      <c r="AF106" s="31">
        <f t="shared" si="17"/>
        <v>68293.451056205202</v>
      </c>
      <c r="AG106" s="31">
        <f t="shared" si="17"/>
        <v>69790.214113046881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0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-60120.68393369564</v>
      </c>
      <c r="U107" s="31">
        <f t="shared" si="18"/>
        <v>-60120.68393369564</v>
      </c>
      <c r="V107" s="31">
        <f t="shared" si="18"/>
        <v>-60120.68393369564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26684.628938588547</v>
      </c>
      <c r="N108" s="31">
        <f t="shared" si="19"/>
        <v>29747.175191382295</v>
      </c>
      <c r="O108" s="31">
        <f t="shared" si="19"/>
        <v>34962.881563924253</v>
      </c>
      <c r="P108" s="31">
        <f t="shared" si="19"/>
        <v>42059.16930770874</v>
      </c>
      <c r="Q108" s="31">
        <f t="shared" si="19"/>
        <v>47407.310480268672</v>
      </c>
      <c r="R108" s="31">
        <f t="shared" si="19"/>
        <v>48689.149645351572</v>
      </c>
      <c r="S108" s="31">
        <f t="shared" si="19"/>
        <v>49987.311360744061</v>
      </c>
      <c r="T108" s="31">
        <f t="shared" si="19"/>
        <v>51301.807354316348</v>
      </c>
      <c r="U108" s="31">
        <f t="shared" si="19"/>
        <v>52632.65098340041</v>
      </c>
      <c r="V108" s="31">
        <f t="shared" si="19"/>
        <v>53979.857191815972</v>
      </c>
      <c r="W108" s="31">
        <f t="shared" si="19"/>
        <v>55343.442468950991</v>
      </c>
      <c r="X108" s="31">
        <f t="shared" si="19"/>
        <v>56723.42481071176</v>
      </c>
      <c r="Y108" s="31">
        <f t="shared" si="19"/>
        <v>58119.823682279792</v>
      </c>
      <c r="Z108" s="31">
        <f t="shared" si="19"/>
        <v>59532.659982539481</v>
      </c>
      <c r="AA108" s="31">
        <f t="shared" si="19"/>
        <v>60961.95601010113</v>
      </c>
      <c r="AB108" s="31">
        <f t="shared" si="19"/>
        <v>62407.735430762172</v>
      </c>
      <c r="AC108" s="31">
        <f t="shared" si="19"/>
        <v>63870.023246444529</v>
      </c>
      <c r="AD108" s="31">
        <f t="shared" si="19"/>
        <v>65348.845765398582</v>
      </c>
      <c r="AE108" s="31">
        <f t="shared" si="19"/>
        <v>66813.00538049452</v>
      </c>
      <c r="AF108" s="31">
        <f t="shared" si="19"/>
        <v>68293.451056205202</v>
      </c>
      <c r="AG108" s="31">
        <f t="shared" si="19"/>
        <v>69790.214113046881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-39448.123388476655</v>
      </c>
      <c r="N110" s="31" cm="1">
        <f t="array" ref="N110">N$106+IF($C110&lt;&gt;0,SUMPRODUCT((N$107:N$108)*TRANSPOSE(($D110:$E110))),0)</f>
        <v>-36385.577135682906</v>
      </c>
      <c r="O110" s="31" cm="1">
        <f t="array" ref="O110">O$106+IF($C110&lt;&gt;0,SUMPRODUCT((O$107:O$108)*TRANSPOSE(($D110:$E110))),0)</f>
        <v>-31169.870763140952</v>
      </c>
      <c r="P110" s="31" cm="1">
        <f t="array" ref="P110">P$106+IF($C110&lt;&gt;0,SUMPRODUCT((P$107:P$108)*TRANSPOSE(($D110:$E110))),0)</f>
        <v>-24073.583019356465</v>
      </c>
      <c r="Q110" s="31" cm="1">
        <f t="array" ref="Q110">Q$106+IF($C110&lt;&gt;0,SUMPRODUCT((Q$107:Q$108)*TRANSPOSE(($D110:$E110))),0)</f>
        <v>-18725.441846796533</v>
      </c>
      <c r="R110" s="31" cm="1">
        <f t="array" ref="R110">R$106+IF($C110&lt;&gt;0,SUMPRODUCT((R$107:R$108)*TRANSPOSE(($D110:$E110))),0)</f>
        <v>-17443.602681713634</v>
      </c>
      <c r="S110" s="31" cm="1">
        <f t="array" ref="S110">S$106+IF($C110&lt;&gt;0,SUMPRODUCT((S$107:S$108)*TRANSPOSE(($D110:$E110))),0)</f>
        <v>-16145.440966321145</v>
      </c>
      <c r="T110" s="31" cm="1">
        <f t="array" ref="T110">T$106+IF($C110&lt;&gt;0,SUMPRODUCT((T$107:T$108)*TRANSPOSE(($D110:$E110))),0)</f>
        <v>-14830.944972748857</v>
      </c>
      <c r="U110" s="31" cm="1">
        <f t="array" ref="U110">U$106+IF($C110&lt;&gt;0,SUMPRODUCT((U$107:U$108)*TRANSPOSE(($D110:$E110))),0)</f>
        <v>-13500.101343664795</v>
      </c>
      <c r="V110" s="31" cm="1">
        <f t="array" ref="V110">V$106+IF($C110&lt;&gt;0,SUMPRODUCT((V$107:V$108)*TRANSPOSE(($D110:$E110))),0)</f>
        <v>-12152.895135249233</v>
      </c>
      <c r="W110" s="31" cm="1">
        <f t="array" ref="W110">W$106+IF($C110&lt;&gt;0,SUMPRODUCT((W$107:W$108)*TRANSPOSE(($D110:$E110))),0)</f>
        <v>55343.442468950991</v>
      </c>
      <c r="X110" s="31" cm="1">
        <f t="array" ref="X110">X$106+IF($C110&lt;&gt;0,SUMPRODUCT((X$107:X$108)*TRANSPOSE(($D110:$E110))),0)</f>
        <v>56723.42481071176</v>
      </c>
      <c r="Y110" s="31" cm="1">
        <f t="array" ref="Y110">Y$106+IF($C110&lt;&gt;0,SUMPRODUCT((Y$107:Y$108)*TRANSPOSE(($D110:$E110))),0)</f>
        <v>58119.823682279792</v>
      </c>
      <c r="Z110" s="31" cm="1">
        <f t="array" ref="Z110">Z$106+IF($C110&lt;&gt;0,SUMPRODUCT((Z$107:Z$108)*TRANSPOSE(($D110:$E110))),0)</f>
        <v>59532.659982539481</v>
      </c>
      <c r="AA110" s="31" cm="1">
        <f t="array" ref="AA110">AA$106+IF($C110&lt;&gt;0,SUMPRODUCT((AA$107:AA$108)*TRANSPOSE(($D110:$E110))),0)</f>
        <v>60961.95601010113</v>
      </c>
      <c r="AB110" s="31" cm="1">
        <f t="array" ref="AB110">AB$106+IF($C110&lt;&gt;0,SUMPRODUCT((AB$107:AB$108)*TRANSPOSE(($D110:$E110))),0)</f>
        <v>62407.735430762172</v>
      </c>
      <c r="AC110" s="31" cm="1">
        <f t="array" ref="AC110">AC$106+IF($C110&lt;&gt;0,SUMPRODUCT((AC$107:AC$108)*TRANSPOSE(($D110:$E110))),0)</f>
        <v>63870.023246444529</v>
      </c>
      <c r="AD110" s="31" cm="1">
        <f t="array" ref="AD110">AD$106+IF($C110&lt;&gt;0,SUMPRODUCT((AD$107:AD$108)*TRANSPOSE(($D110:$E110))),0)</f>
        <v>65348.845765398582</v>
      </c>
      <c r="AE110" s="31" cm="1">
        <f t="array" ref="AE110">AE$106+IF($C110&lt;&gt;0,SUMPRODUCT((AE$107:AE$108)*TRANSPOSE(($D110:$E110))),0)</f>
        <v>66813.00538049452</v>
      </c>
      <c r="AF110" s="31" cm="1">
        <f t="array" ref="AF110">AF$106+IF($C110&lt;&gt;0,SUMPRODUCT((AF$107:AF$108)*TRANSPOSE(($D110:$E110))),0)</f>
        <v>68293.451056205202</v>
      </c>
      <c r="AG110" s="31" cm="1">
        <f t="array" ref="AG110">AG$106+IF($C110&lt;&gt;0,SUMPRODUCT((AG$107:AG$108)*TRANSPOSE(($D110:$E110))),0)</f>
        <v>69790.214113046881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-27423.986601737528</v>
      </c>
      <c r="N111" s="31" cm="1">
        <f t="array" ref="N111">N$106+IF($C111&lt;&gt;0,SUMPRODUCT((N$107:N$108)*TRANSPOSE(($D111:$E111))),0)</f>
        <v>-24361.440348943779</v>
      </c>
      <c r="O111" s="31" cm="1">
        <f t="array" ref="O111">O$106+IF($C111&lt;&gt;0,SUMPRODUCT((O$107:O$108)*TRANSPOSE(($D111:$E111))),0)</f>
        <v>-19145.733976401822</v>
      </c>
      <c r="P111" s="31" cm="1">
        <f t="array" ref="P111">P$106+IF($C111&lt;&gt;0,SUMPRODUCT((P$107:P$108)*TRANSPOSE(($D111:$E111))),0)</f>
        <v>-12049.446232617334</v>
      </c>
      <c r="Q111" s="31" cm="1">
        <f t="array" ref="Q111">Q$106+IF($C111&lt;&gt;0,SUMPRODUCT((Q$107:Q$108)*TRANSPOSE(($D111:$E111))),0)</f>
        <v>-6701.3050600574034</v>
      </c>
      <c r="R111" s="31" cm="1">
        <f t="array" ref="R111">R$106+IF($C111&lt;&gt;0,SUMPRODUCT((R$107:R$108)*TRANSPOSE(($D111:$E111))),0)</f>
        <v>-5419.4658949745035</v>
      </c>
      <c r="S111" s="31" cm="1">
        <f t="array" ref="S111">S$106+IF($C111&lt;&gt;0,SUMPRODUCT((S$107:S$108)*TRANSPOSE(($D111:$E111))),0)</f>
        <v>-4121.3041795820145</v>
      </c>
      <c r="T111" s="31" cm="1">
        <f t="array" ref="T111">T$106+IF($C111&lt;&gt;0,SUMPRODUCT((T$107:T$108)*TRANSPOSE(($D111:$E111))),0)</f>
        <v>-2806.8081860097273</v>
      </c>
      <c r="U111" s="31" cm="1">
        <f t="array" ref="U111">U$106+IF($C111&lt;&gt;0,SUMPRODUCT((U$107:U$108)*TRANSPOSE(($D111:$E111))),0)</f>
        <v>-1475.9645569256654</v>
      </c>
      <c r="V111" s="31" cm="1">
        <f t="array" ref="V111">V$106+IF($C111&lt;&gt;0,SUMPRODUCT((V$107:V$108)*TRANSPOSE(($D111:$E111))),0)</f>
        <v>-128.75834851010313</v>
      </c>
      <c r="W111" s="31" cm="1">
        <f t="array" ref="W111">W$106+IF($C111&lt;&gt;0,SUMPRODUCT((W$107:W$108)*TRANSPOSE(($D111:$E111))),0)</f>
        <v>55343.442468950991</v>
      </c>
      <c r="X111" s="31" cm="1">
        <f t="array" ref="X111">X$106+IF($C111&lt;&gt;0,SUMPRODUCT((X$107:X$108)*TRANSPOSE(($D111:$E111))),0)</f>
        <v>56723.42481071176</v>
      </c>
      <c r="Y111" s="31" cm="1">
        <f t="array" ref="Y111">Y$106+IF($C111&lt;&gt;0,SUMPRODUCT((Y$107:Y$108)*TRANSPOSE(($D111:$E111))),0)</f>
        <v>58119.823682279792</v>
      </c>
      <c r="Z111" s="31" cm="1">
        <f t="array" ref="Z111">Z$106+IF($C111&lt;&gt;0,SUMPRODUCT((Z$107:Z$108)*TRANSPOSE(($D111:$E111))),0)</f>
        <v>59532.659982539481</v>
      </c>
      <c r="AA111" s="31" cm="1">
        <f t="array" ref="AA111">AA$106+IF($C111&lt;&gt;0,SUMPRODUCT((AA$107:AA$108)*TRANSPOSE(($D111:$E111))),0)</f>
        <v>60961.95601010113</v>
      </c>
      <c r="AB111" s="31" cm="1">
        <f t="array" ref="AB111">AB$106+IF($C111&lt;&gt;0,SUMPRODUCT((AB$107:AB$108)*TRANSPOSE(($D111:$E111))),0)</f>
        <v>62407.735430762172</v>
      </c>
      <c r="AC111" s="31" cm="1">
        <f t="array" ref="AC111">AC$106+IF($C111&lt;&gt;0,SUMPRODUCT((AC$107:AC$108)*TRANSPOSE(($D111:$E111))),0)</f>
        <v>63870.023246444529</v>
      </c>
      <c r="AD111" s="31" cm="1">
        <f t="array" ref="AD111">AD$106+IF($C111&lt;&gt;0,SUMPRODUCT((AD$107:AD$108)*TRANSPOSE(($D111:$E111))),0)</f>
        <v>65348.845765398582</v>
      </c>
      <c r="AE111" s="31" cm="1">
        <f t="array" ref="AE111">AE$106+IF($C111&lt;&gt;0,SUMPRODUCT((AE$107:AE$108)*TRANSPOSE(($D111:$E111))),0)</f>
        <v>66813.00538049452</v>
      </c>
      <c r="AF111" s="31" cm="1">
        <f t="array" ref="AF111">AF$106+IF($C111&lt;&gt;0,SUMPRODUCT((AF$107:AF$108)*TRANSPOSE(($D111:$E111))),0)</f>
        <v>68293.451056205202</v>
      </c>
      <c r="AG111" s="31" cm="1">
        <f t="array" ref="AG111">AG$106+IF($C111&lt;&gt;0,SUMPRODUCT((AG$107:AG$108)*TRANSPOSE(($D111:$E111))),0)</f>
        <v>69790.214113046881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-30767.592101248239</v>
      </c>
      <c r="N112" s="31" cm="1">
        <f t="array" ref="N112">N$106+IF($C112&lt;&gt;0,SUMPRODUCT((N$107:N$108)*TRANSPOSE(($D112:$E112))),0)</f>
        <v>-27398.791223175114</v>
      </c>
      <c r="O112" s="31" cm="1">
        <f t="array" ref="O112">O$106+IF($C112&lt;&gt;0,SUMPRODUCT((O$107:O$108)*TRANSPOSE(($D112:$E112))),0)</f>
        <v>-21661.514213378963</v>
      </c>
      <c r="P112" s="31" cm="1">
        <f t="array" ref="P112">P$106+IF($C112&lt;&gt;0,SUMPRODUCT((P$107:P$108)*TRANSPOSE(($D112:$E112))),0)</f>
        <v>-13855.597695216025</v>
      </c>
      <c r="Q112" s="31" cm="1">
        <f t="array" ref="Q112">Q$106+IF($C112&lt;&gt;0,SUMPRODUCT((Q$107:Q$108)*TRANSPOSE(($D112:$E112))),0)</f>
        <v>-7972.6424054001009</v>
      </c>
      <c r="R112" s="31" cm="1">
        <f t="array" ref="R112">R$106+IF($C112&lt;&gt;0,SUMPRODUCT((R$107:R$108)*TRANSPOSE(($D112:$E112))),0)</f>
        <v>-6562.6193238089108</v>
      </c>
      <c r="S112" s="31" cm="1">
        <f t="array" ref="S112">S$106+IF($C112&lt;&gt;0,SUMPRODUCT((S$107:S$108)*TRANSPOSE(($D112:$E112))),0)</f>
        <v>-5134.641436877173</v>
      </c>
      <c r="T112" s="31" cm="1">
        <f t="array" ref="T112">T$106+IF($C112&lt;&gt;0,SUMPRODUCT((T$107:T$108)*TRANSPOSE(($D112:$E112))),0)</f>
        <v>-3688.6958439476566</v>
      </c>
      <c r="U112" s="31" cm="1">
        <f t="array" ref="U112">U$106+IF($C112&lt;&gt;0,SUMPRODUCT((U$107:U$108)*TRANSPOSE(($D112:$E112))),0)</f>
        <v>-2224.7678519551882</v>
      </c>
      <c r="V112" s="31" cm="1">
        <f t="array" ref="V112">V$106+IF($C112&lt;&gt;0,SUMPRODUCT((V$107:V$108)*TRANSPOSE(($D112:$E112))),0)</f>
        <v>-742.84102269807045</v>
      </c>
      <c r="W112" s="31" cm="1">
        <f t="array" ref="W112">W$106+IF($C112&lt;&gt;0,SUMPRODUCT((W$107:W$108)*TRANSPOSE(($D112:$E112))),0)</f>
        <v>60877.786715846087</v>
      </c>
      <c r="X112" s="31" cm="1">
        <f t="array" ref="X112">X$106+IF($C112&lt;&gt;0,SUMPRODUCT((X$107:X$108)*TRANSPOSE(($D112:$E112))),0)</f>
        <v>62395.767291782933</v>
      </c>
      <c r="Y112" s="31" cm="1">
        <f t="array" ref="Y112">Y$106+IF($C112&lt;&gt;0,SUMPRODUCT((Y$107:Y$108)*TRANSPOSE(($D112:$E112))),0)</f>
        <v>63931.806050507774</v>
      </c>
      <c r="Z112" s="31" cm="1">
        <f t="array" ref="Z112">Z$106+IF($C112&lt;&gt;0,SUMPRODUCT((Z$107:Z$108)*TRANSPOSE(($D112:$E112))),0)</f>
        <v>65485.925980793429</v>
      </c>
      <c r="AA112" s="31" cm="1">
        <f t="array" ref="AA112">AA$106+IF($C112&lt;&gt;0,SUMPRODUCT((AA$107:AA$108)*TRANSPOSE(($D112:$E112))),0)</f>
        <v>67058.151611111243</v>
      </c>
      <c r="AB112" s="31" cm="1">
        <f t="array" ref="AB112">AB$106+IF($C112&lt;&gt;0,SUMPRODUCT((AB$107:AB$108)*TRANSPOSE(($D112:$E112))),0)</f>
        <v>68648.508973838383</v>
      </c>
      <c r="AC112" s="31" cm="1">
        <f t="array" ref="AC112">AC$106+IF($C112&lt;&gt;0,SUMPRODUCT((AC$107:AC$108)*TRANSPOSE(($D112:$E112))),0)</f>
        <v>70257.025571088976</v>
      </c>
      <c r="AD112" s="31" cm="1">
        <f t="array" ref="AD112">AD$106+IF($C112&lt;&gt;0,SUMPRODUCT((AD$107:AD$108)*TRANSPOSE(($D112:$E112))),0)</f>
        <v>71883.730341938441</v>
      </c>
      <c r="AE112" s="31" cm="1">
        <f t="array" ref="AE112">AE$106+IF($C112&lt;&gt;0,SUMPRODUCT((AE$107:AE$108)*TRANSPOSE(($D112:$E112))),0)</f>
        <v>73494.305918543978</v>
      </c>
      <c r="AF112" s="31" cm="1">
        <f t="array" ref="AF112">AF$106+IF($C112&lt;&gt;0,SUMPRODUCT((AF$107:AF$108)*TRANSPOSE(($D112:$E112))),0)</f>
        <v>75122.796161825725</v>
      </c>
      <c r="AG112" s="31" cm="1">
        <f t="array" ref="AG112">AG$106+IF($C112&lt;&gt;0,SUMPRODUCT((AG$107:AG$108)*TRANSPOSE(($D112:$E112))),0)</f>
        <v>76769.235524351563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-36104.517888965951</v>
      </c>
      <c r="N113" s="31" cm="1">
        <f t="array" ref="N113">N$106+IF($C113&lt;&gt;0,SUMPRODUCT((N$107:N$108)*TRANSPOSE(($D113:$E113))),0)</f>
        <v>-33348.226261451571</v>
      </c>
      <c r="O113" s="31" cm="1">
        <f t="array" ref="O113">O$106+IF($C113&lt;&gt;0,SUMPRODUCT((O$107:O$108)*TRANSPOSE(($D113:$E113))),0)</f>
        <v>-28654.090526163811</v>
      </c>
      <c r="P113" s="31" cm="1">
        <f t="array" ref="P113">P$106+IF($C113&lt;&gt;0,SUMPRODUCT((P$107:P$108)*TRANSPOSE(($D113:$E113))),0)</f>
        <v>-22267.431556757772</v>
      </c>
      <c r="Q113" s="31" cm="1">
        <f t="array" ref="Q113">Q$106+IF($C113&lt;&gt;0,SUMPRODUCT((Q$107:Q$108)*TRANSPOSE(($D113:$E113))),0)</f>
        <v>-17454.104501453836</v>
      </c>
      <c r="R113" s="31" cm="1">
        <f t="array" ref="R113">R$106+IF($C113&lt;&gt;0,SUMPRODUCT((R$107:R$108)*TRANSPOSE(($D113:$E113))),0)</f>
        <v>-16300.449252879225</v>
      </c>
      <c r="S113" s="31" cm="1">
        <f t="array" ref="S113">S$106+IF($C113&lt;&gt;0,SUMPRODUCT((S$107:S$108)*TRANSPOSE(($D113:$E113))),0)</f>
        <v>-15132.103709025985</v>
      </c>
      <c r="T113" s="31" cm="1">
        <f t="array" ref="T113">T$106+IF($C113&lt;&gt;0,SUMPRODUCT((T$107:T$108)*TRANSPOSE(($D113:$E113))),0)</f>
        <v>-13949.057314810927</v>
      </c>
      <c r="U113" s="31" cm="1">
        <f t="array" ref="U113">U$106+IF($C113&lt;&gt;0,SUMPRODUCT((U$107:U$108)*TRANSPOSE(($D113:$E113))),0)</f>
        <v>-12751.298048635272</v>
      </c>
      <c r="V113" s="31" cm="1">
        <f t="array" ref="V113">V$106+IF($C113&lt;&gt;0,SUMPRODUCT((V$107:V$108)*TRANSPOSE(($D113:$E113))),0)</f>
        <v>-11538.812461061265</v>
      </c>
      <c r="W113" s="31" cm="1">
        <f t="array" ref="W113">W$106+IF($C113&lt;&gt;0,SUMPRODUCT((W$107:W$108)*TRANSPOSE(($D113:$E113))),0)</f>
        <v>49809.098222055894</v>
      </c>
      <c r="X113" s="31" cm="1">
        <f t="array" ref="X113">X$106+IF($C113&lt;&gt;0,SUMPRODUCT((X$107:X$108)*TRANSPOSE(($D113:$E113))),0)</f>
        <v>51051.082329640587</v>
      </c>
      <c r="Y113" s="31" cm="1">
        <f t="array" ref="Y113">Y$106+IF($C113&lt;&gt;0,SUMPRODUCT((Y$107:Y$108)*TRANSPOSE(($D113:$E113))),0)</f>
        <v>52307.84131405181</v>
      </c>
      <c r="Z113" s="31" cm="1">
        <f t="array" ref="Z113">Z$106+IF($C113&lt;&gt;0,SUMPRODUCT((Z$107:Z$108)*TRANSPOSE(($D113:$E113))),0)</f>
        <v>53579.393984285532</v>
      </c>
      <c r="AA113" s="31" cm="1">
        <f t="array" ref="AA113">AA$106+IF($C113&lt;&gt;0,SUMPRODUCT((AA$107:AA$108)*TRANSPOSE(($D113:$E113))),0)</f>
        <v>54865.760409091017</v>
      </c>
      <c r="AB113" s="31" cm="1">
        <f t="array" ref="AB113">AB$106+IF($C113&lt;&gt;0,SUMPRODUCT((AB$107:AB$108)*TRANSPOSE(($D113:$E113))),0)</f>
        <v>56166.961887685953</v>
      </c>
      <c r="AC113" s="31" cm="1">
        <f t="array" ref="AC113">AC$106+IF($C113&lt;&gt;0,SUMPRODUCT((AC$107:AC$108)*TRANSPOSE(($D113:$E113))),0)</f>
        <v>57483.020921800075</v>
      </c>
      <c r="AD113" s="31" cm="1">
        <f t="array" ref="AD113">AD$106+IF($C113&lt;&gt;0,SUMPRODUCT((AD$107:AD$108)*TRANSPOSE(($D113:$E113))),0)</f>
        <v>58813.961188858724</v>
      </c>
      <c r="AE113" s="31" cm="1">
        <f t="array" ref="AE113">AE$106+IF($C113&lt;&gt;0,SUMPRODUCT((AE$107:AE$108)*TRANSPOSE(($D113:$E113))),0)</f>
        <v>60131.70484244507</v>
      </c>
      <c r="AF113" s="31" cm="1">
        <f t="array" ref="AF113">AF$106+IF($C113&lt;&gt;0,SUMPRODUCT((AF$107:AF$108)*TRANSPOSE(($D113:$E113))),0)</f>
        <v>61464.105950584679</v>
      </c>
      <c r="AG113" s="31" cm="1">
        <f t="array" ref="AG113">AG$106+IF($C113&lt;&gt;0,SUMPRODUCT((AG$107:AG$108)*TRANSPOSE(($D113:$E113))),0)</f>
        <v>62811.192701742191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-42116.586282335513</v>
      </c>
      <c r="N114" s="31" cm="1">
        <f t="array" ref="N114">N$106+IF($C114&lt;&gt;0,SUMPRODUCT((N$107:N$108)*TRANSPOSE(($D114:$E114))),0)</f>
        <v>-39360.29465482114</v>
      </c>
      <c r="O114" s="31" cm="1">
        <f t="array" ref="O114">O$106+IF($C114&lt;&gt;0,SUMPRODUCT((O$107:O$108)*TRANSPOSE(($D114:$E114))),0)</f>
        <v>-34666.15891953338</v>
      </c>
      <c r="P114" s="31" cm="1">
        <f t="array" ref="P114">P$106+IF($C114&lt;&gt;0,SUMPRODUCT((P$107:P$108)*TRANSPOSE(($D114:$E114))),0)</f>
        <v>-28279.499950127338</v>
      </c>
      <c r="Q114" s="31" cm="1">
        <f t="array" ref="Q114">Q$106+IF($C114&lt;&gt;0,SUMPRODUCT((Q$107:Q$108)*TRANSPOSE(($D114:$E114))),0)</f>
        <v>-23466.172894823401</v>
      </c>
      <c r="R114" s="31" cm="1">
        <f t="array" ref="R114">R$106+IF($C114&lt;&gt;0,SUMPRODUCT((R$107:R$108)*TRANSPOSE(($D114:$E114))),0)</f>
        <v>-22312.517646248791</v>
      </c>
      <c r="S114" s="31" cm="1">
        <f t="array" ref="S114">S$106+IF($C114&lt;&gt;0,SUMPRODUCT((S$107:S$108)*TRANSPOSE(($D114:$E114))),0)</f>
        <v>-21144.172102395551</v>
      </c>
      <c r="T114" s="31" cm="1">
        <f t="array" ref="T114">T$106+IF($C114&lt;&gt;0,SUMPRODUCT((T$107:T$108)*TRANSPOSE(($D114:$E114))),0)</f>
        <v>-19961.125708180491</v>
      </c>
      <c r="U114" s="31" cm="1">
        <f t="array" ref="U114">U$106+IF($C114&lt;&gt;0,SUMPRODUCT((U$107:U$108)*TRANSPOSE(($D114:$E114))),0)</f>
        <v>-18763.366442004837</v>
      </c>
      <c r="V114" s="31" cm="1">
        <f t="array" ref="V114">V$106+IF($C114&lt;&gt;0,SUMPRODUCT((V$107:V$108)*TRANSPOSE(($D114:$E114))),0)</f>
        <v>-17550.88085443083</v>
      </c>
      <c r="W114" s="31" cm="1">
        <f t="array" ref="W114">W$106+IF($C114&lt;&gt;0,SUMPRODUCT((W$107:W$108)*TRANSPOSE(($D114:$E114))),0)</f>
        <v>49809.098222055894</v>
      </c>
      <c r="X114" s="31" cm="1">
        <f t="array" ref="X114">X$106+IF($C114&lt;&gt;0,SUMPRODUCT((X$107:X$108)*TRANSPOSE(($D114:$E114))),0)</f>
        <v>51051.082329640587</v>
      </c>
      <c r="Y114" s="31" cm="1">
        <f t="array" ref="Y114">Y$106+IF($C114&lt;&gt;0,SUMPRODUCT((Y$107:Y$108)*TRANSPOSE(($D114:$E114))),0)</f>
        <v>52307.84131405181</v>
      </c>
      <c r="Z114" s="31" cm="1">
        <f t="array" ref="Z114">Z$106+IF($C114&lt;&gt;0,SUMPRODUCT((Z$107:Z$108)*TRANSPOSE(($D114:$E114))),0)</f>
        <v>53579.393984285532</v>
      </c>
      <c r="AA114" s="31" cm="1">
        <f t="array" ref="AA114">AA$106+IF($C114&lt;&gt;0,SUMPRODUCT((AA$107:AA$108)*TRANSPOSE(($D114:$E114))),0)</f>
        <v>54865.760409091017</v>
      </c>
      <c r="AB114" s="31" cm="1">
        <f t="array" ref="AB114">AB$106+IF($C114&lt;&gt;0,SUMPRODUCT((AB$107:AB$108)*TRANSPOSE(($D114:$E114))),0)</f>
        <v>56166.961887685953</v>
      </c>
      <c r="AC114" s="31" cm="1">
        <f t="array" ref="AC114">AC$106+IF($C114&lt;&gt;0,SUMPRODUCT((AC$107:AC$108)*TRANSPOSE(($D114:$E114))),0)</f>
        <v>57483.020921800075</v>
      </c>
      <c r="AD114" s="31" cm="1">
        <f t="array" ref="AD114">AD$106+IF($C114&lt;&gt;0,SUMPRODUCT((AD$107:AD$108)*TRANSPOSE(($D114:$E114))),0)</f>
        <v>58813.961188858724</v>
      </c>
      <c r="AE114" s="31" cm="1">
        <f t="array" ref="AE114">AE$106+IF($C114&lt;&gt;0,SUMPRODUCT((AE$107:AE$108)*TRANSPOSE(($D114:$E114))),0)</f>
        <v>60131.70484244507</v>
      </c>
      <c r="AF114" s="31" cm="1">
        <f t="array" ref="AF114">AF$106+IF($C114&lt;&gt;0,SUMPRODUCT((AF$107:AF$108)*TRANSPOSE(($D114:$E114))),0)</f>
        <v>61464.105950584679</v>
      </c>
      <c r="AG114" s="31" cm="1">
        <f t="array" ref="AG114">AG$106+IF($C114&lt;&gt;0,SUMPRODUCT((AG$107:AG$108)*TRANSPOSE(($D114:$E114))),0)</f>
        <v>62811.192701742191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-33436.054995107093</v>
      </c>
      <c r="N115" s="31" cm="1">
        <f t="array" ref="N115">N$106+IF($C115&lt;&gt;0,SUMPRODUCT((N$107:N$108)*TRANSPOSE(($D115:$E115))),0)</f>
        <v>-30373.508742313345</v>
      </c>
      <c r="O115" s="31" cm="1">
        <f t="array" ref="O115">O$106+IF($C115&lt;&gt;0,SUMPRODUCT((O$107:O$108)*TRANSPOSE(($D115:$E115))),0)</f>
        <v>-25157.802369771387</v>
      </c>
      <c r="P115" s="31" cm="1">
        <f t="array" ref="P115">P$106+IF($C115&lt;&gt;0,SUMPRODUCT((P$107:P$108)*TRANSPOSE(($D115:$E115))),0)</f>
        <v>-18061.5146259869</v>
      </c>
      <c r="Q115" s="31" cm="1">
        <f t="array" ref="Q115">Q$106+IF($C115&lt;&gt;0,SUMPRODUCT((Q$107:Q$108)*TRANSPOSE(($D115:$E115))),0)</f>
        <v>-12713.373453426968</v>
      </c>
      <c r="R115" s="31" cm="1">
        <f t="array" ref="R115">R$106+IF($C115&lt;&gt;0,SUMPRODUCT((R$107:R$108)*TRANSPOSE(($D115:$E115))),0)</f>
        <v>-11431.534288344068</v>
      </c>
      <c r="S115" s="31" cm="1">
        <f t="array" ref="S115">S$106+IF($C115&lt;&gt;0,SUMPRODUCT((S$107:S$108)*TRANSPOSE(($D115:$E115))),0)</f>
        <v>-10133.372572951579</v>
      </c>
      <c r="T115" s="31" cm="1">
        <f t="array" ref="T115">T$106+IF($C115&lt;&gt;0,SUMPRODUCT((T$107:T$108)*TRANSPOSE(($D115:$E115))),0)</f>
        <v>-8818.8765793792918</v>
      </c>
      <c r="U115" s="31" cm="1">
        <f t="array" ref="U115">U$106+IF($C115&lt;&gt;0,SUMPRODUCT((U$107:U$108)*TRANSPOSE(($D115:$E115))),0)</f>
        <v>-7488.03295029523</v>
      </c>
      <c r="V115" s="31" cm="1">
        <f t="array" ref="V115">V$106+IF($C115&lt;&gt;0,SUMPRODUCT((V$107:V$108)*TRANSPOSE(($D115:$E115))),0)</f>
        <v>-6140.8267418796677</v>
      </c>
      <c r="W115" s="31" cm="1">
        <f t="array" ref="W115">W$106+IF($C115&lt;&gt;0,SUMPRODUCT((W$107:W$108)*TRANSPOSE(($D115:$E115))),0)</f>
        <v>55343.442468950991</v>
      </c>
      <c r="X115" s="31" cm="1">
        <f t="array" ref="X115">X$106+IF($C115&lt;&gt;0,SUMPRODUCT((X$107:X$108)*TRANSPOSE(($D115:$E115))),0)</f>
        <v>56723.42481071176</v>
      </c>
      <c r="Y115" s="31" cm="1">
        <f t="array" ref="Y115">Y$106+IF($C115&lt;&gt;0,SUMPRODUCT((Y$107:Y$108)*TRANSPOSE(($D115:$E115))),0)</f>
        <v>58119.823682279792</v>
      </c>
      <c r="Z115" s="31" cm="1">
        <f t="array" ref="Z115">Z$106+IF($C115&lt;&gt;0,SUMPRODUCT((Z$107:Z$108)*TRANSPOSE(($D115:$E115))),0)</f>
        <v>59532.659982539481</v>
      </c>
      <c r="AA115" s="31" cm="1">
        <f t="array" ref="AA115">AA$106+IF($C115&lt;&gt;0,SUMPRODUCT((AA$107:AA$108)*TRANSPOSE(($D115:$E115))),0)</f>
        <v>60961.95601010113</v>
      </c>
      <c r="AB115" s="31" cm="1">
        <f t="array" ref="AB115">AB$106+IF($C115&lt;&gt;0,SUMPRODUCT((AB$107:AB$108)*TRANSPOSE(($D115:$E115))),0)</f>
        <v>62407.735430762172</v>
      </c>
      <c r="AC115" s="31" cm="1">
        <f t="array" ref="AC115">AC$106+IF($C115&lt;&gt;0,SUMPRODUCT((AC$107:AC$108)*TRANSPOSE(($D115:$E115))),0)</f>
        <v>63870.023246444529</v>
      </c>
      <c r="AD115" s="31" cm="1">
        <f t="array" ref="AD115">AD$106+IF($C115&lt;&gt;0,SUMPRODUCT((AD$107:AD$108)*TRANSPOSE(($D115:$E115))),0)</f>
        <v>65348.845765398582</v>
      </c>
      <c r="AE115" s="31" cm="1">
        <f t="array" ref="AE115">AE$106+IF($C115&lt;&gt;0,SUMPRODUCT((AE$107:AE$108)*TRANSPOSE(($D115:$E115))),0)</f>
        <v>66813.00538049452</v>
      </c>
      <c r="AF115" s="31" cm="1">
        <f t="array" ref="AF115">AF$106+IF($C115&lt;&gt;0,SUMPRODUCT((AF$107:AF$108)*TRANSPOSE(($D115:$E115))),0)</f>
        <v>68293.451056205202</v>
      </c>
      <c r="AG115" s="31" cm="1">
        <f t="array" ref="AG115">AG$106+IF($C115&lt;&gt;0,SUMPRODUCT((AG$107:AG$108)*TRANSPOSE(($D115:$E115))),0)</f>
        <v>69790.214113046881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-33436.054995107093</v>
      </c>
      <c r="N116" s="31" cm="1">
        <f t="array" ref="N116">N$106+IF($C116&lt;&gt;0,SUMPRODUCT((N$107:N$108)*TRANSPOSE(($D116:$E116))),0)</f>
        <v>-30373.508742313345</v>
      </c>
      <c r="O116" s="31" cm="1">
        <f t="array" ref="O116">O$106+IF($C116&lt;&gt;0,SUMPRODUCT((O$107:O$108)*TRANSPOSE(($D116:$E116))),0)</f>
        <v>-25157.802369771387</v>
      </c>
      <c r="P116" s="31" cm="1">
        <f t="array" ref="P116">P$106+IF($C116&lt;&gt;0,SUMPRODUCT((P$107:P$108)*TRANSPOSE(($D116:$E116))),0)</f>
        <v>-18061.5146259869</v>
      </c>
      <c r="Q116" s="31" cm="1">
        <f t="array" ref="Q116">Q$106+IF($C116&lt;&gt;0,SUMPRODUCT((Q$107:Q$108)*TRANSPOSE(($D116:$E116))),0)</f>
        <v>-12713.373453426968</v>
      </c>
      <c r="R116" s="31" cm="1">
        <f t="array" ref="R116">R$106+IF($C116&lt;&gt;0,SUMPRODUCT((R$107:R$108)*TRANSPOSE(($D116:$E116))),0)</f>
        <v>-11431.534288344068</v>
      </c>
      <c r="S116" s="31" cm="1">
        <f t="array" ref="S116">S$106+IF($C116&lt;&gt;0,SUMPRODUCT((S$107:S$108)*TRANSPOSE(($D116:$E116))),0)</f>
        <v>-10133.372572951579</v>
      </c>
      <c r="T116" s="31" cm="1">
        <f t="array" ref="T116">T$106+IF($C116&lt;&gt;0,SUMPRODUCT((T$107:T$108)*TRANSPOSE(($D116:$E116))),0)</f>
        <v>-8818.8765793792918</v>
      </c>
      <c r="U116" s="31" cm="1">
        <f t="array" ref="U116">U$106+IF($C116&lt;&gt;0,SUMPRODUCT((U$107:U$108)*TRANSPOSE(($D116:$E116))),0)</f>
        <v>-7488.03295029523</v>
      </c>
      <c r="V116" s="31" cm="1">
        <f t="array" ref="V116">V$106+IF($C116&lt;&gt;0,SUMPRODUCT((V$107:V$108)*TRANSPOSE(($D116:$E116))),0)</f>
        <v>-6140.8267418796677</v>
      </c>
      <c r="W116" s="31" cm="1">
        <f t="array" ref="W116">W$106+IF($C116&lt;&gt;0,SUMPRODUCT((W$107:W$108)*TRANSPOSE(($D116:$E116))),0)</f>
        <v>55343.442468950991</v>
      </c>
      <c r="X116" s="31" cm="1">
        <f t="array" ref="X116">X$106+IF($C116&lt;&gt;0,SUMPRODUCT((X$107:X$108)*TRANSPOSE(($D116:$E116))),0)</f>
        <v>56723.42481071176</v>
      </c>
      <c r="Y116" s="31" cm="1">
        <f t="array" ref="Y116">Y$106+IF($C116&lt;&gt;0,SUMPRODUCT((Y$107:Y$108)*TRANSPOSE(($D116:$E116))),0)</f>
        <v>58119.823682279792</v>
      </c>
      <c r="Z116" s="31" cm="1">
        <f t="array" ref="Z116">Z$106+IF($C116&lt;&gt;0,SUMPRODUCT((Z$107:Z$108)*TRANSPOSE(($D116:$E116))),0)</f>
        <v>59532.659982539481</v>
      </c>
      <c r="AA116" s="31" cm="1">
        <f t="array" ref="AA116">AA$106+IF($C116&lt;&gt;0,SUMPRODUCT((AA$107:AA$108)*TRANSPOSE(($D116:$E116))),0)</f>
        <v>60961.95601010113</v>
      </c>
      <c r="AB116" s="31" cm="1">
        <f t="array" ref="AB116">AB$106+IF($C116&lt;&gt;0,SUMPRODUCT((AB$107:AB$108)*TRANSPOSE(($D116:$E116))),0)</f>
        <v>62407.735430762172</v>
      </c>
      <c r="AC116" s="31" cm="1">
        <f t="array" ref="AC116">AC$106+IF($C116&lt;&gt;0,SUMPRODUCT((AC$107:AC$108)*TRANSPOSE(($D116:$E116))),0)</f>
        <v>63870.023246444529</v>
      </c>
      <c r="AD116" s="31" cm="1">
        <f t="array" ref="AD116">AD$106+IF($C116&lt;&gt;0,SUMPRODUCT((AD$107:AD$108)*TRANSPOSE(($D116:$E116))),0)</f>
        <v>65348.845765398582</v>
      </c>
      <c r="AE116" s="31" cm="1">
        <f t="array" ref="AE116">AE$106+IF($C116&lt;&gt;0,SUMPRODUCT((AE$107:AE$108)*TRANSPOSE(($D116:$E116))),0)</f>
        <v>66813.00538049452</v>
      </c>
      <c r="AF116" s="31" cm="1">
        <f t="array" ref="AF116">AF$106+IF($C116&lt;&gt;0,SUMPRODUCT((AF$107:AF$108)*TRANSPOSE(($D116:$E116))),0)</f>
        <v>68293.451056205202</v>
      </c>
      <c r="AG116" s="31" cm="1">
        <f t="array" ref="AG116">AG$106+IF($C116&lt;&gt;0,SUMPRODUCT((AG$107:AG$108)*TRANSPOSE(($D116:$E116))),0)</f>
        <v>69790.214113046881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-33436.054995107093</v>
      </c>
      <c r="N117" s="31" cm="1">
        <f t="array" ref="N117">N$106+IF($C117&lt;&gt;0,SUMPRODUCT((N$107:N$108)*TRANSPOSE(($D117:$E117))),0)</f>
        <v>-30373.508742313345</v>
      </c>
      <c r="O117" s="31" cm="1">
        <f t="array" ref="O117">O$106+IF($C117&lt;&gt;0,SUMPRODUCT((O$107:O$108)*TRANSPOSE(($D117:$E117))),0)</f>
        <v>-25157.802369771387</v>
      </c>
      <c r="P117" s="31" cm="1">
        <f t="array" ref="P117">P$106+IF($C117&lt;&gt;0,SUMPRODUCT((P$107:P$108)*TRANSPOSE(($D117:$E117))),0)</f>
        <v>-18061.5146259869</v>
      </c>
      <c r="Q117" s="31" cm="1">
        <f t="array" ref="Q117">Q$106+IF($C117&lt;&gt;0,SUMPRODUCT((Q$107:Q$108)*TRANSPOSE(($D117:$E117))),0)</f>
        <v>-12713.373453426968</v>
      </c>
      <c r="R117" s="31" cm="1">
        <f t="array" ref="R117">R$106+IF($C117&lt;&gt;0,SUMPRODUCT((R$107:R$108)*TRANSPOSE(($D117:$E117))),0)</f>
        <v>-11431.534288344068</v>
      </c>
      <c r="S117" s="31" cm="1">
        <f t="array" ref="S117">S$106+IF($C117&lt;&gt;0,SUMPRODUCT((S$107:S$108)*TRANSPOSE(($D117:$E117))),0)</f>
        <v>-10133.372572951579</v>
      </c>
      <c r="T117" s="31" cm="1">
        <f t="array" ref="T117">T$106+IF($C117&lt;&gt;0,SUMPRODUCT((T$107:T$108)*TRANSPOSE(($D117:$E117))),0)</f>
        <v>-8818.8765793792918</v>
      </c>
      <c r="U117" s="31" cm="1">
        <f t="array" ref="U117">U$106+IF($C117&lt;&gt;0,SUMPRODUCT((U$107:U$108)*TRANSPOSE(($D117:$E117))),0)</f>
        <v>-7488.03295029523</v>
      </c>
      <c r="V117" s="31" cm="1">
        <f t="array" ref="V117">V$106+IF($C117&lt;&gt;0,SUMPRODUCT((V$107:V$108)*TRANSPOSE(($D117:$E117))),0)</f>
        <v>-6140.8267418796677</v>
      </c>
      <c r="W117" s="31" cm="1">
        <f t="array" ref="W117">W$106+IF($C117&lt;&gt;0,SUMPRODUCT((W$107:W$108)*TRANSPOSE(($D117:$E117))),0)</f>
        <v>55343.442468950991</v>
      </c>
      <c r="X117" s="31" cm="1">
        <f t="array" ref="X117">X$106+IF($C117&lt;&gt;0,SUMPRODUCT((X$107:X$108)*TRANSPOSE(($D117:$E117))),0)</f>
        <v>56723.42481071176</v>
      </c>
      <c r="Y117" s="31" cm="1">
        <f t="array" ref="Y117">Y$106+IF($C117&lt;&gt;0,SUMPRODUCT((Y$107:Y$108)*TRANSPOSE(($D117:$E117))),0)</f>
        <v>58119.823682279792</v>
      </c>
      <c r="Z117" s="31" cm="1">
        <f t="array" ref="Z117">Z$106+IF($C117&lt;&gt;0,SUMPRODUCT((Z$107:Z$108)*TRANSPOSE(($D117:$E117))),0)</f>
        <v>59532.659982539481</v>
      </c>
      <c r="AA117" s="31" cm="1">
        <f t="array" ref="AA117">AA$106+IF($C117&lt;&gt;0,SUMPRODUCT((AA$107:AA$108)*TRANSPOSE(($D117:$E117))),0)</f>
        <v>60961.95601010113</v>
      </c>
      <c r="AB117" s="31" cm="1">
        <f t="array" ref="AB117">AB$106+IF($C117&lt;&gt;0,SUMPRODUCT((AB$107:AB$108)*TRANSPOSE(($D117:$E117))),0)</f>
        <v>62407.735430762172</v>
      </c>
      <c r="AC117" s="31" cm="1">
        <f t="array" ref="AC117">AC$106+IF($C117&lt;&gt;0,SUMPRODUCT((AC$107:AC$108)*TRANSPOSE(($D117:$E117))),0)</f>
        <v>63870.023246444529</v>
      </c>
      <c r="AD117" s="31" cm="1">
        <f t="array" ref="AD117">AD$106+IF($C117&lt;&gt;0,SUMPRODUCT((AD$107:AD$108)*TRANSPOSE(($D117:$E117))),0)</f>
        <v>65348.845765398582</v>
      </c>
      <c r="AE117" s="31" cm="1">
        <f t="array" ref="AE117">AE$106+IF($C117&lt;&gt;0,SUMPRODUCT((AE$107:AE$108)*TRANSPOSE(($D117:$E117))),0)</f>
        <v>66813.00538049452</v>
      </c>
      <c r="AF117" s="31" cm="1">
        <f t="array" ref="AF117">AF$106+IF($C117&lt;&gt;0,SUMPRODUCT((AF$107:AF$108)*TRANSPOSE(($D117:$E117))),0)</f>
        <v>68293.451056205202</v>
      </c>
      <c r="AG117" s="31" cm="1">
        <f t="array" ref="AG117">AG$106+IF($C117&lt;&gt;0,SUMPRODUCT((AG$107:AG$108)*TRANSPOSE(($D117:$E117))),0)</f>
        <v>69790.214113046881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6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VM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185</v>
      </c>
      <c r="B3" s="5"/>
      <c r="C3" s="199">
        <f>INDEX(Assumptions!$E$14:$E$18, MATCH(A3,_xlfn.ANCHORARRAY( Assumptions!$C$14),0))</f>
        <v>0</v>
      </c>
    </row>
    <row r="4" spans="1:43" x14ac:dyDescent="0.2">
      <c r="A4" s="200" t="str">
        <f>(INDEX(Data!$D$9:$D$13, MATCH(A3, options,0)))</f>
        <v>Not used</v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9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148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6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7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7"/>
      <c r="H24" s="110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7"/>
      <c r="E25" s="110"/>
      <c r="F25" s="110"/>
      <c r="G25" s="207"/>
      <c r="H25" s="110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7"/>
      <c r="E26" s="110"/>
      <c r="F26" s="110"/>
      <c r="G26" s="207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2">
        <f>Assumptions!H41*vcr_esc</f>
        <v>35890.696556723749</v>
      </c>
      <c r="F28" s="237" t="str">
        <f>IF(AND(SUM(I27:AG27)&lt;&gt;0, E28=0), "!", "")</f>
        <v/>
      </c>
      <c r="G28" s="206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208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208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173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173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7"/>
      <c r="E36" s="106"/>
      <c r="F36" s="3"/>
      <c r="G36" s="208"/>
      <c r="H36" s="106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2">
        <f>Assumptions!G94</f>
        <v>0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2">
        <f>Assumptions!G95</f>
        <v>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1">
        <f>Assumptions!G96</f>
        <v>4220.9953699573898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1">
        <f>Assumptions!G97</f>
        <v>0</v>
      </c>
      <c r="G48" s="206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4" t="s">
        <v>206</v>
      </c>
      <c r="E49" s="111">
        <f>Assumptions!G98</f>
        <v>0.54769380678923496</v>
      </c>
      <c r="G49" s="206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4" t="s">
        <v>206</v>
      </c>
      <c r="E50" s="111">
        <f>Assumptions!G99</f>
        <v>0.54769380678923496</v>
      </c>
      <c r="G50" s="206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1">
        <f>Assumptions!G100</f>
        <v>0</v>
      </c>
      <c r="G51" s="206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1">
        <f>Assumptions!G101</f>
        <v>0</v>
      </c>
      <c r="G52" s="206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6"/>
      <c r="F57" s="3"/>
      <c r="G57" s="209">
        <f>input_dollars</f>
        <v>45291</v>
      </c>
      <c r="H57" s="106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7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6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9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9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9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3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6" t="s">
        <v>156</v>
      </c>
      <c r="D71" s="38"/>
      <c r="F71" s="96"/>
      <c r="G71" s="212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9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9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9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3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6" t="s">
        <v>91</v>
      </c>
      <c r="D76" s="38"/>
      <c r="F76" s="96"/>
      <c r="G76" s="212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9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9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9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1" t="s">
        <v>157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0</v>
      </c>
      <c r="K80" s="175">
        <f t="shared" si="11"/>
        <v>0</v>
      </c>
      <c r="L80" s="175">
        <f t="shared" si="11"/>
        <v>0</v>
      </c>
      <c r="M80" s="175">
        <f t="shared" si="11"/>
        <v>0</v>
      </c>
      <c r="N80" s="175">
        <f t="shared" si="11"/>
        <v>0</v>
      </c>
      <c r="O80" s="175">
        <f t="shared" si="11"/>
        <v>0</v>
      </c>
      <c r="P80" s="175">
        <f t="shared" si="11"/>
        <v>0</v>
      </c>
      <c r="Q80" s="175">
        <f t="shared" si="11"/>
        <v>0</v>
      </c>
      <c r="R80" s="175">
        <f t="shared" si="11"/>
        <v>0</v>
      </c>
      <c r="S80" s="175">
        <f t="shared" si="11"/>
        <v>0</v>
      </c>
      <c r="T80" s="175">
        <f t="shared" si="11"/>
        <v>0</v>
      </c>
      <c r="U80" s="175">
        <f t="shared" si="11"/>
        <v>0</v>
      </c>
      <c r="V80" s="175">
        <f t="shared" si="11"/>
        <v>0</v>
      </c>
      <c r="W80" s="175">
        <f t="shared" si="11"/>
        <v>0</v>
      </c>
      <c r="X80" s="175">
        <f t="shared" si="11"/>
        <v>0</v>
      </c>
      <c r="Y80" s="175">
        <f t="shared" si="11"/>
        <v>0</v>
      </c>
      <c r="Z80" s="175">
        <f t="shared" si="11"/>
        <v>0</v>
      </c>
      <c r="AA80" s="175">
        <f t="shared" si="11"/>
        <v>0</v>
      </c>
      <c r="AB80" s="175">
        <f t="shared" si="11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9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188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0</v>
      </c>
      <c r="K87" s="178">
        <f t="shared" si="17"/>
        <v>0</v>
      </c>
      <c r="L87" s="178">
        <f t="shared" si="17"/>
        <v>0</v>
      </c>
      <c r="M87" s="178">
        <f t="shared" si="17"/>
        <v>0</v>
      </c>
      <c r="N87" s="178">
        <f t="shared" si="17"/>
        <v>0</v>
      </c>
      <c r="O87" s="178">
        <f t="shared" si="17"/>
        <v>0</v>
      </c>
      <c r="P87" s="178">
        <f t="shared" si="17"/>
        <v>0</v>
      </c>
      <c r="Q87" s="178">
        <f t="shared" si="17"/>
        <v>0</v>
      </c>
      <c r="R87" s="178">
        <f t="shared" si="17"/>
        <v>0</v>
      </c>
      <c r="S87" s="178">
        <f t="shared" si="17"/>
        <v>0</v>
      </c>
      <c r="T87" s="178">
        <f t="shared" si="17"/>
        <v>0</v>
      </c>
      <c r="U87" s="178">
        <f t="shared" si="17"/>
        <v>0</v>
      </c>
      <c r="V87" s="178">
        <f t="shared" si="17"/>
        <v>0</v>
      </c>
      <c r="W87" s="178">
        <f t="shared" si="17"/>
        <v>0</v>
      </c>
      <c r="X87" s="178">
        <f t="shared" si="17"/>
        <v>0</v>
      </c>
      <c r="Y87" s="178">
        <f t="shared" si="17"/>
        <v>0</v>
      </c>
      <c r="Z87" s="178">
        <f t="shared" si="17"/>
        <v>0</v>
      </c>
      <c r="AA87" s="178">
        <f t="shared" si="17"/>
        <v>0</v>
      </c>
      <c r="AB87" s="178">
        <f t="shared" si="17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6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9" t="s">
        <v>198</v>
      </c>
      <c r="D90" s="82"/>
      <c r="E90" s="230"/>
      <c r="F90" s="231"/>
      <c r="G90" s="232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193</v>
      </c>
      <c r="D92" s="235"/>
      <c r="E92" s="235"/>
      <c r="F92" s="235"/>
      <c r="G92" s="236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VM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4" s="2" customFormat="1" hidden="1" outlineLevel="1" x14ac:dyDescent="0.2">
      <c r="A5" s="115" t="s">
        <v>194</v>
      </c>
      <c r="B5" s="115"/>
      <c r="C5" s="116"/>
      <c r="D5" s="115"/>
      <c r="E5" s="115"/>
      <c r="F5" s="115"/>
      <c r="G5" s="100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5"/>
      <c r="C6" s="116"/>
      <c r="D6" s="115"/>
      <c r="E6" s="115"/>
      <c r="F6" s="115"/>
      <c r="G6" s="100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5" t="s">
        <v>195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1</v>
      </c>
      <c r="AD7" s="100" t="b">
        <f t="shared" si="1"/>
        <v>1</v>
      </c>
      <c r="AE7" s="100" t="b">
        <f t="shared" si="1"/>
        <v>1</v>
      </c>
      <c r="AF7" s="100" t="b">
        <f t="shared" si="1"/>
        <v>0</v>
      </c>
      <c r="AG7" s="100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39</v>
      </c>
      <c r="B11" s="119"/>
      <c r="C11" s="120"/>
      <c r="D11" s="120"/>
      <c r="E11" s="120"/>
      <c r="F11" s="70" t="s">
        <v>153</v>
      </c>
      <c r="G11" s="221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3"/>
      <c r="H12" s="11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2"/>
      <c r="B13" s="122"/>
      <c r="C13" s="122"/>
      <c r="D13" s="117"/>
      <c r="F13" s="117"/>
      <c r="G13" s="220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6">
        <f>SUMPRODUCT($H14:$AG14, $H$5:$AG$5)</f>
        <v>18470485.49046275</v>
      </c>
      <c r="G14" s="270">
        <f>output_dollars</f>
        <v>46203</v>
      </c>
      <c r="H14" s="271"/>
      <c r="I14" s="31">
        <f>'Option1 (base case)'!I$28*conv_2026</f>
        <v>349502.6614517612</v>
      </c>
      <c r="J14" s="31">
        <f>'Option1 (base case)'!J$28*conv_2026</f>
        <v>408133.72603310214</v>
      </c>
      <c r="K14" s="31">
        <f>'Option1 (base case)'!K$28*conv_2026</f>
        <v>484277.82632777956</v>
      </c>
      <c r="L14" s="31">
        <f>'Option1 (base case)'!L$28*conv_2026</f>
        <v>571511.80367195536</v>
      </c>
      <c r="M14" s="31">
        <f>'Option1 (base case)'!M$28*conv_2026</f>
        <v>641807.81000158668</v>
      </c>
      <c r="N14" s="31">
        <f>'Option1 (base case)'!N$28*conv_2026</f>
        <v>722065.25566878438</v>
      </c>
      <c r="O14" s="31">
        <f>'Option1 (base case)'!O$28*conv_2026</f>
        <v>861670.04884182522</v>
      </c>
      <c r="P14" s="31">
        <f>'Option1 (base case)'!P$28*conv_2026</f>
        <v>1053005.0535876283</v>
      </c>
      <c r="Q14" s="31">
        <f>'Option1 (base case)'!Q$28*conv_2026</f>
        <v>1197400.0121050049</v>
      </c>
      <c r="R14" s="31">
        <f>'Option1 (base case)'!R$28*conv_2026</f>
        <v>1230248.9848257359</v>
      </c>
      <c r="S14" s="31">
        <f>'Option1 (base case)'!S$28*conv_2026</f>
        <v>1263489.644142492</v>
      </c>
      <c r="T14" s="31">
        <f>'Option1 (base case)'!T$28*conv_2026</f>
        <v>1297121.5607370071</v>
      </c>
      <c r="U14" s="31">
        <f>'Option1 (base case)'!U$28*conv_2026</f>
        <v>1331144.341874866</v>
      </c>
      <c r="V14" s="31">
        <f>'Option1 (base case)'!V$28*conv_2026</f>
        <v>1365557.6303773739</v>
      </c>
      <c r="W14" s="31">
        <f>'Option1 (base case)'!W$28*conv_2026</f>
        <v>1400361.1036399645</v>
      </c>
      <c r="X14" s="31">
        <f>'Option1 (base case)'!X$28*conv_2026</f>
        <v>1435554.4726943269</v>
      </c>
      <c r="Y14" s="31">
        <f>'Option1 (base case)'!Y$28*conv_2026</f>
        <v>1471137.4813119182</v>
      </c>
      <c r="Z14" s="31">
        <f>'Option1 (base case)'!Z$28*conv_2026</f>
        <v>1507109.9051463651</v>
      </c>
      <c r="AA14" s="31">
        <f>'Option1 (base case)'!AA$28*conv_2026</f>
        <v>1543471.550912743</v>
      </c>
      <c r="AB14" s="31">
        <f>'Option1 (base case)'!AB$28*conv_2026</f>
        <v>1580222.2556015754</v>
      </c>
      <c r="AC14" s="31">
        <f>'Option1 (base case)'!AC$28*conv_2026</f>
        <v>1617361.8857257653</v>
      </c>
      <c r="AD14" s="31">
        <f>'Option1 (base case)'!AD$28*conv_2026</f>
        <v>1654890.3365986345</v>
      </c>
      <c r="AE14" s="31">
        <f>'Option1 (base case)'!AE$28*conv_2026</f>
        <v>1692807.5316414048</v>
      </c>
      <c r="AF14" s="31">
        <f>'Option1 (base case)'!AF$28*conv_2026</f>
        <v>1731113.4217186614</v>
      </c>
      <c r="AG14" s="31">
        <f>'Option1 (base case)'!AG$28*conv_2026</f>
        <v>1769807.9845002203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6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7" cm="1">
        <f t="array" ref="F16">SUMPRODUCT(($H16:$AG16)*($H$5:$AG$5)*($H$7:$AG$7))</f>
        <v>18587220.440706618</v>
      </c>
      <c r="G16" s="224">
        <f>output_dollars</f>
        <v>46203</v>
      </c>
      <c r="H16" s="31"/>
      <c r="I16" s="31">
        <f>'Option1 (base case)'!I$36*conv_2026</f>
        <v>443144.43301220296</v>
      </c>
      <c r="J16" s="31">
        <f>'Option1 (base case)'!J$36*conv_2026</f>
        <v>502773.46590313845</v>
      </c>
      <c r="K16" s="31">
        <f>'Option1 (base case)'!K$36*conv_2026</f>
        <v>579927.74846070388</v>
      </c>
      <c r="L16" s="31">
        <f>'Option1 (base case)'!L$36*conv_2026</f>
        <v>668184.05860572052</v>
      </c>
      <c r="M16" s="31">
        <f>'Option1 (base case)'!M$36*conv_2026</f>
        <v>739514.4862714851</v>
      </c>
      <c r="N16" s="31">
        <f>'Option1 (base case)'!N$36*conv_2026</f>
        <v>820818.38116499071</v>
      </c>
      <c r="O16" s="31">
        <f>'Option1 (base case)'!O$36*conv_2026</f>
        <v>961481.59211486252</v>
      </c>
      <c r="P16" s="31">
        <f>'Option1 (base case)'!P$36*conv_2026</f>
        <v>1153886.9251045946</v>
      </c>
      <c r="Q16" s="31">
        <f>'Option1 (base case)'!Q$36*conv_2026</f>
        <v>1299364.0654591995</v>
      </c>
      <c r="R16" s="31">
        <f>'Option1 (base case)'!R$36*conv_2026</f>
        <v>1333307.0179021428</v>
      </c>
      <c r="S16" s="31">
        <f>'Option1 (base case)'!S$36*conv_2026</f>
        <v>1367653.4002414073</v>
      </c>
      <c r="T16" s="31">
        <f>'Option1 (base case)'!T$36*conv_2026</f>
        <v>1402402.7296579513</v>
      </c>
      <c r="U16" s="31">
        <f>'Option1 (base case)'!U$36*conv_2026</f>
        <v>1437554.5609627727</v>
      </c>
      <c r="V16" s="31">
        <f>'Option1 (base case)'!V$36*conv_2026</f>
        <v>1473108.4855329208</v>
      </c>
      <c r="W16" s="31">
        <f>'Option1 (base case)'!W$36*conv_2026</f>
        <v>1509064.1302957982</v>
      </c>
      <c r="X16" s="31">
        <f>'Option1 (base case)'!X$36*conv_2026</f>
        <v>1545421.1567588116</v>
      </c>
      <c r="Y16" s="31">
        <f>'Option1 (base case)'!Y$36*conv_2026</f>
        <v>1582179.2600819501</v>
      </c>
      <c r="Z16" s="31">
        <f>'Option1 (base case)'!Z$36*conv_2026</f>
        <v>1619338.1681906907</v>
      </c>
      <c r="AA16" s="31">
        <f>'Option1 (base case)'!AA$36*conv_2026</f>
        <v>1656897.6409271378</v>
      </c>
      <c r="AB16" s="31">
        <f>'Option1 (base case)'!AB$36*conv_2026</f>
        <v>1694857.4692371571</v>
      </c>
      <c r="AC16" s="31">
        <f>'Option1 (base case)'!AC$36*conv_2026</f>
        <v>1733217.4743916418</v>
      </c>
      <c r="AD16" s="31">
        <f>'Option1 (base case)'!AD$36*conv_2026</f>
        <v>1771977.5072400174</v>
      </c>
      <c r="AE16" s="31">
        <f>'Option1 (base case)'!AE$36*conv_2026</f>
        <v>1809894.7022827878</v>
      </c>
      <c r="AF16" s="31">
        <f>'Option1 (base case)'!AF$36*conv_2026</f>
        <v>1848200.5923600444</v>
      </c>
      <c r="AG16" s="31">
        <f>'Option1 (base case)'!AG$36*conv_2026</f>
        <v>1886895.1551416032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6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6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6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6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8" t="str">
        <f t="shared" si="2"/>
        <v>Option 1 (base case)Net benefits</v>
      </c>
      <c r="E22" s="109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7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189</v>
      </c>
      <c r="D24" s="38" t="str">
        <f t="shared" si="2"/>
        <v>Option 1 (base case)PV of costs</v>
      </c>
      <c r="F24" s="107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190</v>
      </c>
      <c r="D25" s="38" t="str">
        <f t="shared" si="2"/>
        <v>Option 1 (base case)PV of benefits</v>
      </c>
      <c r="F25" s="107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20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6">
        <f>SUMPRODUCT($H28:$AG28, $H$5:$AG$5)</f>
        <v>7149730.1462290119</v>
      </c>
      <c r="G28" s="270">
        <f>output_dollars</f>
        <v>46203</v>
      </c>
      <c r="H28" s="271"/>
      <c r="I28" s="31">
        <f>Option2!I$28*conv_2026</f>
        <v>349502.6614517612</v>
      </c>
      <c r="J28" s="31">
        <f>Option2!J$28*conv_2026</f>
        <v>408133.72603310214</v>
      </c>
      <c r="K28" s="31">
        <f>Option2!K$28*conv_2026</f>
        <v>484277.82632777956</v>
      </c>
      <c r="L28" s="31">
        <f>Option2!L$28*conv_2026</f>
        <v>571511.80367195536</v>
      </c>
      <c r="M28" s="31">
        <f>Option2!M$28*conv_2026</f>
        <v>641807.81000158668</v>
      </c>
      <c r="N28" s="31">
        <f>Option2!N$28*conv_2026</f>
        <v>65696.923267195933</v>
      </c>
      <c r="O28" s="31">
        <f>Option2!O$28*conv_2026</f>
        <v>115421.9941852637</v>
      </c>
      <c r="P28" s="31">
        <f>Option2!P$28*conv_2026</f>
        <v>176538.1982920634</v>
      </c>
      <c r="Q28" s="31">
        <f>Option2!Q$28*conv_2026</f>
        <v>234726.45567000317</v>
      </c>
      <c r="R28" s="31">
        <f>Option2!R$28*conv_2026</f>
        <v>271182.97487843764</v>
      </c>
      <c r="S28" s="31">
        <f>Option2!S$28*conv_2026</f>
        <v>306073.5654421369</v>
      </c>
      <c r="T28" s="31">
        <f>Option2!T$28*conv_2026</f>
        <v>339913.5036606199</v>
      </c>
      <c r="U28" s="31">
        <f>Option2!U$28*conv_2026</f>
        <v>373035.7660424895</v>
      </c>
      <c r="V28" s="31">
        <f>Option2!V$28*conv_2026</f>
        <v>405669.29326058552</v>
      </c>
      <c r="W28" s="31">
        <f>Option2!W$28*conv_2026</f>
        <v>437978.83338243922</v>
      </c>
      <c r="X28" s="31">
        <f>Option2!X$28*conv_2026</f>
        <v>470087.1553133803</v>
      </c>
      <c r="Y28" s="31">
        <f>Option2!Y$28*conv_2026</f>
        <v>502088.31025164266</v>
      </c>
      <c r="Z28" s="31">
        <f>Option2!Z$28*conv_2026</f>
        <v>534055.98419789295</v>
      </c>
      <c r="AA28" s="31">
        <f>Option2!AA$28*conv_2026</f>
        <v>566048.99040010024</v>
      </c>
      <c r="AB28" s="31">
        <f>Option2!AB$28*conv_2026</f>
        <v>598115.01158983377</v>
      </c>
      <c r="AC28" s="31">
        <f>Option2!AC$28*conv_2026</f>
        <v>630293.22673774778</v>
      </c>
      <c r="AD28" s="31">
        <f>Option2!AD$28*conv_2026</f>
        <v>662616.20209111378</v>
      </c>
      <c r="AE28" s="31">
        <f>Option2!AE$28*conv_2026</f>
        <v>695111.28255201178</v>
      </c>
      <c r="AF28" s="31">
        <f>Option2!AF$28*conv_2026</f>
        <v>727801.63501380885</v>
      </c>
      <c r="AG28" s="31">
        <f>Option2!AG$28*conv_2026</f>
        <v>760707.04384480184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6" cm="1">
        <f t="array" ref="F29">SUMPRODUCT(($H29:$AG29)*($H$5:$AG$5)*($H$7:$AG$7))</f>
        <v>-5376726.4149933476</v>
      </c>
      <c r="G29" s="224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-2068191.8262355118</v>
      </c>
      <c r="M29" s="31">
        <f>SUM(Option2!M$67:M$69)*conv_2026*M$7</f>
        <v>-4136383.6524710236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6" cm="1">
        <f t="array" ref="F30">SUMPRODUCT(($H30:$AG30)*($H$5:$AG$5)*($H$7:$AG$7))</f>
        <v>7645154.866889392</v>
      </c>
      <c r="G30" s="224">
        <f>output_dollars</f>
        <v>46203</v>
      </c>
      <c r="H30" s="31"/>
      <c r="I30" s="31">
        <f>Option2!I$36*conv_2026*I$7</f>
        <v>443144.43301220296</v>
      </c>
      <c r="J30" s="31">
        <f>Option2!J$36*conv_2026*J$7</f>
        <v>502773.46590313845</v>
      </c>
      <c r="K30" s="31">
        <f>Option2!K$36*conv_2026*K$7</f>
        <v>579927.74846070388</v>
      </c>
      <c r="L30" s="31">
        <f>Option2!L$36*conv_2026*L$7</f>
        <v>668184.05860572052</v>
      </c>
      <c r="M30" s="31">
        <f>Option2!M$36*conv_2026*M$7</f>
        <v>739514.4862714851</v>
      </c>
      <c r="N30" s="31">
        <f>Option2!N$36*conv_2026*N$7</f>
        <v>122036.65354631293</v>
      </c>
      <c r="O30" s="31">
        <f>Option2!O$36*conv_2026*O$7</f>
        <v>172519.99904984838</v>
      </c>
      <c r="P30" s="31">
        <f>Option2!P$36*conv_2026*P$7</f>
        <v>234413.52919481118</v>
      </c>
      <c r="Q30" s="31">
        <f>Option2!Q$36*conv_2026*Q$7</f>
        <v>293396.79202874005</v>
      </c>
      <c r="R30" s="31">
        <f>Option2!R$36*conv_2026*R$7</f>
        <v>330665.12760675995</v>
      </c>
      <c r="S30" s="31">
        <f>Option2!S$36*conv_2026*S$7</f>
        <v>366383.7178642294</v>
      </c>
      <c r="T30" s="31">
        <f>Option2!T$36*conv_2026*T$7</f>
        <v>401067.35140779114</v>
      </c>
      <c r="U30" s="31">
        <f>Option2!U$36*conv_2026*U$7</f>
        <v>435048.60771139269</v>
      </c>
      <c r="V30" s="31">
        <f>Option2!V$36*conv_2026*V$7</f>
        <v>468556.09355339018</v>
      </c>
      <c r="W30" s="31">
        <f>Option2!W$36*conv_2026*W$7</f>
        <v>501754.26939905027</v>
      </c>
      <c r="X30" s="31">
        <f>Option2!X$36*conv_2026*X$7</f>
        <v>534765.65182725387</v>
      </c>
      <c r="Y30" s="31">
        <f>Option2!Y$36*conv_2026*Y$7</f>
        <v>567684.06741369178</v>
      </c>
      <c r="Z30" s="31">
        <f>Option2!Z$36*conv_2026*Z$7</f>
        <v>600582.9998275371</v>
      </c>
      <c r="AA30" s="31">
        <f>Option2!AA$36*conv_2026*AA$7</f>
        <v>633521.07828198245</v>
      </c>
      <c r="AB30" s="31">
        <f>Option2!AB$36*conv_2026*AB$7</f>
        <v>666545.81674455479</v>
      </c>
      <c r="AC30" s="31">
        <f>Option2!AC$36*conv_2026*AC$7</f>
        <v>699696.23834899813</v>
      </c>
      <c r="AD30" s="31">
        <f>Option2!AD$36*conv_2026*AD$7</f>
        <v>733004.76458315609</v>
      </c>
      <c r="AE30" s="31">
        <f>Option2!AE$36*conv_2026*AE$7</f>
        <v>765499.84504405409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6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6" cm="1">
        <f t="array" ref="F32">SUMPRODUCT(($H32:$AG32)*($H$5:$AG$5)*($H$7:$AG$7))</f>
        <v>-3064129.7544055767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-88174.689647633277</v>
      </c>
      <c r="N32" s="31">
        <f>Option2!N$82*conv_2026*N$7</f>
        <v>-264524.06894289982</v>
      </c>
      <c r="O32" s="31">
        <f>Option2!O$82*conv_2026*O$7</f>
        <v>-264524.06894289982</v>
      </c>
      <c r="P32" s="31">
        <f>Option2!P$82*conv_2026*P$7</f>
        <v>-264524.06894289982</v>
      </c>
      <c r="Q32" s="31">
        <f>Option2!Q$82*conv_2026*Q$7</f>
        <v>-264524.06894289982</v>
      </c>
      <c r="R32" s="31">
        <f>Option2!R$82*conv_2026*R$7</f>
        <v>-264524.06894289982</v>
      </c>
      <c r="S32" s="31">
        <f>Option2!S$82*conv_2026*S$7</f>
        <v>-264524.06894289982</v>
      </c>
      <c r="T32" s="31">
        <f>Option2!T$82*conv_2026*T$7</f>
        <v>-264524.06894289982</v>
      </c>
      <c r="U32" s="31">
        <f>Option2!U$82*conv_2026*U$7</f>
        <v>-264524.06894289982</v>
      </c>
      <c r="V32" s="31">
        <f>Option2!V$82*conv_2026*V$7</f>
        <v>-264524.06894289982</v>
      </c>
      <c r="W32" s="31">
        <f>Option2!W$82*conv_2026*W$7</f>
        <v>-264524.06894289982</v>
      </c>
      <c r="X32" s="31">
        <f>Option2!X$82*conv_2026*X$7</f>
        <v>-264524.06894289982</v>
      </c>
      <c r="Y32" s="31">
        <f>Option2!Y$82*conv_2026*Y$7</f>
        <v>-264524.06894289982</v>
      </c>
      <c r="Z32" s="31">
        <f>Option2!Z$82*conv_2026*Z$7</f>
        <v>-264524.06894289982</v>
      </c>
      <c r="AA32" s="31">
        <f>Option2!AA$82*conv_2026*AA$7</f>
        <v>-264524.06894289982</v>
      </c>
      <c r="AB32" s="31">
        <f>Option2!AB$82*conv_2026*AB$7</f>
        <v>-264524.06894289982</v>
      </c>
      <c r="AC32" s="31">
        <f>Option2!AC$82*conv_2026*AC$7</f>
        <v>-264524.06894289982</v>
      </c>
      <c r="AD32" s="31">
        <f>Option2!AD$82*conv_2026*AD$7</f>
        <v>-264524.06894289982</v>
      </c>
      <c r="AE32" s="31">
        <f>Option2!AE$82*conv_2026*AE$7</f>
        <v>-264524.06894289982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6" cm="1">
        <f t="array" ref="F34">SUMPRODUCT(($H34:$AG34)*($H$5:$AG$5)*($H$7:$AG$7))</f>
        <v>10942065.573817227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698781.72761867777</v>
      </c>
      <c r="O34" s="31">
        <f>Option2!O$84*conv_2026*O$7</f>
        <v>788961.59306501411</v>
      </c>
      <c r="P34" s="31">
        <f>Option2!P$84*conv_2026*P$7</f>
        <v>919473.39590978343</v>
      </c>
      <c r="Q34" s="31">
        <f>Option2!Q$84*conv_2026*Q$7</f>
        <v>1005967.2734304594</v>
      </c>
      <c r="R34" s="31">
        <f>Option2!R$84*conv_2026*R$7</f>
        <v>1002641.8902953827</v>
      </c>
      <c r="S34" s="31">
        <f>Option2!S$84*conv_2026*S$7</f>
        <v>1001269.6823771779</v>
      </c>
      <c r="T34" s="31">
        <f>Option2!T$84*conv_2026*T$7</f>
        <v>1001335.3782501601</v>
      </c>
      <c r="U34" s="31">
        <f>Option2!U$84*conv_2026*U$7</f>
        <v>1002505.95325138</v>
      </c>
      <c r="V34" s="31">
        <f>Option2!V$84*conv_2026*V$7</f>
        <v>1004552.3919795306</v>
      </c>
      <c r="W34" s="31">
        <f>Option2!W$84*conv_2026*W$7</f>
        <v>1007309.8608967478</v>
      </c>
      <c r="X34" s="31">
        <f>Option2!X$84*conv_2026*X$7</f>
        <v>1010655.5049315575</v>
      </c>
      <c r="Y34" s="31">
        <f>Option2!Y$84*conv_2026*Y$7</f>
        <v>1014495.1926682582</v>
      </c>
      <c r="Z34" s="31">
        <f>Option2!Z$84*conv_2026*Z$7</f>
        <v>1018755.1683631537</v>
      </c>
      <c r="AA34" s="31">
        <f>Option2!AA$84*conv_2026*AA$7</f>
        <v>1023376.5626451555</v>
      </c>
      <c r="AB34" s="31">
        <f>Option2!AB$84*conv_2026*AB$7</f>
        <v>1028311.6524926024</v>
      </c>
      <c r="AC34" s="31">
        <f>Option2!AC$84*conv_2026*AC$7</f>
        <v>1033521.2360426437</v>
      </c>
      <c r="AD34" s="31">
        <f>Option2!AD$84*conv_2026*AD$7</f>
        <v>1038972.7426568614</v>
      </c>
      <c r="AE34" s="31">
        <f>Option2!AE$84*conv_2026*AE$7</f>
        <v>1044394.8572387338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6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8" t="str">
        <f t="shared" si="6"/>
        <v>Option 2Net benefits</v>
      </c>
      <c r="E36" s="109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-88174.689647633277</v>
      </c>
      <c r="N36" s="52">
        <f t="shared" si="9"/>
        <v>434257.65867577796</v>
      </c>
      <c r="O36" s="52">
        <f t="shared" si="9"/>
        <v>524437.52412211429</v>
      </c>
      <c r="P36" s="52">
        <f t="shared" si="9"/>
        <v>654949.32696688361</v>
      </c>
      <c r="Q36" s="52">
        <f t="shared" si="9"/>
        <v>741443.20448755962</v>
      </c>
      <c r="R36" s="52">
        <f t="shared" si="9"/>
        <v>738117.82135248289</v>
      </c>
      <c r="S36" s="52">
        <f t="shared" si="9"/>
        <v>736745.61343427806</v>
      </c>
      <c r="T36" s="52">
        <f t="shared" si="9"/>
        <v>736811.30930726032</v>
      </c>
      <c r="U36" s="52">
        <f t="shared" si="9"/>
        <v>737981.88430848019</v>
      </c>
      <c r="V36" s="52">
        <f t="shared" si="9"/>
        <v>740028.32303663075</v>
      </c>
      <c r="W36" s="52">
        <f t="shared" si="9"/>
        <v>742785.79195384798</v>
      </c>
      <c r="X36" s="52">
        <f t="shared" si="9"/>
        <v>746131.43598865764</v>
      </c>
      <c r="Y36" s="52">
        <f t="shared" si="9"/>
        <v>749971.1237253584</v>
      </c>
      <c r="Z36" s="52">
        <f t="shared" si="9"/>
        <v>754231.09942025389</v>
      </c>
      <c r="AA36" s="52">
        <f t="shared" si="9"/>
        <v>758852.49370225566</v>
      </c>
      <c r="AB36" s="52">
        <f t="shared" si="9"/>
        <v>763787.58354970254</v>
      </c>
      <c r="AC36" s="52">
        <f t="shared" si="9"/>
        <v>768997.16709974385</v>
      </c>
      <c r="AD36" s="52">
        <f t="shared" si="9"/>
        <v>774448.67371396162</v>
      </c>
      <c r="AE36" s="52">
        <f t="shared" si="9"/>
        <v>779870.78829583398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7" cm="1">
        <f t="array" ref="F37">SUMPRODUCT(($H36:$AG36)*($H$5:$AG$5)*($H$7:$AG$7))</f>
        <v>7877935.8194116484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189</v>
      </c>
      <c r="D38" s="38" t="str">
        <f t="shared" si="6"/>
        <v>Option 2PV of costs</v>
      </c>
      <c r="E38" s="1"/>
      <c r="F38" s="107">
        <f>SUM(F32:F33)</f>
        <v>-3064129.7544055767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190</v>
      </c>
      <c r="D39" s="38" t="str">
        <f t="shared" si="6"/>
        <v>Option 2PV of benefits</v>
      </c>
      <c r="E39" s="1"/>
      <c r="F39" s="107">
        <f>SUM(F34:F35)</f>
        <v>10942065.573817227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7"/>
      <c r="G40" s="227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20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6">
        <f>SUMPRODUCT($H42:$AG42, $H$5:$AG$5)</f>
        <v>17770699.464965627</v>
      </c>
      <c r="G42" s="270">
        <f>output_dollars</f>
        <v>46203</v>
      </c>
      <c r="H42" s="271"/>
      <c r="I42" s="31">
        <f>Option3!I$28*conv_2026</f>
        <v>349502.6614517612</v>
      </c>
      <c r="J42" s="31">
        <f>Option3!J$28*conv_2026</f>
        <v>408133.72603310214</v>
      </c>
      <c r="K42" s="31">
        <f>Option3!K$28*conv_2026</f>
        <v>484277.82632777956</v>
      </c>
      <c r="L42" s="31">
        <f>Option3!L$28*conv_2026</f>
        <v>571511.80367195536</v>
      </c>
      <c r="M42" s="31">
        <f>Option3!M$28*conv_2026</f>
        <v>615076.66176191741</v>
      </c>
      <c r="N42" s="31">
        <f>Option3!N$28*conv_2026</f>
        <v>691954.49715164083</v>
      </c>
      <c r="O42" s="31">
        <f>Option3!O$28*conv_2026</f>
        <v>825783.76900391269</v>
      </c>
      <c r="P42" s="31">
        <f>Option3!P$28*conv_2026</f>
        <v>1009250.6957375413</v>
      </c>
      <c r="Q42" s="31">
        <f>Option3!Q$28*conv_2026</f>
        <v>1147723.4748299958</v>
      </c>
      <c r="R42" s="31">
        <f>Option3!R$28*conv_2026</f>
        <v>1179176.0693192303</v>
      </c>
      <c r="S42" s="31">
        <f>Option3!S$28*conv_2026</f>
        <v>1211002.5452438076</v>
      </c>
      <c r="T42" s="31">
        <f>Option3!T$28*conv_2026</f>
        <v>1243202.4584205826</v>
      </c>
      <c r="U42" s="31">
        <f>Option3!U$28*conv_2026</f>
        <v>1275775.3994756762</v>
      </c>
      <c r="V42" s="31">
        <f>Option3!V$28*conv_2026</f>
        <v>1308720.9928627168</v>
      </c>
      <c r="W42" s="31">
        <f>Option3!W$28*conv_2026</f>
        <v>1342038.8959254175</v>
      </c>
      <c r="X42" s="31">
        <f>Option3!X$28*conv_2026</f>
        <v>1375728.7980018591</v>
      </c>
      <c r="Y42" s="31">
        <f>Option3!Y$28*conv_2026</f>
        <v>1409790.4195682141</v>
      </c>
      <c r="Z42" s="31">
        <f>Option3!Z$28*conv_2026</f>
        <v>1444223.5114195638</v>
      </c>
      <c r="AA42" s="31">
        <f>Option3!AA$28*conv_2026</f>
        <v>1479027.8538858767</v>
      </c>
      <c r="AB42" s="31">
        <f>Option3!AB$28*conv_2026</f>
        <v>1514203.2560811557</v>
      </c>
      <c r="AC42" s="31">
        <f>Option3!AC$28*conv_2026</f>
        <v>1549749.5551839343</v>
      </c>
      <c r="AD42" s="31">
        <f>Option3!AD$28*conv_2026</f>
        <v>1585666.6157475084</v>
      </c>
      <c r="AE42" s="31">
        <f>Option3!AE$28*conv_2026</f>
        <v>1621954.3290382661</v>
      </c>
      <c r="AF42" s="31">
        <f>Option3!AF$28*conv_2026</f>
        <v>1658612.6124006915</v>
      </c>
      <c r="AG42" s="31">
        <f>Option3!AG$28*conv_2026</f>
        <v>1695641.408647602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6">
        <f>SUMPRODUCT($H43:$AG43, $H$5:$AG$5)</f>
        <v>-493332.64820919518</v>
      </c>
      <c r="G43" s="224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-556456.32320829842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6">
        <f>SUMPRODUCT($H44:$AG44, $H$5:$AG$5)</f>
        <v>17912652.611541789</v>
      </c>
      <c r="G44" s="224">
        <f>output_dollars</f>
        <v>46203</v>
      </c>
      <c r="H44" s="31"/>
      <c r="I44" s="31">
        <f>Option3!I$36*conv_2026*I$7</f>
        <v>443144.43301220296</v>
      </c>
      <c r="J44" s="31">
        <f>Option3!J$36*conv_2026*J$7</f>
        <v>502773.46590313845</v>
      </c>
      <c r="K44" s="31">
        <f>Option3!K$36*conv_2026*K$7</f>
        <v>579927.74846070388</v>
      </c>
      <c r="L44" s="31">
        <f>Option3!L$36*conv_2026*L$7</f>
        <v>668184.05860572052</v>
      </c>
      <c r="M44" s="31">
        <f>Option3!M$36*conv_2026*M$7</f>
        <v>709816.82526079554</v>
      </c>
      <c r="N44" s="31">
        <f>Option3!N$36*conv_2026*N$7</f>
        <v>787712.37369933131</v>
      </c>
      <c r="O44" s="31">
        <f>Option3!O$36*conv_2026*O$7</f>
        <v>922570.95906720555</v>
      </c>
      <c r="P44" s="31">
        <f>Option3!P$36*conv_2026*P$7</f>
        <v>1107078.7436842688</v>
      </c>
      <c r="Q44" s="31">
        <f>Option3!Q$36*conv_2026*Q$7</f>
        <v>1246603.8700931105</v>
      </c>
      <c r="R44" s="31">
        <f>Option3!R$36*conv_2026*R$7</f>
        <v>1279120.2475185608</v>
      </c>
      <c r="S44" s="31">
        <f>Option3!S$36*conv_2026*S$7</f>
        <v>1312021.8892676712</v>
      </c>
      <c r="T44" s="31">
        <f>Option3!T$36*conv_2026*T$7</f>
        <v>1345308.2994693047</v>
      </c>
      <c r="U44" s="31">
        <f>Option3!U$36*conv_2026*U$7</f>
        <v>1378979.0180689155</v>
      </c>
      <c r="V44" s="31">
        <f>Option3!V$36*conv_2026*V$7</f>
        <v>1413033.6198123868</v>
      </c>
      <c r="W44" s="31">
        <f>Option3!W$36*conv_2026*W$7</f>
        <v>1447471.7132758733</v>
      </c>
      <c r="X44" s="31">
        <f>Option3!X$36*conv_2026*X$7</f>
        <v>1482292.9399389094</v>
      </c>
      <c r="Y44" s="31">
        <f>Option3!Y$36*conv_2026*Y$7</f>
        <v>1517496.9732984381</v>
      </c>
      <c r="Z44" s="31">
        <f>Option3!Z$36*conv_2026*Z$7</f>
        <v>1553083.5180213035</v>
      </c>
      <c r="AA44" s="31">
        <f>Option3!AA$36*conv_2026*AA$7</f>
        <v>1589052.3091332042</v>
      </c>
      <c r="AB44" s="31">
        <f>Option3!AB$36*conv_2026*AB$7</f>
        <v>1625403.1112420408</v>
      </c>
      <c r="AC44" s="31">
        <f>Option3!AC$36*conv_2026*AC$7</f>
        <v>1662135.7177937515</v>
      </c>
      <c r="AD44" s="31">
        <f>Option3!AD$36*conv_2026*AD$7</f>
        <v>1699249.9503589778</v>
      </c>
      <c r="AE44" s="31">
        <f>Option3!AE$36*conv_2026*AE$7</f>
        <v>1735537.6636497353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6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6">
        <f>SUMPRODUCT($H46:$AG46, $H$5:$AG$5)</f>
        <v>-493332.64820919547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0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-66909.069461024992</v>
      </c>
      <c r="U46" s="31">
        <f>Option3!U$82*conv_2026*U$7</f>
        <v>-66909.069461024992</v>
      </c>
      <c r="V46" s="31">
        <f>Option3!V$82*conv_2026*V$7</f>
        <v>-66909.069461024992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6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6">
        <f>SUMPRODUCT($H48:$AG48, $H$5:$AG$5)</f>
        <v>674567.82916482992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29697.661010689484</v>
      </c>
      <c r="N48" s="31">
        <f>Option3!N$84*conv_2026*N$7</f>
        <v>33106.007465659408</v>
      </c>
      <c r="O48" s="31">
        <f>Option3!O$84*conv_2026*O$7</f>
        <v>38910.633047656986</v>
      </c>
      <c r="P48" s="31">
        <f>Option3!P$84*conv_2026*P$7</f>
        <v>46808.18142032584</v>
      </c>
      <c r="Q48" s="31">
        <f>Option3!Q$84*conv_2026*Q$7</f>
        <v>52760.195366089072</v>
      </c>
      <c r="R48" s="31">
        <f>Option3!R$84*conv_2026*R$7</f>
        <v>54186.770383581927</v>
      </c>
      <c r="S48" s="31">
        <f>Option3!S$84*conv_2026*S$7</f>
        <v>55631.510973736091</v>
      </c>
      <c r="T48" s="31">
        <f>Option3!T$84*conv_2026*T$7</f>
        <v>57094.430188646635</v>
      </c>
      <c r="U48" s="31">
        <f>Option3!U$84*conv_2026*U$7</f>
        <v>58575.542893857244</v>
      </c>
      <c r="V48" s="31">
        <f>Option3!V$84*conv_2026*V$7</f>
        <v>60074.865720533882</v>
      </c>
      <c r="W48" s="31">
        <f>Option3!W$84*conv_2026*W$7</f>
        <v>61592.41701992492</v>
      </c>
      <c r="X48" s="31">
        <f>Option3!X$84*conv_2026*X$7</f>
        <v>63128.216819902074</v>
      </c>
      <c r="Y48" s="31">
        <f>Option3!Y$84*conv_2026*Y$7</f>
        <v>64682.286783511998</v>
      </c>
      <c r="Z48" s="31">
        <f>Option3!Z$84*conv_2026*Z$7</f>
        <v>66254.650169387445</v>
      </c>
      <c r="AA48" s="31">
        <f>Option3!AA$84*conv_2026*AA$7</f>
        <v>67845.331793933801</v>
      </c>
      <c r="AB48" s="31">
        <f>Option3!AB$84*conv_2026*AB$7</f>
        <v>69454.357995116341</v>
      </c>
      <c r="AC48" s="31">
        <f>Option3!AC$84*conv_2026*AC$7</f>
        <v>71081.75659789014</v>
      </c>
      <c r="AD48" s="31">
        <f>Option3!AD$84*conv_2026*AD$7</f>
        <v>72727.556881039753</v>
      </c>
      <c r="AE48" s="31">
        <f>Option3!AE$84*conv_2026*AE$7</f>
        <v>74357.038633052478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6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8" t="str">
        <f t="shared" si="11"/>
        <v>Option 3Net benefits</v>
      </c>
      <c r="E50" s="109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0</v>
      </c>
      <c r="M50" s="52">
        <f t="shared" si="13"/>
        <v>-37211.408450335512</v>
      </c>
      <c r="N50" s="52">
        <f t="shared" si="13"/>
        <v>-33803.061995365584</v>
      </c>
      <c r="O50" s="52">
        <f t="shared" si="13"/>
        <v>-27998.436413368006</v>
      </c>
      <c r="P50" s="52">
        <f t="shared" si="13"/>
        <v>-20100.888040699152</v>
      </c>
      <c r="Q50" s="52">
        <f t="shared" si="13"/>
        <v>-14148.87409493592</v>
      </c>
      <c r="R50" s="52">
        <f t="shared" si="13"/>
        <v>-12722.299077443065</v>
      </c>
      <c r="S50" s="52">
        <f t="shared" si="13"/>
        <v>-11277.558487288901</v>
      </c>
      <c r="T50" s="52">
        <f t="shared" si="13"/>
        <v>-9814.6392723783574</v>
      </c>
      <c r="U50" s="52">
        <f t="shared" si="13"/>
        <v>-8333.526567167748</v>
      </c>
      <c r="V50" s="52">
        <f t="shared" si="13"/>
        <v>-6834.2037404911098</v>
      </c>
      <c r="W50" s="52">
        <f t="shared" si="13"/>
        <v>61592.41701992492</v>
      </c>
      <c r="X50" s="52">
        <f t="shared" si="13"/>
        <v>63128.216819902074</v>
      </c>
      <c r="Y50" s="52">
        <f t="shared" si="13"/>
        <v>64682.286783511998</v>
      </c>
      <c r="Z50" s="52">
        <f t="shared" si="13"/>
        <v>66254.650169387445</v>
      </c>
      <c r="AA50" s="52">
        <f t="shared" si="13"/>
        <v>67845.331793933801</v>
      </c>
      <c r="AB50" s="52">
        <f t="shared" si="13"/>
        <v>69454.357995116341</v>
      </c>
      <c r="AC50" s="52">
        <f>SUM(AC46:AC49)</f>
        <v>71081.75659789014</v>
      </c>
      <c r="AD50" s="52">
        <f>SUM(AD46:AD49)</f>
        <v>72727.556881039753</v>
      </c>
      <c r="AE50" s="52">
        <f>SUM(AE46:AE49)</f>
        <v>74357.038633052478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7" cm="1">
        <f t="array" ref="F51">SUMPRODUCT(($H50:$AG50)*($H$5:$AG$5)*($H$7:$AG$7))</f>
        <v>181235.18095563434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189</v>
      </c>
      <c r="D52" s="38" t="str">
        <f t="shared" si="11"/>
        <v>Option 3PV of costs</v>
      </c>
      <c r="E52" s="1"/>
      <c r="F52" s="107">
        <f>SUM(F46:F47)</f>
        <v>-493332.64820919547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190</v>
      </c>
      <c r="D53" s="38" t="str">
        <f t="shared" si="11"/>
        <v>Option 3PV of benefits</v>
      </c>
      <c r="E53" s="1"/>
      <c r="F53" s="107">
        <f>SUM(F48:F49)</f>
        <v>674567.82916482992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7"/>
      <c r="G54" s="227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8"/>
      <c r="F55" s="117"/>
      <c r="G55" s="220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6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6">
        <f>SUMPRODUCT($H57:$AG57, $H$5:$AG$5)</f>
        <v>0</v>
      </c>
      <c r="G57" s="224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6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6">
        <f>SUMPRODUCT($H60:$AG60, $H$5:$AG$5)</f>
        <v>0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6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6">
        <f>SUMPRODUCT($H62:$AG62, $H$5:$AG$5)</f>
        <v>0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6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8" t="str">
        <f t="shared" si="14"/>
        <v>Option 4Net benefits</v>
      </c>
      <c r="E64" s="109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7" cm="1">
        <f t="array" ref="F65">SUMPRODUCT(($H64:$AG64)*($H$5:$AG$5)*($H$7:$AG$7))</f>
        <v>0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189</v>
      </c>
      <c r="D66" s="38" t="str">
        <f t="shared" si="14"/>
        <v>Option 4PV of costs</v>
      </c>
      <c r="E66" s="1"/>
      <c r="F66" s="107">
        <f>SUM(F60:F61)</f>
        <v>0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190</v>
      </c>
      <c r="D67" s="38" t="str">
        <f t="shared" si="14"/>
        <v>Option 4PV of benefits</v>
      </c>
      <c r="E67" s="1"/>
      <c r="F67" s="107">
        <f>SUM(F62:F63)</f>
        <v>0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7"/>
      <c r="G68" s="227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20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6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6">
        <f>SUMPRODUCT($H71:$AG71, $H$5:$AG$5)</f>
        <v>0</v>
      </c>
      <c r="G71" s="224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6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6">
        <f>SUMPRODUCT($H76:$AG76, $H$5:$AG$5)</f>
        <v>0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6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8" t="str">
        <f t="shared" si="18"/>
        <v>Option 5Net benefits</v>
      </c>
      <c r="E78" s="109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7" cm="1">
        <f t="array" ref="F79">SUMPRODUCT(($H78:$AG78)*($H$5:$AG$5)*($H$7:$AG$7))</f>
        <v>0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189</v>
      </c>
      <c r="D80" s="38" t="str">
        <f t="shared" si="18"/>
        <v>Option 5PV of costs</v>
      </c>
      <c r="E80" s="1"/>
      <c r="F80" s="107">
        <f>SUM(F74:F75)</f>
        <v>0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190</v>
      </c>
      <c r="D81" s="38" t="str">
        <f t="shared" si="18"/>
        <v>Option 5PV of benefits</v>
      </c>
      <c r="E81" s="1"/>
      <c r="F81" s="107">
        <f>SUM(F76:F77)</f>
        <v>0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20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202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296" cm="1">
        <f t="array" ref="I91">MAX($D91*INDEX(I$15:W$81, MATCH($A91&amp;$C91, $D$15:$D$81,0),))/mill_conv</f>
        <v>0.26452406894289981</v>
      </c>
      <c r="J91" s="296" cm="1">
        <f t="array" ref="J91">MAX($D91*INDEX(J$15:X$81, MATCH($A91&amp;$C91, $D$15:$D$81,0),))/mill_conv</f>
        <v>0.26452406894289981</v>
      </c>
      <c r="K91" s="296" cm="1">
        <f t="array" ref="K91">MAX($D91*INDEX(K$15:Y$81, MATCH($A91&amp;$C91, $D$15:$D$81,0),))/mill_conv</f>
        <v>0.26452406894289981</v>
      </c>
      <c r="L91" s="296" cm="1">
        <f t="array" ref="L91">MAX($D91*INDEX(L$15:Z$81, MATCH($A91&amp;$C91, $D$15:$D$81,0),))/mill_conv</f>
        <v>0.26452406894289981</v>
      </c>
      <c r="M91" s="296" cm="1">
        <f t="array" ref="M91">MAX($D91*INDEX(M$15:AA$81, MATCH($A91&amp;$C91, $D$15:$D$81,0),))/mill_conv</f>
        <v>0.26452406894289981</v>
      </c>
      <c r="N91" s="296" cm="1">
        <f t="array" ref="N91">MAX($D91*INDEX(N$15:AB$81, MATCH($A91&amp;$C91, $D$15:$D$81,0),))/mill_conv</f>
        <v>0.26452406894289981</v>
      </c>
      <c r="O91" s="296" cm="1">
        <f t="array" ref="O91">MAX($D91*INDEX(O$15:AC$81, MATCH($A91&amp;$C91, $D$15:$D$81,0),))/mill_conv</f>
        <v>0.26452406894289981</v>
      </c>
      <c r="P91" s="296" cm="1">
        <f t="array" ref="P91">MAX($D91*INDEX(P$15:AD$81, MATCH($A91&amp;$C91, $D$15:$D$81,0),))/mill_conv</f>
        <v>0.26452406894289981</v>
      </c>
      <c r="Q91" s="296" cm="1">
        <f t="array" ref="Q91">MAX($D91*INDEX(Q$15:AE$81, MATCH($A91&amp;$C91, $D$15:$D$81,0),))/mill_conv</f>
        <v>0.26452406894289981</v>
      </c>
      <c r="R91" s="296" cm="1">
        <f t="array" ref="R91">MAX($D91*INDEX(R$15:AF$81, MATCH($A91&amp;$C91, $D$15:$D$81,0),))/mill_conv</f>
        <v>0.26452406894289981</v>
      </c>
      <c r="S91" s="296" cm="1">
        <f t="array" ref="S91">MAX($D91*INDEX(S$15:AG$81, MATCH($A91&amp;$C91, $D$15:$D$81,0),))/mill_conv</f>
        <v>0.26452406894289981</v>
      </c>
      <c r="T91" s="296" cm="1">
        <f t="array" ref="T91">MAX($D91*INDEX(T$15:AH$81, MATCH($A91&amp;$C91, $D$15:$D$81,0),))/mill_conv</f>
        <v>0.26452406894289981</v>
      </c>
      <c r="U91" s="296" cm="1">
        <f t="array" ref="U91">MAX($D91*INDEX(U$15:AI$81, MATCH($A91&amp;$C91, $D$15:$D$81,0),))/mill_conv</f>
        <v>0.26452406894289981</v>
      </c>
      <c r="V91" s="296" cm="1">
        <f t="array" ref="V91">MAX($D91*INDEX(V$15:AJ$81, MATCH($A91&amp;$C91, $D$15:$D$81,0),))/mill_conv</f>
        <v>0.26452406894289981</v>
      </c>
      <c r="W91" s="296" cm="1">
        <f t="array" ref="W91">MAX($D91*INDEX(W$15:AK$81, MATCH($A91&amp;$C91, $D$15:$D$81,0),))/mill_conv</f>
        <v>0.26452406894289981</v>
      </c>
      <c r="X91" s="296" cm="1">
        <f t="array" ref="X91">MAX($D91*INDEX(X$15:AL$81, MATCH($A91&amp;$C91, $D$15:$D$81,0),))/mill_conv</f>
        <v>0.26452406894289981</v>
      </c>
      <c r="Y91" s="296" cm="1">
        <f t="array" ref="Y91">MAX($D91*INDEX(Y$15:AM$81, MATCH($A91&amp;$C91, $D$15:$D$81,0),))/mill_conv</f>
        <v>0.26452406894289981</v>
      </c>
      <c r="Z91" s="296" cm="1">
        <f t="array" ref="Z91">MAX($D91*INDEX(Z$15:AN$81, MATCH($A91&amp;$C91, $D$15:$D$81,0),))/mill_conv</f>
        <v>0.26452406894289981</v>
      </c>
      <c r="AA91" s="296" cm="1">
        <f t="array" ref="AA91">MAX($D91*INDEX(AA$15:AO$81, MATCH($A91&amp;$C91, $D$15:$D$81,0),))/mill_conv</f>
        <v>0.26452406894289981</v>
      </c>
      <c r="AB91" s="296" cm="1">
        <f t="array" ref="AB91">MAX($D91*INDEX(AB$15:AP$81, MATCH($A91&amp;$C91, $D$15:$D$81,0),))/mill_conv</f>
        <v>0.26452406894289981</v>
      </c>
      <c r="AC91" s="296" cm="1">
        <f t="array" ref="AC91">MAX($D91*INDEX(AC$15:AQ$81, MATCH($A91&amp;$C91, $D$15:$D$81,0),))/mill_conv</f>
        <v>0.26452406894289981</v>
      </c>
      <c r="AD91" s="296" cm="1">
        <f t="array" ref="AD91">MAX($D91*INDEX(AD$15:AR$81, MATCH($A91&amp;$C91, $D$15:$D$81,0),))/mill_conv</f>
        <v>0.26452406894289981</v>
      </c>
      <c r="AE91" s="296" cm="1">
        <f t="array" ref="AE91">MAX($D91*INDEX(AE$15:AS$81, MATCH($A91&amp;$C91, $D$15:$D$81,0),))/mill_conv</f>
        <v>0.26452406894289981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172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6">
        <f t="shared" ref="I92:R92" si="23">$D92*INDEX(I$15:I$81, MATCH($A92&amp;$C92, $D$15:$D$81,0))/mill_conv</f>
        <v>0.44314443301220297</v>
      </c>
      <c r="J92" s="296">
        <f t="shared" si="23"/>
        <v>0.50277346590313843</v>
      </c>
      <c r="K92" s="296">
        <f t="shared" si="23"/>
        <v>0.57992774846070383</v>
      </c>
      <c r="L92" s="296">
        <f t="shared" si="23"/>
        <v>0.6681840586057205</v>
      </c>
      <c r="M92" s="296">
        <f t="shared" si="23"/>
        <v>0.73951448627148508</v>
      </c>
      <c r="N92" s="296">
        <f t="shared" si="23"/>
        <v>0.82081838116499073</v>
      </c>
      <c r="O92" s="296">
        <f t="shared" si="23"/>
        <v>0.9614815921148625</v>
      </c>
      <c r="P92" s="296">
        <f t="shared" si="23"/>
        <v>1.1538869251045945</v>
      </c>
      <c r="Q92" s="296">
        <f t="shared" si="23"/>
        <v>1.2993640654591996</v>
      </c>
      <c r="R92" s="296">
        <f t="shared" si="23"/>
        <v>1.3333070179021429</v>
      </c>
      <c r="S92" s="296">
        <f t="shared" ref="S92:AG92" si="24">$D92*INDEX(S$15:S$81, MATCH($A92&amp;$C92, $D$15:$D$81,0))/mill_conv</f>
        <v>1.3676534002414074</v>
      </c>
      <c r="T92" s="296">
        <f t="shared" si="24"/>
        <v>1.4024027296579513</v>
      </c>
      <c r="U92" s="296">
        <f t="shared" si="24"/>
        <v>1.4375545609627727</v>
      </c>
      <c r="V92" s="296">
        <f t="shared" si="24"/>
        <v>1.4731084855329208</v>
      </c>
      <c r="W92" s="296">
        <f t="shared" si="24"/>
        <v>1.5090641302957981</v>
      </c>
      <c r="X92" s="296">
        <f t="shared" si="24"/>
        <v>1.5454211567588116</v>
      </c>
      <c r="Y92" s="296">
        <f t="shared" si="24"/>
        <v>1.5821792600819502</v>
      </c>
      <c r="Z92" s="296">
        <f t="shared" si="24"/>
        <v>1.6193381681906907</v>
      </c>
      <c r="AA92" s="296">
        <f t="shared" si="24"/>
        <v>1.6568976409271379</v>
      </c>
      <c r="AB92" s="296">
        <f t="shared" si="24"/>
        <v>1.6948574692371572</v>
      </c>
      <c r="AC92" s="296">
        <f t="shared" si="24"/>
        <v>1.7332174743916418</v>
      </c>
      <c r="AD92" s="296">
        <f t="shared" si="24"/>
        <v>1.7719775072400175</v>
      </c>
      <c r="AE92" s="296">
        <f t="shared" si="24"/>
        <v>1.8098947022827878</v>
      </c>
      <c r="AF92" s="296">
        <f t="shared" si="24"/>
        <v>1.8482005923600444</v>
      </c>
      <c r="AG92" s="296">
        <f t="shared" si="24"/>
        <v>1.8868951551416031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234</v>
      </c>
      <c r="B98" s="138"/>
      <c r="C98" s="195" t="s">
        <v>123</v>
      </c>
      <c r="D98" s="189">
        <f>MAX(H98:AG98)</f>
        <v>0</v>
      </c>
      <c r="E98" s="292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1.5902487856515268</v>
      </c>
      <c r="E99" s="292"/>
      <c r="H99" s="118" t="str">
        <f>A99&amp;" risk cost"</f>
        <v>Option 1 (base case) risk cost</v>
      </c>
      <c r="I99" s="118">
        <f>INDEX('Option1 (base case)'!I$14:I$87, MATCH($C99, 'Option1 (base case)'!$C$14:$C$87,0))/10^6</f>
        <v>0.3140432113671317</v>
      </c>
      <c r="J99" s="118">
        <f>INDEX('Option1 (base case)'!J$14:J$87, MATCH($C99, 'Option1 (base case)'!$C$14:$C$87,0))/10^6</f>
        <v>0.36672575098075161</v>
      </c>
      <c r="K99" s="118">
        <f>INDEX('Option1 (base case)'!K$14:K$87, MATCH($C99, 'Option1 (base case)'!$C$14:$C$87,0))/10^6</f>
        <v>0.43514450831974799</v>
      </c>
      <c r="L99" s="118">
        <f>INDEX('Option1 (base case)'!L$14:L$87, MATCH($C99, 'Option1 (base case)'!$C$14:$C$87,0))/10^6</f>
        <v>0.51352799836728713</v>
      </c>
      <c r="M99" s="118">
        <f>INDEX('Option1 (base case)'!M$14:M$87, MATCH($C99, 'Option1 (base case)'!$C$14:$C$87,0))/10^6</f>
        <v>0.5766919911172782</v>
      </c>
      <c r="N99" s="118">
        <f>INDEX('Option1 (base case)'!N$14:N$87, MATCH($C99, 'Option1 (base case)'!$C$14:$C$87,0))/10^6</f>
        <v>0.64880676663502801</v>
      </c>
      <c r="O99" s="118">
        <f>INDEX('Option1 (base case)'!O$14:O$87, MATCH($C99, 'Option1 (base case)'!$C$14:$C$87,0))/10^6</f>
        <v>0.77424769285915374</v>
      </c>
      <c r="P99" s="118">
        <f>INDEX('Option1 (base case)'!P$14:P$87, MATCH($C99, 'Option1 (base case)'!$C$14:$C$87,0))/10^6</f>
        <v>0.94617044471382217</v>
      </c>
      <c r="Q99" s="118">
        <f>INDEX('Option1 (base case)'!Q$14:Q$87, MATCH($C99, 'Option1 (base case)'!$C$14:$C$87,0))/10^6</f>
        <v>1.0759155410448824</v>
      </c>
      <c r="R99" s="118">
        <f>INDEX('Option1 (base case)'!R$14:R$87, MATCH($C99, 'Option1 (base case)'!$C$14:$C$87,0))/10^6</f>
        <v>1.1054317594349778</v>
      </c>
      <c r="S99" s="118">
        <f>INDEX('Option1 (base case)'!S$14:S$87, MATCH($C99, 'Option1 (base case)'!$C$14:$C$87,0))/10^6</f>
        <v>1.1352999251205649</v>
      </c>
      <c r="T99" s="118">
        <f>INDEX('Option1 (base case)'!T$14:T$87, MATCH($C99, 'Option1 (base case)'!$C$14:$C$87,0))/10^6</f>
        <v>1.1655196523406701</v>
      </c>
      <c r="U99" s="118">
        <f>INDEX('Option1 (base case)'!U$14:U$87, MATCH($C99, 'Option1 (base case)'!$C$14:$C$87,0))/10^6</f>
        <v>1.1960905882064876</v>
      </c>
      <c r="V99" s="118">
        <f>INDEX('Option1 (base case)'!V$14:V$87, MATCH($C99, 'Option1 (base case)'!$C$14:$C$87,0))/10^6</f>
        <v>1.2270124117775587</v>
      </c>
      <c r="W99" s="118">
        <f>INDEX('Option1 (base case)'!W$14:W$87, MATCH($C99, 'Option1 (base case)'!$C$14:$C$87,0))/10^6</f>
        <v>1.2582848331797705</v>
      </c>
      <c r="X99" s="118">
        <f>INDEX('Option1 (base case)'!X$14:X$87, MATCH($C99, 'Option1 (base case)'!$C$14:$C$87,0))/10^6</f>
        <v>1.2899075927626358</v>
      </c>
      <c r="Y99" s="118">
        <f>INDEX('Option1 (base case)'!Y$14:Y$87, MATCH($C99, 'Option1 (base case)'!$C$14:$C$87,0))/10^6</f>
        <v>1.3218804602937606</v>
      </c>
      <c r="Z99" s="118">
        <f>INDEX('Option1 (base case)'!Z$14:Z$87, MATCH($C99, 'Option1 (base case)'!$C$14:$C$87,0))/10^6</f>
        <v>1.3542032341882546</v>
      </c>
      <c r="AA99" s="118">
        <f>INDEX('Option1 (base case)'!AA$14:AA$87, MATCH($C99, 'Option1 (base case)'!$C$14:$C$87,0))/10^6</f>
        <v>1.3868757407712797</v>
      </c>
      <c r="AB99" s="118">
        <f>INDEX('Option1 (base case)'!AB$14:AB$87, MATCH($C99, 'Option1 (base case)'!$C$14:$C$87,0))/10^6</f>
        <v>1.4198978335717918</v>
      </c>
      <c r="AC99" s="118">
        <f>INDEX('Option1 (base case)'!AC$14:AC$87, MATCH($C99, 'Option1 (base case)'!$C$14:$C$87,0))/10^6</f>
        <v>1.4532693926458786</v>
      </c>
      <c r="AD99" s="118">
        <f>INDEX('Option1 (base case)'!AD$14:AD$87, MATCH($C99, 'Option1 (base case)'!$C$14:$C$87,0))/10^6</f>
        <v>1.4869903239280462</v>
      </c>
      <c r="AE99" s="118">
        <f>INDEX('Option1 (base case)'!AE$14:AE$87, MATCH($C99, 'Option1 (base case)'!$C$14:$C$87,0))/10^6</f>
        <v>1.5210605586089601</v>
      </c>
      <c r="AF99" s="118">
        <f>INDEX('Option1 (base case)'!AF$14:AF$87, MATCH($C99, 'Option1 (base case)'!$C$14:$C$87,0))/10^6</f>
        <v>1.5554800525383314</v>
      </c>
      <c r="AG99" s="118">
        <f>INDEX('Option1 (base case)'!AG$14:AG$87, MATCH($C99, 'Option1 (base case)'!$C$14:$C$87,0))/10^6</f>
        <v>1.5902487856515268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3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VM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 s="2" customFormat="1" hidden="1" outlineLevel="1" x14ac:dyDescent="0.2">
      <c r="A5" s="115" t="s">
        <v>194</v>
      </c>
      <c r="B5" s="115"/>
      <c r="D5" s="116"/>
      <c r="E5" s="115"/>
      <c r="F5" s="115"/>
      <c r="G5" s="100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5"/>
      <c r="D6" s="116"/>
      <c r="E6" s="115"/>
      <c r="F6" s="115"/>
      <c r="G6" s="100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5" t="s">
        <v>195</v>
      </c>
      <c r="B7" s="115"/>
      <c r="D7" s="116"/>
      <c r="E7" s="115"/>
      <c r="F7" s="115"/>
      <c r="G7" s="100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1</v>
      </c>
      <c r="AD7" s="254" t="b">
        <f>Consol!AD7</f>
        <v>1</v>
      </c>
      <c r="AE7" s="254" t="b">
        <f>Consol!AE7</f>
        <v>1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20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153</v>
      </c>
      <c r="G11" s="221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758852.49370225566</v>
      </c>
      <c r="AA12" s="31">
        <f>Consol!AB36</f>
        <v>763787.58354970254</v>
      </c>
      <c r="AB12" s="31">
        <f>Consol!AC36</f>
        <v>768997.16709974385</v>
      </c>
      <c r="AC12" s="31">
        <f>Consol!AD36</f>
        <v>774448.67371396162</v>
      </c>
      <c r="AD12" s="31">
        <f>Consol!AE36</f>
        <v>779870.78829583398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142</v>
      </c>
      <c r="B14" s="252" t="s">
        <v>119</v>
      </c>
      <c r="C14" s="252" t="s">
        <v>188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142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142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142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142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142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142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142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142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188</v>
      </c>
      <c r="D28" s="252" t="str">
        <f>A28&amp;B28</f>
        <v>Option 2NPV</v>
      </c>
      <c r="E28" s="253"/>
      <c r="F28" s="31">
        <f>SUMPRODUCT($H28:$AG28, $H$5:$AG$5)</f>
        <v>7877935.8194116484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-88174.689647633277</v>
      </c>
      <c r="N28" s="31">
        <f>(INDEX(Option2!N$106:N$117, MATCH($D28, Option2!$G$106:$G$117,0)))*conv_2026*N$7</f>
        <v>434257.65867577796</v>
      </c>
      <c r="O28" s="31">
        <f>(INDEX(Option2!O$106:O$117, MATCH($D28, Option2!$G$106:$G$117,0)))*conv_2026*O$7</f>
        <v>524437.52412211429</v>
      </c>
      <c r="P28" s="31">
        <f>(INDEX(Option2!P$106:P$117, MATCH($D28, Option2!$G$106:$G$117,0)))*conv_2026*P$7</f>
        <v>654949.32696688361</v>
      </c>
      <c r="Q28" s="31">
        <f>(INDEX(Option2!Q$106:Q$117, MATCH($D28, Option2!$G$106:$G$117,0)))*conv_2026*Q$7</f>
        <v>741443.20448755962</v>
      </c>
      <c r="R28" s="31">
        <f>(INDEX(Option2!R$106:R$117, MATCH($D28, Option2!$G$106:$G$117,0)))*conv_2026*R$7</f>
        <v>738117.82135248289</v>
      </c>
      <c r="S28" s="31">
        <f>(INDEX(Option2!S$106:S$117, MATCH($D28, Option2!$G$106:$G$117,0)))*conv_2026*S$7</f>
        <v>736745.61343427794</v>
      </c>
      <c r="T28" s="31">
        <f>(INDEX(Option2!T$106:T$117, MATCH($D28, Option2!$G$106:$G$117,0)))*conv_2026*T$7</f>
        <v>736811.30930726021</v>
      </c>
      <c r="U28" s="31">
        <f>(INDEX(Option2!U$106:U$117, MATCH($D28, Option2!$G$106:$G$117,0)))*conv_2026*U$7</f>
        <v>737981.88430848019</v>
      </c>
      <c r="V28" s="31">
        <f>(INDEX(Option2!V$106:V$117, MATCH($D28, Option2!$G$106:$G$117,0)))*conv_2026*V$7</f>
        <v>740028.32303663075</v>
      </c>
      <c r="W28" s="31">
        <f>(INDEX(Option2!W$106:W$117, MATCH($D28, Option2!$G$106:$G$117,0)))*conv_2026*W$7</f>
        <v>742785.79195384798</v>
      </c>
      <c r="X28" s="31">
        <f>(INDEX(Option2!X$106:X$117, MATCH($D28, Option2!$G$106:$G$117,0)))*conv_2026*X$7</f>
        <v>746131.43598865764</v>
      </c>
      <c r="Y28" s="31">
        <f>(INDEX(Option2!Y$106:Y$117, MATCH($D28, Option2!$G$106:$G$117,0)))*conv_2026*Y$7</f>
        <v>749971.1237253584</v>
      </c>
      <c r="Z28" s="31">
        <f>(INDEX(Option2!Z$106:Z$117, MATCH($D28, Option2!$G$106:$G$117,0)))*conv_2026*Z$7</f>
        <v>754231.09942025389</v>
      </c>
      <c r="AA28" s="31">
        <f>(INDEX(Option2!AA$106:AA$117, MATCH($D28, Option2!$G$106:$G$117,0)))*conv_2026*AA$7</f>
        <v>758852.49370225566</v>
      </c>
      <c r="AB28" s="31">
        <f>(INDEX(Option2!AB$106:AB$117, MATCH($D28, Option2!$G$106:$G$117,0)))*conv_2026*AB$7</f>
        <v>763787.58354970242</v>
      </c>
      <c r="AC28" s="31">
        <f>(INDEX(Option2!AC$106:AC$117, MATCH($D28, Option2!$G$106:$G$117,0)))*conv_2026*AC$7</f>
        <v>768997.16709974373</v>
      </c>
      <c r="AD28" s="31">
        <f>(INDEX(Option2!AD$106:AD$117, MATCH($D28, Option2!$G$106:$G$117,0)))*conv_2026*AD$7</f>
        <v>774448.67371396162</v>
      </c>
      <c r="AE28" s="31">
        <f>(INDEX(Option2!AE$106:AE$117, MATCH($D28, Option2!$G$106:$G$117,0)))*conv_2026*AE$7</f>
        <v>779870.78829583386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7571522.8439710895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-96992.158612396597</v>
      </c>
      <c r="N30" s="31">
        <f>IF($B30=0,0, (INDEX(Option2!N$106:N$117, MATCH($D30, Option2!$G$106:$G$117,0)))*conv_2026*N$7)</f>
        <v>407805.25178148795</v>
      </c>
      <c r="O30" s="31">
        <f>IF($B30=0,0, (INDEX(Option2!O$106:O$117, MATCH($D30, Option2!$G$106:$G$117,0)))*conv_2026*O$7)</f>
        <v>497985.11722782423</v>
      </c>
      <c r="P30" s="31">
        <f>IF($B30=0,0, (INDEX(Option2!P$106:P$117, MATCH($D30, Option2!$G$106:$G$117,0)))*conv_2026*P$7)</f>
        <v>628496.92007259361</v>
      </c>
      <c r="Q30" s="31">
        <f>IF($B30=0,0, (INDEX(Option2!Q$106:Q$117, MATCH($D30, Option2!$G$106:$G$117,0)))*conv_2026*Q$7)</f>
        <v>714990.79759326961</v>
      </c>
      <c r="R30" s="31">
        <f>IF($B30=0,0, (INDEX(Option2!R$106:R$117, MATCH($D30, Option2!$G$106:$G$117,0)))*conv_2026*R$7)</f>
        <v>711665.41445819288</v>
      </c>
      <c r="S30" s="31">
        <f>IF($B30=0,0, (INDEX(Option2!S$106:S$117, MATCH($D30, Option2!$G$106:$G$117,0)))*conv_2026*S$7)</f>
        <v>710293.20653998794</v>
      </c>
      <c r="T30" s="31">
        <f>IF($B30=0,0, (INDEX(Option2!T$106:T$117, MATCH($D30, Option2!$G$106:$G$117,0)))*conv_2026*T$7)</f>
        <v>710358.9024129702</v>
      </c>
      <c r="U30" s="31">
        <f>IF($B30=0,0, (INDEX(Option2!U$106:U$117, MATCH($D30, Option2!$G$106:$G$117,0)))*conv_2026*U$7)</f>
        <v>711529.47741419019</v>
      </c>
      <c r="V30" s="31">
        <f>IF($B30=0,0, (INDEX(Option2!V$106:V$117, MATCH($D30, Option2!$G$106:$G$117,0)))*conv_2026*V$7)</f>
        <v>713575.91614234075</v>
      </c>
      <c r="W30" s="31">
        <f>IF($B30=0,0, (INDEX(Option2!W$106:W$117, MATCH($D30, Option2!$G$106:$G$117,0)))*conv_2026*W$7)</f>
        <v>716333.38505955797</v>
      </c>
      <c r="X30" s="31">
        <f>IF($B30=0,0, (INDEX(Option2!X$106:X$117, MATCH($D30, Option2!$G$106:$G$117,0)))*conv_2026*X$7)</f>
        <v>719679.02909436764</v>
      </c>
      <c r="Y30" s="31">
        <f>IF($B30=0,0, (INDEX(Option2!Y$106:Y$117, MATCH($D30, Option2!$G$106:$G$117,0)))*conv_2026*Y$7)</f>
        <v>723518.71683106839</v>
      </c>
      <c r="Z30" s="31">
        <f>IF($B30=0,0, (INDEX(Option2!Z$106:Z$117, MATCH($D30, Option2!$G$106:$G$117,0)))*conv_2026*Z$7)</f>
        <v>727778.69252596388</v>
      </c>
      <c r="AA30" s="31">
        <f>IF($B30=0,0, (INDEX(Option2!AA$106:AA$117, MATCH($D30, Option2!$G$106:$G$117,0)))*conv_2026*AA$7)</f>
        <v>732400.08680796565</v>
      </c>
      <c r="AB30" s="31">
        <f>IF($B30=0,0, (INDEX(Option2!AB$106:AB$117, MATCH($D30, Option2!$G$106:$G$117,0)))*conv_2026*AB$7)</f>
        <v>737335.17665541242</v>
      </c>
      <c r="AC30" s="31">
        <f>IF($B30=0,0, (INDEX(Option2!AC$106:AC$117, MATCH($D30, Option2!$G$106:$G$117,0)))*conv_2026*AC$7)</f>
        <v>742544.76020545373</v>
      </c>
      <c r="AD30" s="31">
        <f>IF($B30=0,0, (INDEX(Option2!AD$106:AD$117, MATCH($D30, Option2!$G$106:$G$117,0)))*conv_2026*AD$7)</f>
        <v>747996.26681967161</v>
      </c>
      <c r="AE30" s="31">
        <f>IF($B30=0,0, (INDEX(Option2!AE$106:AE$117, MATCH($D30, Option2!$G$106:$G$117,0)))*conv_2026*AE$7)</f>
        <v>753418.38140154385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8184348.7948522074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-79357.220682869956</v>
      </c>
      <c r="N31" s="31">
        <f>IF($B31=0,0, (INDEX(Option2!N$106:N$117, MATCH($D31, Option2!$G$106:$G$117,0)))*conv_2026*N$7)</f>
        <v>460710.06557006796</v>
      </c>
      <c r="O31" s="31">
        <f>IF($B31=0,0, (INDEX(Option2!O$106:O$117, MATCH($D31, Option2!$G$106:$G$117,0)))*conv_2026*O$7)</f>
        <v>550889.9310164043</v>
      </c>
      <c r="P31" s="31">
        <f>IF($B31=0,0, (INDEX(Option2!P$106:P$117, MATCH($D31, Option2!$G$106:$G$117,0)))*conv_2026*P$7)</f>
        <v>681401.73386117362</v>
      </c>
      <c r="Q31" s="31">
        <f>IF($B31=0,0, (INDEX(Option2!Q$106:Q$117, MATCH($D31, Option2!$G$106:$G$117,0)))*conv_2026*Q$7)</f>
        <v>767895.61138184962</v>
      </c>
      <c r="R31" s="31">
        <f>IF($B31=0,0, (INDEX(Option2!R$106:R$117, MATCH($D31, Option2!$G$106:$G$117,0)))*conv_2026*R$7)</f>
        <v>764570.22824677289</v>
      </c>
      <c r="S31" s="31">
        <f>IF($B31=0,0, (INDEX(Option2!S$106:S$117, MATCH($D31, Option2!$G$106:$G$117,0)))*conv_2026*S$7)</f>
        <v>763198.02032856795</v>
      </c>
      <c r="T31" s="31">
        <f>IF($B31=0,0, (INDEX(Option2!T$106:T$117, MATCH($D31, Option2!$G$106:$G$117,0)))*conv_2026*T$7)</f>
        <v>763263.71620155021</v>
      </c>
      <c r="U31" s="31">
        <f>IF($B31=0,0, (INDEX(Option2!U$106:U$117, MATCH($D31, Option2!$G$106:$G$117,0)))*conv_2026*U$7)</f>
        <v>764434.2912027702</v>
      </c>
      <c r="V31" s="31">
        <f>IF($B31=0,0, (INDEX(Option2!V$106:V$117, MATCH($D31, Option2!$G$106:$G$117,0)))*conv_2026*V$7)</f>
        <v>766480.72993092076</v>
      </c>
      <c r="W31" s="31">
        <f>IF($B31=0,0, (INDEX(Option2!W$106:W$117, MATCH($D31, Option2!$G$106:$G$117,0)))*conv_2026*W$7)</f>
        <v>769238.19884813798</v>
      </c>
      <c r="X31" s="31">
        <f>IF($B31=0,0, (INDEX(Option2!X$106:X$117, MATCH($D31, Option2!$G$106:$G$117,0)))*conv_2026*X$7)</f>
        <v>772583.84288294765</v>
      </c>
      <c r="Y31" s="31">
        <f>IF($B31=0,0, (INDEX(Option2!Y$106:Y$117, MATCH($D31, Option2!$G$106:$G$117,0)))*conv_2026*Y$7)</f>
        <v>776423.5306196484</v>
      </c>
      <c r="Z31" s="31">
        <f>IF($B31=0,0, (INDEX(Option2!Z$106:Z$117, MATCH($D31, Option2!$G$106:$G$117,0)))*conv_2026*Z$7)</f>
        <v>780683.50631454389</v>
      </c>
      <c r="AA31" s="31">
        <f>IF($B31=0,0, (INDEX(Option2!AA$106:AA$117, MATCH($D31, Option2!$G$106:$G$117,0)))*conv_2026*AA$7)</f>
        <v>785304.90059654566</v>
      </c>
      <c r="AB31" s="31">
        <f>IF($B31=0,0, (INDEX(Option2!AB$106:AB$117, MATCH($D31, Option2!$G$106:$G$117,0)))*conv_2026*AB$7)</f>
        <v>790239.99044399254</v>
      </c>
      <c r="AC31" s="31">
        <f>IF($B31=0,0, (INDEX(Option2!AC$106:AC$117, MATCH($D31, Option2!$G$106:$G$117,0)))*conv_2026*AC$7)</f>
        <v>795449.57399403374</v>
      </c>
      <c r="AD31" s="31">
        <f>IF($B31=0,0, (INDEX(Option2!AD$106:AD$117, MATCH($D31, Option2!$G$106:$G$117,0)))*conv_2026*AD$7)</f>
        <v>800901.08060825162</v>
      </c>
      <c r="AE31" s="31">
        <f>IF($B31=0,0, (INDEX(Option2!AE$106:AE$117, MATCH($D31, Option2!$G$106:$G$117,0)))*conv_2026*AE$7)</f>
        <v>806323.19519012386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8972142.3767933715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-88174.689647633277</v>
      </c>
      <c r="N32" s="31">
        <f>IF($B32=0,0, (INDEX(Option2!N$106:N$117, MATCH($D32, Option2!$G$106:$G$117,0)))*conv_2026*N$7)</f>
        <v>504135.83143764577</v>
      </c>
      <c r="O32" s="31">
        <f>IF($B32=0,0, (INDEX(Option2!O$106:O$117, MATCH($D32, Option2!$G$106:$G$117,0)))*conv_2026*O$7)</f>
        <v>603333.68342861568</v>
      </c>
      <c r="P32" s="31">
        <f>IF($B32=0,0, (INDEX(Option2!P$106:P$117, MATCH($D32, Option2!$G$106:$G$117,0)))*conv_2026*P$7)</f>
        <v>746896.66655786196</v>
      </c>
      <c r="Q32" s="31">
        <f>IF($B32=0,0, (INDEX(Option2!Q$106:Q$117, MATCH($D32, Option2!$G$106:$G$117,0)))*conv_2026*Q$7)</f>
        <v>842039.93183060561</v>
      </c>
      <c r="R32" s="31">
        <f>IF($B32=0,0, (INDEX(Option2!R$106:R$117, MATCH($D32, Option2!$G$106:$G$117,0)))*conv_2026*R$7)</f>
        <v>838382.0103820212</v>
      </c>
      <c r="S32" s="31">
        <f>IF($B32=0,0, (INDEX(Option2!S$106:S$117, MATCH($D32, Option2!$G$106:$G$117,0)))*conv_2026*S$7)</f>
        <v>836872.58167199581</v>
      </c>
      <c r="T32" s="31">
        <f>IF($B32=0,0, (INDEX(Option2!T$106:T$117, MATCH($D32, Option2!$G$106:$G$117,0)))*conv_2026*T$7)</f>
        <v>836944.84713227628</v>
      </c>
      <c r="U32" s="31">
        <f>IF($B32=0,0, (INDEX(Option2!U$106:U$117, MATCH($D32, Option2!$G$106:$G$117,0)))*conv_2026*U$7)</f>
        <v>838232.47963361815</v>
      </c>
      <c r="V32" s="31">
        <f>IF($B32=0,0, (INDEX(Option2!V$106:V$117, MATCH($D32, Option2!$G$106:$G$117,0)))*conv_2026*V$7)</f>
        <v>840483.56223458378</v>
      </c>
      <c r="W32" s="31">
        <f>IF($B32=0,0, (INDEX(Option2!W$106:W$117, MATCH($D32, Option2!$G$106:$G$117,0)))*conv_2026*W$7)</f>
        <v>843516.77804352273</v>
      </c>
      <c r="X32" s="31">
        <f>IF($B32=0,0, (INDEX(Option2!X$106:X$117, MATCH($D32, Option2!$G$106:$G$117,0)))*conv_2026*X$7)</f>
        <v>847196.98648181348</v>
      </c>
      <c r="Y32" s="31">
        <f>IF($B32=0,0, (INDEX(Option2!Y$106:Y$117, MATCH($D32, Option2!$G$106:$G$117,0)))*conv_2026*Y$7)</f>
        <v>851420.64299218426</v>
      </c>
      <c r="Z32" s="31">
        <f>IF($B32=0,0, (INDEX(Option2!Z$106:Z$117, MATCH($D32, Option2!$G$106:$G$117,0)))*conv_2026*Z$7)</f>
        <v>856106.61625656928</v>
      </c>
      <c r="AA32" s="31">
        <f>IF($B32=0,0, (INDEX(Option2!AA$106:AA$117, MATCH($D32, Option2!$G$106:$G$117,0)))*conv_2026*AA$7)</f>
        <v>861190.14996677113</v>
      </c>
      <c r="AB32" s="31">
        <f>IF($B32=0,0, (INDEX(Option2!AB$106:AB$117, MATCH($D32, Option2!$G$106:$G$117,0)))*conv_2026*AB$7)</f>
        <v>866618.7487989628</v>
      </c>
      <c r="AC32" s="31">
        <f>IF($B32=0,0, (INDEX(Option2!AC$106:AC$117, MATCH($D32, Option2!$G$106:$G$117,0)))*conv_2026*AC$7)</f>
        <v>872349.29070400819</v>
      </c>
      <c r="AD32" s="31">
        <f>IF($B32=0,0, (INDEX(Option2!AD$106:AD$117, MATCH($D32, Option2!$G$106:$G$117,0)))*conv_2026*AD$7)</f>
        <v>878345.94797964767</v>
      </c>
      <c r="AE32" s="31">
        <f>IF($B32=0,0, (INDEX(Option2!AE$106:AE$117, MATCH($D32, Option2!$G$106:$G$117,0)))*conv_2026*AE$7)</f>
        <v>884310.27401970723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6783729.2620299254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-88174.689647633277</v>
      </c>
      <c r="N33" s="31">
        <f>IF($B33=0,0, (INDEX(Option2!N$106:N$117, MATCH($D33, Option2!$G$106:$G$117,0)))*conv_2026*N$7)</f>
        <v>364379.4859139102</v>
      </c>
      <c r="O33" s="31">
        <f>IF($B33=0,0, (INDEX(Option2!O$106:O$117, MATCH($D33, Option2!$G$106:$G$117,0)))*conv_2026*O$7)</f>
        <v>445541.36481561285</v>
      </c>
      <c r="P33" s="31">
        <f>IF($B33=0,0, (INDEX(Option2!P$106:P$117, MATCH($D33, Option2!$G$106:$G$117,0)))*conv_2026*P$7)</f>
        <v>563001.98737590527</v>
      </c>
      <c r="Q33" s="31">
        <f>IF($B33=0,0, (INDEX(Option2!Q$106:Q$117, MATCH($D33, Option2!$G$106:$G$117,0)))*conv_2026*Q$7)</f>
        <v>640846.47714451363</v>
      </c>
      <c r="R33" s="31">
        <f>IF($B33=0,0, (INDEX(Option2!R$106:R$117, MATCH($D33, Option2!$G$106:$G$117,0)))*conv_2026*R$7)</f>
        <v>637853.63232294458</v>
      </c>
      <c r="S33" s="31">
        <f>IF($B33=0,0, (INDEX(Option2!S$106:S$117, MATCH($D33, Option2!$G$106:$G$117,0)))*conv_2026*S$7)</f>
        <v>636618.64519656019</v>
      </c>
      <c r="T33" s="31">
        <f>IF($B33=0,0, (INDEX(Option2!T$106:T$117, MATCH($D33, Option2!$G$106:$G$117,0)))*conv_2026*T$7)</f>
        <v>636677.77148224425</v>
      </c>
      <c r="U33" s="31">
        <f>IF($B33=0,0, (INDEX(Option2!U$106:U$117, MATCH($D33, Option2!$G$106:$G$117,0)))*conv_2026*U$7)</f>
        <v>637731.28898334212</v>
      </c>
      <c r="V33" s="31">
        <f>IF($B33=0,0, (INDEX(Option2!V$106:V$117, MATCH($D33, Option2!$G$106:$G$117,0)))*conv_2026*V$7)</f>
        <v>639573.08383867773</v>
      </c>
      <c r="W33" s="31">
        <f>IF($B33=0,0, (INDEX(Option2!W$106:W$117, MATCH($D33, Option2!$G$106:$G$117,0)))*conv_2026*W$7)</f>
        <v>642054.8058641731</v>
      </c>
      <c r="X33" s="31">
        <f>IF($B33=0,0, (INDEX(Option2!X$106:X$117, MATCH($D33, Option2!$G$106:$G$117,0)))*conv_2026*X$7)</f>
        <v>645065.8854955018</v>
      </c>
      <c r="Y33" s="31">
        <f>IF($B33=0,0, (INDEX(Option2!Y$106:Y$117, MATCH($D33, Option2!$G$106:$G$117,0)))*conv_2026*Y$7)</f>
        <v>648521.60445853253</v>
      </c>
      <c r="Z33" s="31">
        <f>IF($B33=0,0, (INDEX(Option2!Z$106:Z$117, MATCH($D33, Option2!$G$106:$G$117,0)))*conv_2026*Z$7)</f>
        <v>652355.58258393838</v>
      </c>
      <c r="AA33" s="31">
        <f>IF($B33=0,0, (INDEX(Option2!AA$106:AA$117, MATCH($D33, Option2!$G$106:$G$117,0)))*conv_2026*AA$7)</f>
        <v>656514.83743774006</v>
      </c>
      <c r="AB33" s="31">
        <f>IF($B33=0,0, (INDEX(Option2!AB$106:AB$117, MATCH($D33, Option2!$G$106:$G$117,0)))*conv_2026*AB$7)</f>
        <v>660956.41830044216</v>
      </c>
      <c r="AC33" s="31">
        <f>IF($B33=0,0, (INDEX(Option2!AC$106:AC$117, MATCH($D33, Option2!$G$106:$G$117,0)))*conv_2026*AC$7)</f>
        <v>665645.04349547939</v>
      </c>
      <c r="AD33" s="31">
        <f>IF($B33=0,0, (INDEX(Option2!AD$106:AD$117, MATCH($D33, Option2!$G$106:$G$117,0)))*conv_2026*AD$7)</f>
        <v>670551.39944827545</v>
      </c>
      <c r="AE33" s="31">
        <f>IF($B33=0,0, (INDEX(Option2!AE$106:AE$117, MATCH($D33, Option2!$G$106:$G$117,0)))*conv_2026*AE$7)</f>
        <v>675431.30257196061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6477316.2865893673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-96992.158612396597</v>
      </c>
      <c r="N34" s="31">
        <f>IF($B34=0,0, (INDEX(Option2!N$106:N$117, MATCH($D34, Option2!$G$106:$G$117,0)))*conv_2026*N$7)</f>
        <v>337927.07901962026</v>
      </c>
      <c r="O34" s="31">
        <f>IF($B34=0,0, (INDEX(Option2!O$106:O$117, MATCH($D34, Option2!$G$106:$G$117,0)))*conv_2026*O$7)</f>
        <v>419088.95792132284</v>
      </c>
      <c r="P34" s="31">
        <f>IF($B34=0,0, (INDEX(Option2!P$106:P$117, MATCH($D34, Option2!$G$106:$G$117,0)))*conv_2026*P$7)</f>
        <v>536549.58048161527</v>
      </c>
      <c r="Q34" s="31">
        <f>IF($B34=0,0, (INDEX(Option2!Q$106:Q$117, MATCH($D34, Option2!$G$106:$G$117,0)))*conv_2026*Q$7)</f>
        <v>614394.07025022362</v>
      </c>
      <c r="R34" s="31">
        <f>IF($B34=0,0, (INDEX(Option2!R$106:R$117, MATCH($D34, Option2!$G$106:$G$117,0)))*conv_2026*R$7)</f>
        <v>611401.2254286547</v>
      </c>
      <c r="S34" s="31">
        <f>IF($B34=0,0, (INDEX(Option2!S$106:S$117, MATCH($D34, Option2!$G$106:$G$117,0)))*conv_2026*S$7)</f>
        <v>610166.23830227018</v>
      </c>
      <c r="T34" s="31">
        <f>IF($B34=0,0, (INDEX(Option2!T$106:T$117, MATCH($D34, Option2!$G$106:$G$117,0)))*conv_2026*T$7)</f>
        <v>610225.36458795425</v>
      </c>
      <c r="U34" s="31">
        <f>IF($B34=0,0, (INDEX(Option2!U$106:U$117, MATCH($D34, Option2!$G$106:$G$117,0)))*conv_2026*U$7)</f>
        <v>611278.88208905212</v>
      </c>
      <c r="V34" s="31">
        <f>IF($B34=0,0, (INDEX(Option2!V$106:V$117, MATCH($D34, Option2!$G$106:$G$117,0)))*conv_2026*V$7)</f>
        <v>613120.67694438773</v>
      </c>
      <c r="W34" s="31">
        <f>IF($B34=0,0, (INDEX(Option2!W$106:W$117, MATCH($D34, Option2!$G$106:$G$117,0)))*conv_2026*W$7)</f>
        <v>615602.3989698831</v>
      </c>
      <c r="X34" s="31">
        <f>IF($B34=0,0, (INDEX(Option2!X$106:X$117, MATCH($D34, Option2!$G$106:$G$117,0)))*conv_2026*X$7)</f>
        <v>618613.47860121191</v>
      </c>
      <c r="Y34" s="31">
        <f>IF($B34=0,0, (INDEX(Option2!Y$106:Y$117, MATCH($D34, Option2!$G$106:$G$117,0)))*conv_2026*Y$7)</f>
        <v>622069.19756424264</v>
      </c>
      <c r="Z34" s="31">
        <f>IF($B34=0,0, (INDEX(Option2!Z$106:Z$117, MATCH($D34, Option2!$G$106:$G$117,0)))*conv_2026*Z$7)</f>
        <v>625903.17568964849</v>
      </c>
      <c r="AA34" s="31">
        <f>IF($B34=0,0, (INDEX(Option2!AA$106:AA$117, MATCH($D34, Option2!$G$106:$G$117,0)))*conv_2026*AA$7)</f>
        <v>630062.43054345006</v>
      </c>
      <c r="AB34" s="31">
        <f>IF($B34=0,0, (INDEX(Option2!AB$106:AB$117, MATCH($D34, Option2!$G$106:$G$117,0)))*conv_2026*AB$7)</f>
        <v>634504.01140615228</v>
      </c>
      <c r="AC34" s="31">
        <f>IF($B34=0,0, (INDEX(Option2!AC$106:AC$117, MATCH($D34, Option2!$G$106:$G$117,0)))*conv_2026*AC$7)</f>
        <v>639192.63660118938</v>
      </c>
      <c r="AD34" s="31">
        <f>IF($B34=0,0, (INDEX(Option2!AD$106:AD$117, MATCH($D34, Option2!$G$106:$G$117,0)))*conv_2026*AD$7)</f>
        <v>644098.99255398544</v>
      </c>
      <c r="AE34" s="31">
        <f>IF($B34=0,0, (INDEX(Option2!AE$106:AE$117, MATCH($D34, Option2!$G$106:$G$117,0)))*conv_2026*AE$7)</f>
        <v>648978.8956776706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7877935.8194116484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-88174.689647633277</v>
      </c>
      <c r="N35" s="31">
        <f>IF($B35=0,0, (INDEX(Option2!N$106:N$117, MATCH($D35, Option2!$G$106:$G$117,0)))*conv_2026*N$7)</f>
        <v>434257.65867577796</v>
      </c>
      <c r="O35" s="31">
        <f>IF($B35=0,0, (INDEX(Option2!O$106:O$117, MATCH($D35, Option2!$G$106:$G$117,0)))*conv_2026*O$7)</f>
        <v>524437.52412211429</v>
      </c>
      <c r="P35" s="31">
        <f>IF($B35=0,0, (INDEX(Option2!P$106:P$117, MATCH($D35, Option2!$G$106:$G$117,0)))*conv_2026*P$7)</f>
        <v>654949.32696688361</v>
      </c>
      <c r="Q35" s="31">
        <f>IF($B35=0,0, (INDEX(Option2!Q$106:Q$117, MATCH($D35, Option2!$G$106:$G$117,0)))*conv_2026*Q$7)</f>
        <v>741443.20448755962</v>
      </c>
      <c r="R35" s="31">
        <f>IF($B35=0,0, (INDEX(Option2!R$106:R$117, MATCH($D35, Option2!$G$106:$G$117,0)))*conv_2026*R$7)</f>
        <v>738117.82135248289</v>
      </c>
      <c r="S35" s="31">
        <f>IF($B35=0,0, (INDEX(Option2!S$106:S$117, MATCH($D35, Option2!$G$106:$G$117,0)))*conv_2026*S$7)</f>
        <v>736745.61343427794</v>
      </c>
      <c r="T35" s="31">
        <f>IF($B35=0,0, (INDEX(Option2!T$106:T$117, MATCH($D35, Option2!$G$106:$G$117,0)))*conv_2026*T$7)</f>
        <v>736811.30930726021</v>
      </c>
      <c r="U35" s="31">
        <f>IF($B35=0,0, (INDEX(Option2!U$106:U$117, MATCH($D35, Option2!$G$106:$G$117,0)))*conv_2026*U$7)</f>
        <v>737981.88430848019</v>
      </c>
      <c r="V35" s="31">
        <f>IF($B35=0,0, (INDEX(Option2!V$106:V$117, MATCH($D35, Option2!$G$106:$G$117,0)))*conv_2026*V$7)</f>
        <v>740028.32303663075</v>
      </c>
      <c r="W35" s="31">
        <f>IF($B35=0,0, (INDEX(Option2!W$106:W$117, MATCH($D35, Option2!$G$106:$G$117,0)))*conv_2026*W$7)</f>
        <v>742785.79195384798</v>
      </c>
      <c r="X35" s="31">
        <f>IF($B35=0,0, (INDEX(Option2!X$106:X$117, MATCH($D35, Option2!$G$106:$G$117,0)))*conv_2026*X$7)</f>
        <v>746131.43598865764</v>
      </c>
      <c r="Y35" s="31">
        <f>IF($B35=0,0, (INDEX(Option2!Y$106:Y$117, MATCH($D35, Option2!$G$106:$G$117,0)))*conv_2026*Y$7)</f>
        <v>749971.1237253584</v>
      </c>
      <c r="Z35" s="31">
        <f>IF($B35=0,0, (INDEX(Option2!Z$106:Z$117, MATCH($D35, Option2!$G$106:$G$117,0)))*conv_2026*Z$7)</f>
        <v>754231.09942025389</v>
      </c>
      <c r="AA35" s="31">
        <f>IF($B35=0,0, (INDEX(Option2!AA$106:AA$117, MATCH($D35, Option2!$G$106:$G$117,0)))*conv_2026*AA$7)</f>
        <v>758852.49370225566</v>
      </c>
      <c r="AB35" s="31">
        <f>IF($B35=0,0, (INDEX(Option2!AB$106:AB$117, MATCH($D35, Option2!$G$106:$G$117,0)))*conv_2026*AB$7)</f>
        <v>763787.58354970242</v>
      </c>
      <c r="AC35" s="31">
        <f>IF($B35=0,0, (INDEX(Option2!AC$106:AC$117, MATCH($D35, Option2!$G$106:$G$117,0)))*conv_2026*AC$7)</f>
        <v>768997.16709974373</v>
      </c>
      <c r="AD35" s="31">
        <f>IF($B35=0,0, (INDEX(Option2!AD$106:AD$117, MATCH($D35, Option2!$G$106:$G$117,0)))*conv_2026*AD$7)</f>
        <v>774448.67371396162</v>
      </c>
      <c r="AE35" s="31">
        <f>IF($B35=0,0, (INDEX(Option2!AE$106:AE$117, MATCH($D35, Option2!$G$106:$G$117,0)))*conv_2026*AE$7)</f>
        <v>779870.78829583386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7877935.8194116484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-88174.689647633277</v>
      </c>
      <c r="N36" s="31">
        <f>IF($B36=0,0, (INDEX(Option2!N$106:N$117, MATCH($D36, Option2!$G$106:$G$117,0)))*conv_2026*N$7)</f>
        <v>434257.65867577796</v>
      </c>
      <c r="O36" s="31">
        <f>IF($B36=0,0, (INDEX(Option2!O$106:O$117, MATCH($D36, Option2!$G$106:$G$117,0)))*conv_2026*O$7)</f>
        <v>524437.52412211429</v>
      </c>
      <c r="P36" s="31">
        <f>IF($B36=0,0, (INDEX(Option2!P$106:P$117, MATCH($D36, Option2!$G$106:$G$117,0)))*conv_2026*P$7)</f>
        <v>654949.32696688361</v>
      </c>
      <c r="Q36" s="31">
        <f>IF($B36=0,0, (INDEX(Option2!Q$106:Q$117, MATCH($D36, Option2!$G$106:$G$117,0)))*conv_2026*Q$7)</f>
        <v>741443.20448755962</v>
      </c>
      <c r="R36" s="31">
        <f>IF($B36=0,0, (INDEX(Option2!R$106:R$117, MATCH($D36, Option2!$G$106:$G$117,0)))*conv_2026*R$7)</f>
        <v>738117.82135248289</v>
      </c>
      <c r="S36" s="31">
        <f>IF($B36=0,0, (INDEX(Option2!S$106:S$117, MATCH($D36, Option2!$G$106:$G$117,0)))*conv_2026*S$7)</f>
        <v>736745.61343427794</v>
      </c>
      <c r="T36" s="31">
        <f>IF($B36=0,0, (INDEX(Option2!T$106:T$117, MATCH($D36, Option2!$G$106:$G$117,0)))*conv_2026*T$7)</f>
        <v>736811.30930726021</v>
      </c>
      <c r="U36" s="31">
        <f>IF($B36=0,0, (INDEX(Option2!U$106:U$117, MATCH($D36, Option2!$G$106:$G$117,0)))*conv_2026*U$7)</f>
        <v>737981.88430848019</v>
      </c>
      <c r="V36" s="31">
        <f>IF($B36=0,0, (INDEX(Option2!V$106:V$117, MATCH($D36, Option2!$G$106:$G$117,0)))*conv_2026*V$7)</f>
        <v>740028.32303663075</v>
      </c>
      <c r="W36" s="31">
        <f>IF($B36=0,0, (INDEX(Option2!W$106:W$117, MATCH($D36, Option2!$G$106:$G$117,0)))*conv_2026*W$7)</f>
        <v>742785.79195384798</v>
      </c>
      <c r="X36" s="31">
        <f>IF($B36=0,0, (INDEX(Option2!X$106:X$117, MATCH($D36, Option2!$G$106:$G$117,0)))*conv_2026*X$7)</f>
        <v>746131.43598865764</v>
      </c>
      <c r="Y36" s="31">
        <f>IF($B36=0,0, (INDEX(Option2!Y$106:Y$117, MATCH($D36, Option2!$G$106:$G$117,0)))*conv_2026*Y$7)</f>
        <v>749971.1237253584</v>
      </c>
      <c r="Z36" s="31">
        <f>IF($B36=0,0, (INDEX(Option2!Z$106:Z$117, MATCH($D36, Option2!$G$106:$G$117,0)))*conv_2026*Z$7)</f>
        <v>754231.09942025389</v>
      </c>
      <c r="AA36" s="31">
        <f>IF($B36=0,0, (INDEX(Option2!AA$106:AA$117, MATCH($D36, Option2!$G$106:$G$117,0)))*conv_2026*AA$7)</f>
        <v>758852.49370225566</v>
      </c>
      <c r="AB36" s="31">
        <f>IF($B36=0,0, (INDEX(Option2!AB$106:AB$117, MATCH($D36, Option2!$G$106:$G$117,0)))*conv_2026*AB$7)</f>
        <v>763787.58354970242</v>
      </c>
      <c r="AC36" s="31">
        <f>IF($B36=0,0, (INDEX(Option2!AC$106:AC$117, MATCH($D36, Option2!$G$106:$G$117,0)))*conv_2026*AC$7)</f>
        <v>768997.16709974373</v>
      </c>
      <c r="AD36" s="31">
        <f>IF($B36=0,0, (INDEX(Option2!AD$106:AD$117, MATCH($D36, Option2!$G$106:$G$117,0)))*conv_2026*AD$7)</f>
        <v>774448.67371396162</v>
      </c>
      <c r="AE36" s="31">
        <f>IF($B36=0,0, (INDEX(Option2!AE$106:AE$117, MATCH($D36, Option2!$G$106:$G$117,0)))*conv_2026*AE$7)</f>
        <v>779870.78829583386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7877935.8194116484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-88174.689647633277</v>
      </c>
      <c r="N37" s="31">
        <f>IF($B37=0,0, (INDEX(Option2!N$106:N$117, MATCH($D37, Option2!$G$106:$G$117,0)))*conv_2026*N$7)</f>
        <v>434257.65867577796</v>
      </c>
      <c r="O37" s="31">
        <f>IF($B37=0,0, (INDEX(Option2!O$106:O$117, MATCH($D37, Option2!$G$106:$G$117,0)))*conv_2026*O$7)</f>
        <v>524437.52412211429</v>
      </c>
      <c r="P37" s="31">
        <f>IF($B37=0,0, (INDEX(Option2!P$106:P$117, MATCH($D37, Option2!$G$106:$G$117,0)))*conv_2026*P$7)</f>
        <v>654949.32696688361</v>
      </c>
      <c r="Q37" s="31">
        <f>IF($B37=0,0, (INDEX(Option2!Q$106:Q$117, MATCH($D37, Option2!$G$106:$G$117,0)))*conv_2026*Q$7)</f>
        <v>741443.20448755962</v>
      </c>
      <c r="R37" s="31">
        <f>IF($B37=0,0, (INDEX(Option2!R$106:R$117, MATCH($D37, Option2!$G$106:$G$117,0)))*conv_2026*R$7)</f>
        <v>738117.82135248289</v>
      </c>
      <c r="S37" s="31">
        <f>IF($B37=0,0, (INDEX(Option2!S$106:S$117, MATCH($D37, Option2!$G$106:$G$117,0)))*conv_2026*S$7)</f>
        <v>736745.61343427794</v>
      </c>
      <c r="T37" s="31">
        <f>IF($B37=0,0, (INDEX(Option2!T$106:T$117, MATCH($D37, Option2!$G$106:$G$117,0)))*conv_2026*T$7)</f>
        <v>736811.30930726021</v>
      </c>
      <c r="U37" s="31">
        <f>IF($B37=0,0, (INDEX(Option2!U$106:U$117, MATCH($D37, Option2!$G$106:$G$117,0)))*conv_2026*U$7)</f>
        <v>737981.88430848019</v>
      </c>
      <c r="V37" s="31">
        <f>IF($B37=0,0, (INDEX(Option2!V$106:V$117, MATCH($D37, Option2!$G$106:$G$117,0)))*conv_2026*V$7)</f>
        <v>740028.32303663075</v>
      </c>
      <c r="W37" s="31">
        <f>IF($B37=0,0, (INDEX(Option2!W$106:W$117, MATCH($D37, Option2!$G$106:$G$117,0)))*conv_2026*W$7)</f>
        <v>742785.79195384798</v>
      </c>
      <c r="X37" s="31">
        <f>IF($B37=0,0, (INDEX(Option2!X$106:X$117, MATCH($D37, Option2!$G$106:$G$117,0)))*conv_2026*X$7)</f>
        <v>746131.43598865764</v>
      </c>
      <c r="Y37" s="31">
        <f>IF($B37=0,0, (INDEX(Option2!Y$106:Y$117, MATCH($D37, Option2!$G$106:$G$117,0)))*conv_2026*Y$7)</f>
        <v>749971.1237253584</v>
      </c>
      <c r="Z37" s="31">
        <f>IF($B37=0,0, (INDEX(Option2!Z$106:Z$117, MATCH($D37, Option2!$G$106:$G$117,0)))*conv_2026*Z$7)</f>
        <v>754231.09942025389</v>
      </c>
      <c r="AA37" s="31">
        <f>IF($B37=0,0, (INDEX(Option2!AA$106:AA$117, MATCH($D37, Option2!$G$106:$G$117,0)))*conv_2026*AA$7)</f>
        <v>758852.49370225566</v>
      </c>
      <c r="AB37" s="31">
        <f>IF($B37=0,0, (INDEX(Option2!AB$106:AB$117, MATCH($D37, Option2!$G$106:$G$117,0)))*conv_2026*AB$7)</f>
        <v>763787.58354970242</v>
      </c>
      <c r="AC37" s="31">
        <f>IF($B37=0,0, (INDEX(Option2!AC$106:AC$117, MATCH($D37, Option2!$G$106:$G$117,0)))*conv_2026*AC$7)</f>
        <v>768997.16709974373</v>
      </c>
      <c r="AD37" s="31">
        <f>IF($B37=0,0, (INDEX(Option2!AD$106:AD$117, MATCH($D37, Option2!$G$106:$G$117,0)))*conv_2026*AD$7)</f>
        <v>774448.67371396162</v>
      </c>
      <c r="AE37" s="31">
        <f>IF($B37=0,0, (INDEX(Option2!AE$106:AE$117, MATCH($D37, Option2!$G$106:$G$117,0)))*conv_2026*AE$7)</f>
        <v>779870.78829583386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0</v>
      </c>
      <c r="M40" s="31">
        <f>Consol!M50</f>
        <v>-37211.408450335512</v>
      </c>
      <c r="N40" s="31">
        <f>Consol!N50</f>
        <v>-33803.061995365584</v>
      </c>
      <c r="O40" s="31">
        <f>Consol!O50</f>
        <v>-27998.436413368006</v>
      </c>
      <c r="P40" s="31">
        <f>Consol!P50</f>
        <v>-20100.888040699152</v>
      </c>
      <c r="Q40" s="31">
        <f>Consol!Q50</f>
        <v>-14148.87409493592</v>
      </c>
      <c r="R40" s="31">
        <f>Consol!R50</f>
        <v>-12722.299077443065</v>
      </c>
      <c r="S40" s="31">
        <f>Consol!S50</f>
        <v>-11277.558487288901</v>
      </c>
      <c r="T40" s="31">
        <f>Consol!T50</f>
        <v>-9814.6392723783574</v>
      </c>
      <c r="U40" s="31">
        <f>Consol!U50</f>
        <v>-8333.526567167748</v>
      </c>
      <c r="V40" s="31">
        <f>Consol!V50</f>
        <v>-6834.2037404911098</v>
      </c>
      <c r="W40" s="31">
        <f>Consol!W50</f>
        <v>61592.41701992492</v>
      </c>
      <c r="X40" s="31">
        <f>Consol!X50</f>
        <v>63128.216819902074</v>
      </c>
      <c r="Y40" s="31">
        <f>Consol!Y50</f>
        <v>64682.286783511998</v>
      </c>
      <c r="Z40" s="31">
        <f>Consol!Z50</f>
        <v>66254.650169387445</v>
      </c>
      <c r="AA40" s="31">
        <f>Consol!AA50</f>
        <v>67845.331793933801</v>
      </c>
      <c r="AB40" s="31">
        <f>Consol!AB50</f>
        <v>69454.357995116341</v>
      </c>
      <c r="AC40" s="31">
        <f>Consol!AC50</f>
        <v>71081.75659789014</v>
      </c>
      <c r="AD40" s="31">
        <f>Consol!AD50</f>
        <v>72727.556881039753</v>
      </c>
      <c r="AE40" s="31">
        <f>Consol!AE50</f>
        <v>74357.038633052478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188</v>
      </c>
      <c r="D42" s="252" t="str">
        <f>A42&amp;B42</f>
        <v>Option 3NPV</v>
      </c>
      <c r="E42" s="253"/>
      <c r="F42" s="31">
        <f t="shared" ref="F42:F51" si="4">SUMPRODUCT($H42:$AG42, $H$5:$AG$5)</f>
        <v>181235.18095563434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0</v>
      </c>
      <c r="M42" s="31">
        <f>(INDEX(Option3!M$106:M$117, MATCH($D42, Option3!$G$106:$G$117,0)))*conv_2026*M$7</f>
        <v>-37211.408450335504</v>
      </c>
      <c r="N42" s="31">
        <f>(INDEX(Option3!N$106:N$117, MATCH($D42, Option3!$G$106:$G$117,0)))*conv_2026*N$7</f>
        <v>-33803.061995365584</v>
      </c>
      <c r="O42" s="31">
        <f>(INDEX(Option3!O$106:O$117, MATCH($D42, Option3!$G$106:$G$117,0)))*conv_2026*O$7</f>
        <v>-27998.436413368006</v>
      </c>
      <c r="P42" s="31">
        <f>(INDEX(Option3!P$106:P$117, MATCH($D42, Option3!$G$106:$G$117,0)))*conv_2026*P$7</f>
        <v>-20100.888040699152</v>
      </c>
      <c r="Q42" s="31">
        <f>(INDEX(Option3!Q$106:Q$117, MATCH($D42, Option3!$G$106:$G$117,0)))*conv_2026*Q$7</f>
        <v>-14148.874094935916</v>
      </c>
      <c r="R42" s="31">
        <f>(INDEX(Option3!R$106:R$117, MATCH($D42, Option3!$G$106:$G$117,0)))*conv_2026*R$7</f>
        <v>-12722.299077443064</v>
      </c>
      <c r="S42" s="31">
        <f>(INDEX(Option3!S$106:S$117, MATCH($D42, Option3!$G$106:$G$117,0)))*conv_2026*S$7</f>
        <v>-11277.558487288901</v>
      </c>
      <c r="T42" s="31">
        <f>(INDEX(Option3!T$106:T$117, MATCH($D42, Option3!$G$106:$G$117,0)))*conv_2026*T$7</f>
        <v>-9814.639272378352</v>
      </c>
      <c r="U42" s="31">
        <f>(INDEX(Option3!U$106:U$117, MATCH($D42, Option3!$G$106:$G$117,0)))*conv_2026*U$7</f>
        <v>-8333.5265671677407</v>
      </c>
      <c r="V42" s="31">
        <f>(INDEX(Option3!V$106:V$117, MATCH($D42, Option3!$G$106:$G$117,0)))*conv_2026*V$7</f>
        <v>-6834.2037404911089</v>
      </c>
      <c r="W42" s="31">
        <f>(INDEX(Option3!W$106:W$117, MATCH($D42, Option3!$G$106:$G$117,0)))*conv_2026*W$7</f>
        <v>61592.41701992492</v>
      </c>
      <c r="X42" s="31">
        <f>(INDEX(Option3!X$106:X$117, MATCH($D42, Option3!$G$106:$G$117,0)))*conv_2026*X$7</f>
        <v>63128.216819902074</v>
      </c>
      <c r="Y42" s="31">
        <f>(INDEX(Option3!Y$106:Y$117, MATCH($D42, Option3!$G$106:$G$117,0)))*conv_2026*Y$7</f>
        <v>64682.286783511998</v>
      </c>
      <c r="Z42" s="31">
        <f>(INDEX(Option3!Z$106:Z$117, MATCH($D42, Option3!$G$106:$G$117,0)))*conv_2026*Z$7</f>
        <v>66254.650169387445</v>
      </c>
      <c r="AA42" s="31">
        <f>(INDEX(Option3!AA$106:AA$117, MATCH($D42, Option3!$G$106:$G$117,0)))*conv_2026*AA$7</f>
        <v>67845.331793933801</v>
      </c>
      <c r="AB42" s="31">
        <f>(INDEX(Option3!AB$106:AB$117, MATCH($D42, Option3!$G$106:$G$117,0)))*conv_2026*AB$7</f>
        <v>69454.357995116341</v>
      </c>
      <c r="AC42" s="31">
        <f>(INDEX(Option3!AC$106:AC$117, MATCH($D42, Option3!$G$106:$G$117,0)))*conv_2026*AC$7</f>
        <v>71081.75659789014</v>
      </c>
      <c r="AD42" s="31">
        <f>(INDEX(Option3!AD$106:AD$117, MATCH($D42, Option3!$G$106:$G$117,0)))*conv_2026*AD$7</f>
        <v>72727.556881039753</v>
      </c>
      <c r="AE42" s="31">
        <f>(INDEX(Option3!AE$106:AE$117, MATCH($D42, Option3!$G$106:$G$117,0)))*conv_2026*AE$7</f>
        <v>74357.038633052478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131901.91613471476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0</v>
      </c>
      <c r="M44" s="31">
        <f>(INDEX(Option3!M$106:M$117, MATCH($D44, Option3!$G$106:$G$117,0)))*conv_2026*M$7</f>
        <v>-43902.315396438004</v>
      </c>
      <c r="N44" s="31">
        <f>(INDEX(Option3!N$106:N$117, MATCH($D44, Option3!$G$106:$G$117,0)))*conv_2026*N$7</f>
        <v>-40493.968941468083</v>
      </c>
      <c r="O44" s="31">
        <f>(INDEX(Option3!O$106:O$117, MATCH($D44, Option3!$G$106:$G$117,0)))*conv_2026*O$7</f>
        <v>-34689.343359470506</v>
      </c>
      <c r="P44" s="31">
        <f>(INDEX(Option3!P$106:P$117, MATCH($D44, Option3!$G$106:$G$117,0)))*conv_2026*P$7</f>
        <v>-26791.794986801651</v>
      </c>
      <c r="Q44" s="31">
        <f>(INDEX(Option3!Q$106:Q$117, MATCH($D44, Option3!$G$106:$G$117,0)))*conv_2026*Q$7</f>
        <v>-20839.781041038415</v>
      </c>
      <c r="R44" s="31">
        <f>(INDEX(Option3!R$106:R$117, MATCH($D44, Option3!$G$106:$G$117,0)))*conv_2026*R$7</f>
        <v>-19413.206023545565</v>
      </c>
      <c r="S44" s="31">
        <f>(INDEX(Option3!S$106:S$117, MATCH($D44, Option3!$G$106:$G$117,0)))*conv_2026*S$7</f>
        <v>-17968.4654333914</v>
      </c>
      <c r="T44" s="31">
        <f>(INDEX(Option3!T$106:T$117, MATCH($D44, Option3!$G$106:$G$117,0)))*conv_2026*T$7</f>
        <v>-16505.546218480853</v>
      </c>
      <c r="U44" s="31">
        <f>(INDEX(Option3!U$106:U$117, MATCH($D44, Option3!$G$106:$G$117,0)))*conv_2026*U$7</f>
        <v>-15024.433513270242</v>
      </c>
      <c r="V44" s="31">
        <f>(INDEX(Option3!V$106:V$117, MATCH($D44, Option3!$G$106:$G$117,0)))*conv_2026*V$7</f>
        <v>-13525.110686593609</v>
      </c>
      <c r="W44" s="31">
        <f>(INDEX(Option3!W$106:W$117, MATCH($D44, Option3!$G$106:$G$117,0)))*conv_2026*W$7</f>
        <v>61592.41701992492</v>
      </c>
      <c r="X44" s="31">
        <f>(INDEX(Option3!X$106:X$117, MATCH($D44, Option3!$G$106:$G$117,0)))*conv_2026*X$7</f>
        <v>63128.216819902074</v>
      </c>
      <c r="Y44" s="31">
        <f>(INDEX(Option3!Y$106:Y$117, MATCH($D44, Option3!$G$106:$G$117,0)))*conv_2026*Y$7</f>
        <v>64682.286783511998</v>
      </c>
      <c r="Z44" s="31">
        <f>(INDEX(Option3!Z$106:Z$117, MATCH($D44, Option3!$G$106:$G$117,0)))*conv_2026*Z$7</f>
        <v>66254.650169387445</v>
      </c>
      <c r="AA44" s="31">
        <f>(INDEX(Option3!AA$106:AA$117, MATCH($D44, Option3!$G$106:$G$117,0)))*conv_2026*AA$7</f>
        <v>67845.331793933801</v>
      </c>
      <c r="AB44" s="31">
        <f>(INDEX(Option3!AB$106:AB$117, MATCH($D44, Option3!$G$106:$G$117,0)))*conv_2026*AB$7</f>
        <v>69454.357995116341</v>
      </c>
      <c r="AC44" s="31">
        <f>(INDEX(Option3!AC$106:AC$117, MATCH($D44, Option3!$G$106:$G$117,0)))*conv_2026*AC$7</f>
        <v>71081.75659789014</v>
      </c>
      <c r="AD44" s="31">
        <f>(INDEX(Option3!AD$106:AD$117, MATCH($D44, Option3!$G$106:$G$117,0)))*conv_2026*AD$7</f>
        <v>72727.556881039753</v>
      </c>
      <c r="AE44" s="31">
        <f>(INDEX(Option3!AE$106:AE$117, MATCH($D44, Option3!$G$106:$G$117,0)))*conv_2026*AE$7</f>
        <v>74357.038633052478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230568.44577655385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0</v>
      </c>
      <c r="M45" s="31">
        <f>(INDEX(Option3!M$106:M$117, MATCH($D45, Option3!$G$106:$G$117,0)))*conv_2026*M$7</f>
        <v>-30520.501504233005</v>
      </c>
      <c r="N45" s="31">
        <f>(INDEX(Option3!N$106:N$117, MATCH($D45, Option3!$G$106:$G$117,0)))*conv_2026*N$7</f>
        <v>-27112.155049263081</v>
      </c>
      <c r="O45" s="31">
        <f>(INDEX(Option3!O$106:O$117, MATCH($D45, Option3!$G$106:$G$117,0)))*conv_2026*O$7</f>
        <v>-21307.529467265504</v>
      </c>
      <c r="P45" s="31">
        <f>(INDEX(Option3!P$106:P$117, MATCH($D45, Option3!$G$106:$G$117,0)))*conv_2026*P$7</f>
        <v>-13409.981094596649</v>
      </c>
      <c r="Q45" s="31">
        <f>(INDEX(Option3!Q$106:Q$117, MATCH($D45, Option3!$G$106:$G$117,0)))*conv_2026*Q$7</f>
        <v>-7457.9671488334161</v>
      </c>
      <c r="R45" s="31">
        <f>(INDEX(Option3!R$106:R$117, MATCH($D45, Option3!$G$106:$G$117,0)))*conv_2026*R$7</f>
        <v>-6031.3921313405654</v>
      </c>
      <c r="S45" s="31">
        <f>(INDEX(Option3!S$106:S$117, MATCH($D45, Option3!$G$106:$G$117,0)))*conv_2026*S$7</f>
        <v>-4586.6515411864011</v>
      </c>
      <c r="T45" s="31">
        <f>(INDEX(Option3!T$106:T$117, MATCH($D45, Option3!$G$106:$G$117,0)))*conv_2026*T$7</f>
        <v>-3123.7323262758532</v>
      </c>
      <c r="U45" s="31">
        <f>(INDEX(Option3!U$106:U$117, MATCH($D45, Option3!$G$106:$G$117,0)))*conv_2026*U$7</f>
        <v>-1642.619621065242</v>
      </c>
      <c r="V45" s="31">
        <f>(INDEX(Option3!V$106:V$117, MATCH($D45, Option3!$G$106:$G$117,0)))*conv_2026*V$7</f>
        <v>-143.29679438860936</v>
      </c>
      <c r="W45" s="31">
        <f>(INDEX(Option3!W$106:W$117, MATCH($D45, Option3!$G$106:$G$117,0)))*conv_2026*W$7</f>
        <v>61592.41701992492</v>
      </c>
      <c r="X45" s="31">
        <f>(INDEX(Option3!X$106:X$117, MATCH($D45, Option3!$G$106:$G$117,0)))*conv_2026*X$7</f>
        <v>63128.216819902074</v>
      </c>
      <c r="Y45" s="31">
        <f>(INDEX(Option3!Y$106:Y$117, MATCH($D45, Option3!$G$106:$G$117,0)))*conv_2026*Y$7</f>
        <v>64682.286783511998</v>
      </c>
      <c r="Z45" s="31">
        <f>(INDEX(Option3!Z$106:Z$117, MATCH($D45, Option3!$G$106:$G$117,0)))*conv_2026*Z$7</f>
        <v>66254.650169387445</v>
      </c>
      <c r="AA45" s="31">
        <f>(INDEX(Option3!AA$106:AA$117, MATCH($D45, Option3!$G$106:$G$117,0)))*conv_2026*AA$7</f>
        <v>67845.331793933801</v>
      </c>
      <c r="AB45" s="31">
        <f>(INDEX(Option3!AB$106:AB$117, MATCH($D45, Option3!$G$106:$G$117,0)))*conv_2026*AB$7</f>
        <v>69454.357995116341</v>
      </c>
      <c r="AC45" s="31">
        <f>(INDEX(Option3!AC$106:AC$117, MATCH($D45, Option3!$G$106:$G$117,0)))*conv_2026*AC$7</f>
        <v>71081.75659789014</v>
      </c>
      <c r="AD45" s="31">
        <f>(INDEX(Option3!AD$106:AD$117, MATCH($D45, Option3!$G$106:$G$117,0)))*conv_2026*AD$7</f>
        <v>72727.556881039753</v>
      </c>
      <c r="AE45" s="31">
        <f>(INDEX(Option3!AE$106:AE$117, MATCH($D45, Option3!$G$106:$G$117,0)))*conv_2026*AE$7</f>
        <v>74357.038633052478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248691.96387211734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0</v>
      </c>
      <c r="M46" s="31">
        <f>(INDEX(Option3!M$106:M$117, MATCH($D46, Option3!$G$106:$G$117,0)))*conv_2026*M$7</f>
        <v>-34241.642349266556</v>
      </c>
      <c r="N46" s="31">
        <f>(INDEX(Option3!N$106:N$117, MATCH($D46, Option3!$G$106:$G$117,0)))*conv_2026*N$7</f>
        <v>-30492.461248799642</v>
      </c>
      <c r="O46" s="31">
        <f>(INDEX(Option3!O$106:O$117, MATCH($D46, Option3!$G$106:$G$117,0)))*conv_2026*O$7</f>
        <v>-24107.373108602307</v>
      </c>
      <c r="P46" s="31">
        <f>(INDEX(Option3!P$106:P$117, MATCH($D46, Option3!$G$106:$G$117,0)))*conv_2026*P$7</f>
        <v>-15420.069898666567</v>
      </c>
      <c r="Q46" s="31">
        <f>(INDEX(Option3!Q$106:Q$117, MATCH($D46, Option3!$G$106:$G$117,0)))*conv_2026*Q$7</f>
        <v>-8872.8545583270079</v>
      </c>
      <c r="R46" s="31">
        <f>(INDEX(Option3!R$106:R$117, MATCH($D46, Option3!$G$106:$G$117,0)))*conv_2026*R$7</f>
        <v>-7303.6220390848721</v>
      </c>
      <c r="S46" s="31">
        <f>(INDEX(Option3!S$106:S$117, MATCH($D46, Option3!$G$106:$G$117,0)))*conv_2026*S$7</f>
        <v>-5714.4073899152918</v>
      </c>
      <c r="T46" s="31">
        <f>(INDEX(Option3!T$106:T$117, MATCH($D46, Option3!$G$106:$G$117,0)))*conv_2026*T$7</f>
        <v>-4105.1962535136881</v>
      </c>
      <c r="U46" s="31">
        <f>(INDEX(Option3!U$106:U$117, MATCH($D46, Option3!$G$106:$G$117,0)))*conv_2026*U$7</f>
        <v>-2475.9722777820161</v>
      </c>
      <c r="V46" s="31">
        <f>(INDEX(Option3!V$106:V$117, MATCH($D46, Option3!$G$106:$G$117,0)))*conv_2026*V$7</f>
        <v>-826.71716843772083</v>
      </c>
      <c r="W46" s="31">
        <f>(INDEX(Option3!W$106:W$117, MATCH($D46, Option3!$G$106:$G$117,0)))*conv_2026*W$7</f>
        <v>67751.658721917411</v>
      </c>
      <c r="X46" s="31">
        <f>(INDEX(Option3!X$106:X$117, MATCH($D46, Option3!$G$106:$G$117,0)))*conv_2026*X$7</f>
        <v>69441.038501892283</v>
      </c>
      <c r="Y46" s="31">
        <f>(INDEX(Option3!Y$106:Y$117, MATCH($D46, Option3!$G$106:$G$117,0)))*conv_2026*Y$7</f>
        <v>71150.515461863208</v>
      </c>
      <c r="Z46" s="31">
        <f>(INDEX(Option3!Z$106:Z$117, MATCH($D46, Option3!$G$106:$G$117,0)))*conv_2026*Z$7</f>
        <v>72880.115186326191</v>
      </c>
      <c r="AA46" s="31">
        <f>(INDEX(Option3!AA$106:AA$117, MATCH($D46, Option3!$G$106:$G$117,0)))*conv_2026*AA$7</f>
        <v>74629.864973327189</v>
      </c>
      <c r="AB46" s="31">
        <f>(INDEX(Option3!AB$106:AB$117, MATCH($D46, Option3!$G$106:$G$117,0)))*conv_2026*AB$7</f>
        <v>76399.793794627971</v>
      </c>
      <c r="AC46" s="31">
        <f>(INDEX(Option3!AC$106:AC$117, MATCH($D46, Option3!$G$106:$G$117,0)))*conv_2026*AC$7</f>
        <v>78189.932257679146</v>
      </c>
      <c r="AD46" s="31">
        <f>(INDEX(Option3!AD$106:AD$117, MATCH($D46, Option3!$G$106:$G$117,0)))*conv_2026*AD$7</f>
        <v>80000.312569143731</v>
      </c>
      <c r="AE46" s="31">
        <f>(INDEX(Option3!AE$106:AE$117, MATCH($D46, Option3!$G$106:$G$117,0)))*conv_2026*AE$7</f>
        <v>81792.742496357736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113778.39803915135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0</v>
      </c>
      <c r="M47" s="31">
        <f>(INDEX(Option3!M$106:M$117, MATCH($D47, Option3!$G$106:$G$117,0)))*conv_2026*M$7</f>
        <v>-40181.17455140446</v>
      </c>
      <c r="N47" s="31">
        <f>(INDEX(Option3!N$106:N$117, MATCH($D47, Option3!$G$106:$G$117,0)))*conv_2026*N$7</f>
        <v>-37113.662741931519</v>
      </c>
      <c r="O47" s="31">
        <f>(INDEX(Option3!O$106:O$117, MATCH($D47, Option3!$G$106:$G$117,0)))*conv_2026*O$7</f>
        <v>-31889.499718133702</v>
      </c>
      <c r="P47" s="31">
        <f>(INDEX(Option3!P$106:P$117, MATCH($D47, Option3!$G$106:$G$117,0)))*conv_2026*P$7</f>
        <v>-24781.706182731734</v>
      </c>
      <c r="Q47" s="31">
        <f>(INDEX(Option3!Q$106:Q$117, MATCH($D47, Option3!$G$106:$G$117,0)))*conv_2026*Q$7</f>
        <v>-19424.893631544823</v>
      </c>
      <c r="R47" s="31">
        <f>(INDEX(Option3!R$106:R$117, MATCH($D47, Option3!$G$106:$G$117,0)))*conv_2026*R$7</f>
        <v>-18140.976115801255</v>
      </c>
      <c r="S47" s="31">
        <f>(INDEX(Option3!S$106:S$117, MATCH($D47, Option3!$G$106:$G$117,0)))*conv_2026*S$7</f>
        <v>-16840.709584662509</v>
      </c>
      <c r="T47" s="31">
        <f>(INDEX(Option3!T$106:T$117, MATCH($D47, Option3!$G$106:$G$117,0)))*conv_2026*T$7</f>
        <v>-15524.082291243016</v>
      </c>
      <c r="U47" s="31">
        <f>(INDEX(Option3!U$106:U$117, MATCH($D47, Option3!$G$106:$G$117,0)))*conv_2026*U$7</f>
        <v>-14191.080856553466</v>
      </c>
      <c r="V47" s="31">
        <f>(INDEX(Option3!V$106:V$117, MATCH($D47, Option3!$G$106:$G$117,0)))*conv_2026*V$7</f>
        <v>-12841.690312544497</v>
      </c>
      <c r="W47" s="31">
        <f>(INDEX(Option3!W$106:W$117, MATCH($D47, Option3!$G$106:$G$117,0)))*conv_2026*W$7</f>
        <v>55433.17531793243</v>
      </c>
      <c r="X47" s="31">
        <f>(INDEX(Option3!X$106:X$117, MATCH($D47, Option3!$G$106:$G$117,0)))*conv_2026*X$7</f>
        <v>56815.395137911866</v>
      </c>
      <c r="Y47" s="31">
        <f>(INDEX(Option3!Y$106:Y$117, MATCH($D47, Option3!$G$106:$G$117,0)))*conv_2026*Y$7</f>
        <v>58214.058105160795</v>
      </c>
      <c r="Z47" s="31">
        <f>(INDEX(Option3!Z$106:Z$117, MATCH($D47, Option3!$G$106:$G$117,0)))*conv_2026*Z$7</f>
        <v>59629.185152448699</v>
      </c>
      <c r="AA47" s="31">
        <f>(INDEX(Option3!AA$106:AA$117, MATCH($D47, Option3!$G$106:$G$117,0)))*conv_2026*AA$7</f>
        <v>61060.798614540428</v>
      </c>
      <c r="AB47" s="31">
        <f>(INDEX(Option3!AB$106:AB$117, MATCH($D47, Option3!$G$106:$G$117,0)))*conv_2026*AB$7</f>
        <v>62508.922195604704</v>
      </c>
      <c r="AC47" s="31">
        <f>(INDEX(Option3!AC$106:AC$117, MATCH($D47, Option3!$G$106:$G$117,0)))*conv_2026*AC$7</f>
        <v>63973.58093810112</v>
      </c>
      <c r="AD47" s="31">
        <f>(INDEX(Option3!AD$106:AD$117, MATCH($D47, Option3!$G$106:$G$117,0)))*conv_2026*AD$7</f>
        <v>65454.801192935774</v>
      </c>
      <c r="AE47" s="31">
        <f>(INDEX(Option3!AE$106:AE$117, MATCH($D47, Option3!$G$106:$G$117,0)))*conv_2026*AE$7</f>
        <v>66921.334769747235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64445.133218231771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0</v>
      </c>
      <c r="M48" s="31">
        <f>(INDEX(Option3!M$106:M$117, MATCH($D48, Option3!$G$106:$G$117,0)))*conv_2026*M$7</f>
        <v>-46872.081497506952</v>
      </c>
      <c r="N48" s="31">
        <f>(INDEX(Option3!N$106:N$117, MATCH($D48, Option3!$G$106:$G$117,0)))*conv_2026*N$7</f>
        <v>-43804.569688034026</v>
      </c>
      <c r="O48" s="31">
        <f>(INDEX(Option3!O$106:O$117, MATCH($D48, Option3!$G$106:$G$117,0)))*conv_2026*O$7</f>
        <v>-38580.406664236209</v>
      </c>
      <c r="P48" s="31">
        <f>(INDEX(Option3!P$106:P$117, MATCH($D48, Option3!$G$106:$G$117,0)))*conv_2026*P$7</f>
        <v>-31472.613128834233</v>
      </c>
      <c r="Q48" s="31">
        <f>(INDEX(Option3!Q$106:Q$117, MATCH($D48, Option3!$G$106:$G$117,0)))*conv_2026*Q$7</f>
        <v>-26115.800577647326</v>
      </c>
      <c r="R48" s="31">
        <f>(INDEX(Option3!R$106:R$117, MATCH($D48, Option3!$G$106:$G$117,0)))*conv_2026*R$7</f>
        <v>-24831.883061903758</v>
      </c>
      <c r="S48" s="31">
        <f>(INDEX(Option3!S$106:S$117, MATCH($D48, Option3!$G$106:$G$117,0)))*conv_2026*S$7</f>
        <v>-23531.616530765012</v>
      </c>
      <c r="T48" s="31">
        <f>(INDEX(Option3!T$106:T$117, MATCH($D48, Option3!$G$106:$G$117,0)))*conv_2026*T$7</f>
        <v>-22214.989237345515</v>
      </c>
      <c r="U48" s="31">
        <f>(INDEX(Option3!U$106:U$117, MATCH($D48, Option3!$G$106:$G$117,0)))*conv_2026*U$7</f>
        <v>-20881.987802655967</v>
      </c>
      <c r="V48" s="31">
        <f>(INDEX(Option3!V$106:V$117, MATCH($D48, Option3!$G$106:$G$117,0)))*conv_2026*V$7</f>
        <v>-19532.597258646998</v>
      </c>
      <c r="W48" s="31">
        <f>(INDEX(Option3!W$106:W$117, MATCH($D48, Option3!$G$106:$G$117,0)))*conv_2026*W$7</f>
        <v>55433.17531793243</v>
      </c>
      <c r="X48" s="31">
        <f>(INDEX(Option3!X$106:X$117, MATCH($D48, Option3!$G$106:$G$117,0)))*conv_2026*X$7</f>
        <v>56815.395137911866</v>
      </c>
      <c r="Y48" s="31">
        <f>(INDEX(Option3!Y$106:Y$117, MATCH($D48, Option3!$G$106:$G$117,0)))*conv_2026*Y$7</f>
        <v>58214.058105160795</v>
      </c>
      <c r="Z48" s="31">
        <f>(INDEX(Option3!Z$106:Z$117, MATCH($D48, Option3!$G$106:$G$117,0)))*conv_2026*Z$7</f>
        <v>59629.185152448699</v>
      </c>
      <c r="AA48" s="31">
        <f>(INDEX(Option3!AA$106:AA$117, MATCH($D48, Option3!$G$106:$G$117,0)))*conv_2026*AA$7</f>
        <v>61060.798614540428</v>
      </c>
      <c r="AB48" s="31">
        <f>(INDEX(Option3!AB$106:AB$117, MATCH($D48, Option3!$G$106:$G$117,0)))*conv_2026*AB$7</f>
        <v>62508.922195604704</v>
      </c>
      <c r="AC48" s="31">
        <f>(INDEX(Option3!AC$106:AC$117, MATCH($D48, Option3!$G$106:$G$117,0)))*conv_2026*AC$7</f>
        <v>63973.58093810112</v>
      </c>
      <c r="AD48" s="31">
        <f>(INDEX(Option3!AD$106:AD$117, MATCH($D48, Option3!$G$106:$G$117,0)))*conv_2026*AD$7</f>
        <v>65454.801192935774</v>
      </c>
      <c r="AE48" s="31">
        <f>(INDEX(Option3!AE$106:AE$117, MATCH($D48, Option3!$G$106:$G$117,0)))*conv_2026*AE$7</f>
        <v>66921.334769747235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181235.18095563434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0</v>
      </c>
      <c r="M49" s="31">
        <f>(INDEX(Option3!M$106:M$117, MATCH($D49, Option3!$G$106:$G$117,0)))*conv_2026*M$7</f>
        <v>-37211.408450335504</v>
      </c>
      <c r="N49" s="31">
        <f>(INDEX(Option3!N$106:N$117, MATCH($D49, Option3!$G$106:$G$117,0)))*conv_2026*N$7</f>
        <v>-33803.061995365584</v>
      </c>
      <c r="O49" s="31">
        <f>(INDEX(Option3!O$106:O$117, MATCH($D49, Option3!$G$106:$G$117,0)))*conv_2026*O$7</f>
        <v>-27998.436413368006</v>
      </c>
      <c r="P49" s="31">
        <f>(INDEX(Option3!P$106:P$117, MATCH($D49, Option3!$G$106:$G$117,0)))*conv_2026*P$7</f>
        <v>-20100.888040699152</v>
      </c>
      <c r="Q49" s="31">
        <f>(INDEX(Option3!Q$106:Q$117, MATCH($D49, Option3!$G$106:$G$117,0)))*conv_2026*Q$7</f>
        <v>-14148.874094935916</v>
      </c>
      <c r="R49" s="31">
        <f>(INDEX(Option3!R$106:R$117, MATCH($D49, Option3!$G$106:$G$117,0)))*conv_2026*R$7</f>
        <v>-12722.299077443064</v>
      </c>
      <c r="S49" s="31">
        <f>(INDEX(Option3!S$106:S$117, MATCH($D49, Option3!$G$106:$G$117,0)))*conv_2026*S$7</f>
        <v>-11277.558487288901</v>
      </c>
      <c r="T49" s="31">
        <f>(INDEX(Option3!T$106:T$117, MATCH($D49, Option3!$G$106:$G$117,0)))*conv_2026*T$7</f>
        <v>-9814.639272378352</v>
      </c>
      <c r="U49" s="31">
        <f>(INDEX(Option3!U$106:U$117, MATCH($D49, Option3!$G$106:$G$117,0)))*conv_2026*U$7</f>
        <v>-8333.5265671677407</v>
      </c>
      <c r="V49" s="31">
        <f>(INDEX(Option3!V$106:V$117, MATCH($D49, Option3!$G$106:$G$117,0)))*conv_2026*V$7</f>
        <v>-6834.2037404911089</v>
      </c>
      <c r="W49" s="31">
        <f>(INDEX(Option3!W$106:W$117, MATCH($D49, Option3!$G$106:$G$117,0)))*conv_2026*W$7</f>
        <v>61592.41701992492</v>
      </c>
      <c r="X49" s="31">
        <f>(INDEX(Option3!X$106:X$117, MATCH($D49, Option3!$G$106:$G$117,0)))*conv_2026*X$7</f>
        <v>63128.216819902074</v>
      </c>
      <c r="Y49" s="31">
        <f>(INDEX(Option3!Y$106:Y$117, MATCH($D49, Option3!$G$106:$G$117,0)))*conv_2026*Y$7</f>
        <v>64682.286783511998</v>
      </c>
      <c r="Z49" s="31">
        <f>(INDEX(Option3!Z$106:Z$117, MATCH($D49, Option3!$G$106:$G$117,0)))*conv_2026*Z$7</f>
        <v>66254.650169387445</v>
      </c>
      <c r="AA49" s="31">
        <f>(INDEX(Option3!AA$106:AA$117, MATCH($D49, Option3!$G$106:$G$117,0)))*conv_2026*AA$7</f>
        <v>67845.331793933801</v>
      </c>
      <c r="AB49" s="31">
        <f>(INDEX(Option3!AB$106:AB$117, MATCH($D49, Option3!$G$106:$G$117,0)))*conv_2026*AB$7</f>
        <v>69454.357995116341</v>
      </c>
      <c r="AC49" s="31">
        <f>(INDEX(Option3!AC$106:AC$117, MATCH($D49, Option3!$G$106:$G$117,0)))*conv_2026*AC$7</f>
        <v>71081.75659789014</v>
      </c>
      <c r="AD49" s="31">
        <f>(INDEX(Option3!AD$106:AD$117, MATCH($D49, Option3!$G$106:$G$117,0)))*conv_2026*AD$7</f>
        <v>72727.556881039753</v>
      </c>
      <c r="AE49" s="31">
        <f>(INDEX(Option3!AE$106:AE$117, MATCH($D49, Option3!$G$106:$G$117,0)))*conv_2026*AE$7</f>
        <v>74357.038633052478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181235.18095563434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0</v>
      </c>
      <c r="M50" s="31">
        <f>(INDEX(Option3!M$106:M$117, MATCH($D50, Option3!$G$106:$G$117,0)))*conv_2026*M$7</f>
        <v>-37211.408450335504</v>
      </c>
      <c r="N50" s="31">
        <f>(INDEX(Option3!N$106:N$117, MATCH($D50, Option3!$G$106:$G$117,0)))*conv_2026*N$7</f>
        <v>-33803.061995365584</v>
      </c>
      <c r="O50" s="31">
        <f>(INDEX(Option3!O$106:O$117, MATCH($D50, Option3!$G$106:$G$117,0)))*conv_2026*O$7</f>
        <v>-27998.436413368006</v>
      </c>
      <c r="P50" s="31">
        <f>(INDEX(Option3!P$106:P$117, MATCH($D50, Option3!$G$106:$G$117,0)))*conv_2026*P$7</f>
        <v>-20100.888040699152</v>
      </c>
      <c r="Q50" s="31">
        <f>(INDEX(Option3!Q$106:Q$117, MATCH($D50, Option3!$G$106:$G$117,0)))*conv_2026*Q$7</f>
        <v>-14148.874094935916</v>
      </c>
      <c r="R50" s="31">
        <f>(INDEX(Option3!R$106:R$117, MATCH($D50, Option3!$G$106:$G$117,0)))*conv_2026*R$7</f>
        <v>-12722.299077443064</v>
      </c>
      <c r="S50" s="31">
        <f>(INDEX(Option3!S$106:S$117, MATCH($D50, Option3!$G$106:$G$117,0)))*conv_2026*S$7</f>
        <v>-11277.558487288901</v>
      </c>
      <c r="T50" s="31">
        <f>(INDEX(Option3!T$106:T$117, MATCH($D50, Option3!$G$106:$G$117,0)))*conv_2026*T$7</f>
        <v>-9814.639272378352</v>
      </c>
      <c r="U50" s="31">
        <f>(INDEX(Option3!U$106:U$117, MATCH($D50, Option3!$G$106:$G$117,0)))*conv_2026*U$7</f>
        <v>-8333.5265671677407</v>
      </c>
      <c r="V50" s="31">
        <f>(INDEX(Option3!V$106:V$117, MATCH($D50, Option3!$G$106:$G$117,0)))*conv_2026*V$7</f>
        <v>-6834.2037404911089</v>
      </c>
      <c r="W50" s="31">
        <f>(INDEX(Option3!W$106:W$117, MATCH($D50, Option3!$G$106:$G$117,0)))*conv_2026*W$7</f>
        <v>61592.41701992492</v>
      </c>
      <c r="X50" s="31">
        <f>(INDEX(Option3!X$106:X$117, MATCH($D50, Option3!$G$106:$G$117,0)))*conv_2026*X$7</f>
        <v>63128.216819902074</v>
      </c>
      <c r="Y50" s="31">
        <f>(INDEX(Option3!Y$106:Y$117, MATCH($D50, Option3!$G$106:$G$117,0)))*conv_2026*Y$7</f>
        <v>64682.286783511998</v>
      </c>
      <c r="Z50" s="31">
        <f>(INDEX(Option3!Z$106:Z$117, MATCH($D50, Option3!$G$106:$G$117,0)))*conv_2026*Z$7</f>
        <v>66254.650169387445</v>
      </c>
      <c r="AA50" s="31">
        <f>(INDEX(Option3!AA$106:AA$117, MATCH($D50, Option3!$G$106:$G$117,0)))*conv_2026*AA$7</f>
        <v>67845.331793933801</v>
      </c>
      <c r="AB50" s="31">
        <f>(INDEX(Option3!AB$106:AB$117, MATCH($D50, Option3!$G$106:$G$117,0)))*conv_2026*AB$7</f>
        <v>69454.357995116341</v>
      </c>
      <c r="AC50" s="31">
        <f>(INDEX(Option3!AC$106:AC$117, MATCH($D50, Option3!$G$106:$G$117,0)))*conv_2026*AC$7</f>
        <v>71081.75659789014</v>
      </c>
      <c r="AD50" s="31">
        <f>(INDEX(Option3!AD$106:AD$117, MATCH($D50, Option3!$G$106:$G$117,0)))*conv_2026*AD$7</f>
        <v>72727.556881039753</v>
      </c>
      <c r="AE50" s="31">
        <f>(INDEX(Option3!AE$106:AE$117, MATCH($D50, Option3!$G$106:$G$117,0)))*conv_2026*AE$7</f>
        <v>74357.038633052478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181235.18095563434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0</v>
      </c>
      <c r="M51" s="31">
        <f>(INDEX(Option3!M$106:M$117, MATCH($D51, Option3!$G$106:$G$117,0)))*conv_2026*M$7</f>
        <v>-37211.408450335504</v>
      </c>
      <c r="N51" s="31">
        <f>(INDEX(Option3!N$106:N$117, MATCH($D51, Option3!$G$106:$G$117,0)))*conv_2026*N$7</f>
        <v>-33803.061995365584</v>
      </c>
      <c r="O51" s="31">
        <f>(INDEX(Option3!O$106:O$117, MATCH($D51, Option3!$G$106:$G$117,0)))*conv_2026*O$7</f>
        <v>-27998.436413368006</v>
      </c>
      <c r="P51" s="31">
        <f>(INDEX(Option3!P$106:P$117, MATCH($D51, Option3!$G$106:$G$117,0)))*conv_2026*P$7</f>
        <v>-20100.888040699152</v>
      </c>
      <c r="Q51" s="31">
        <f>(INDEX(Option3!Q$106:Q$117, MATCH($D51, Option3!$G$106:$G$117,0)))*conv_2026*Q$7</f>
        <v>-14148.874094935916</v>
      </c>
      <c r="R51" s="31">
        <f>(INDEX(Option3!R$106:R$117, MATCH($D51, Option3!$G$106:$G$117,0)))*conv_2026*R$7</f>
        <v>-12722.299077443064</v>
      </c>
      <c r="S51" s="31">
        <f>(INDEX(Option3!S$106:S$117, MATCH($D51, Option3!$G$106:$G$117,0)))*conv_2026*S$7</f>
        <v>-11277.558487288901</v>
      </c>
      <c r="T51" s="31">
        <f>(INDEX(Option3!T$106:T$117, MATCH($D51, Option3!$G$106:$G$117,0)))*conv_2026*T$7</f>
        <v>-9814.639272378352</v>
      </c>
      <c r="U51" s="31">
        <f>(INDEX(Option3!U$106:U$117, MATCH($D51, Option3!$G$106:$G$117,0)))*conv_2026*U$7</f>
        <v>-8333.5265671677407</v>
      </c>
      <c r="V51" s="31">
        <f>(INDEX(Option3!V$106:V$117, MATCH($D51, Option3!$G$106:$G$117,0)))*conv_2026*V$7</f>
        <v>-6834.2037404911089</v>
      </c>
      <c r="W51" s="31">
        <f>(INDEX(Option3!W$106:W$117, MATCH($D51, Option3!$G$106:$G$117,0)))*conv_2026*W$7</f>
        <v>61592.41701992492</v>
      </c>
      <c r="X51" s="31">
        <f>(INDEX(Option3!X$106:X$117, MATCH($D51, Option3!$G$106:$G$117,0)))*conv_2026*X$7</f>
        <v>63128.216819902074</v>
      </c>
      <c r="Y51" s="31">
        <f>(INDEX(Option3!Y$106:Y$117, MATCH($D51, Option3!$G$106:$G$117,0)))*conv_2026*Y$7</f>
        <v>64682.286783511998</v>
      </c>
      <c r="Z51" s="31">
        <f>(INDEX(Option3!Z$106:Z$117, MATCH($D51, Option3!$G$106:$G$117,0)))*conv_2026*Z$7</f>
        <v>66254.650169387445</v>
      </c>
      <c r="AA51" s="31">
        <f>(INDEX(Option3!AA$106:AA$117, MATCH($D51, Option3!$G$106:$G$117,0)))*conv_2026*AA$7</f>
        <v>67845.331793933801</v>
      </c>
      <c r="AB51" s="31">
        <f>(INDEX(Option3!AB$106:AB$117, MATCH($D51, Option3!$G$106:$G$117,0)))*conv_2026*AB$7</f>
        <v>69454.357995116341</v>
      </c>
      <c r="AC51" s="31">
        <f>(INDEX(Option3!AC$106:AC$117, MATCH($D51, Option3!$G$106:$G$117,0)))*conv_2026*AC$7</f>
        <v>71081.75659789014</v>
      </c>
      <c r="AD51" s="31">
        <f>(INDEX(Option3!AD$106:AD$117, MATCH($D51, Option3!$G$106:$G$117,0)))*conv_2026*AD$7</f>
        <v>72727.556881039753</v>
      </c>
      <c r="AE51" s="31">
        <f>(INDEX(Option3!AE$106:AE$117, MATCH($D51, Option3!$G$106:$G$117,0)))*conv_2026*AE$7</f>
        <v>74357.038633052478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188</v>
      </c>
      <c r="D56" s="252" t="str">
        <f>A56&amp;B56</f>
        <v>Option 4NPV</v>
      </c>
      <c r="E56" s="253"/>
      <c r="F56" s="31">
        <f t="shared" ref="F56:F65" si="6">SUMPRODUCT($H56:$AG56, $H$5:$AG$5)</f>
        <v>0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0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0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154</v>
      </c>
      <c r="B70" s="252" t="s">
        <v>119</v>
      </c>
      <c r="C70" s="252" t="s">
        <v>188</v>
      </c>
      <c r="D70" s="252" t="str">
        <f>A70&amp;B70</f>
        <v>Option 5NPV</v>
      </c>
      <c r="E70" s="253"/>
      <c r="F70" s="31">
        <f t="shared" ref="F70:F79" si="8">SUMPRODUCT($H70:$AG70, $H$5:$AG$5)</f>
        <v>0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154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0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154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0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154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154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154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154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154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154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159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0</v>
      </c>
      <c r="D88" s="274" t="b">
        <v>0</v>
      </c>
      <c r="E88" s="275" t="b">
        <v>0</v>
      </c>
      <c r="F88" s="274" t="b">
        <v>1</v>
      </c>
      <c r="G88" s="274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228</v>
      </c>
      <c r="K89" s="282" t="s">
        <v>229</v>
      </c>
    </row>
    <row r="90" spans="1:34" s="8" customFormat="1" x14ac:dyDescent="0.2">
      <c r="A90" s="260" t="s">
        <v>119</v>
      </c>
      <c r="B90" s="260" t="s">
        <v>219</v>
      </c>
      <c r="C90" s="104">
        <f t="shared" ref="C90:G98" si="10">IF(OR($B90=0,C$88),"", INDEX($F$14:$F$81, MATCH(C$89&amp;$A90,$D$14:$D$81,0))/10^6)</f>
        <v>0</v>
      </c>
      <c r="D90" s="104">
        <f t="shared" si="10"/>
        <v>7.8779358194116487</v>
      </c>
      <c r="E90" s="104">
        <f t="shared" si="10"/>
        <v>0.18123518095563435</v>
      </c>
      <c r="F90" s="104" t="str">
        <f t="shared" si="10"/>
        <v/>
      </c>
      <c r="G90" s="104" t="str">
        <f t="shared" si="10"/>
        <v/>
      </c>
      <c r="H90" s="185"/>
      <c r="I90" s="104">
        <f t="shared" ref="I90:I98" si="11">_xlfn.MAXIFS(C90:G90,_xlfn.ANCHORARRAY( C$88),FALSE)</f>
        <v>7.8779358194116487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4">
        <f t="shared" si="10"/>
        <v>0</v>
      </c>
      <c r="D91" s="104">
        <f t="shared" si="10"/>
        <v>7.5715228439710893</v>
      </c>
      <c r="E91" s="104">
        <f t="shared" si="10"/>
        <v>0.13190191613471475</v>
      </c>
      <c r="F91" s="104" t="str">
        <f t="shared" si="10"/>
        <v/>
      </c>
      <c r="G91" s="104" t="str">
        <f t="shared" si="10"/>
        <v/>
      </c>
      <c r="H91" s="185"/>
      <c r="I91" s="104">
        <f t="shared" si="11"/>
        <v>7.5715228439710893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4">
        <f t="shared" si="10"/>
        <v>0</v>
      </c>
      <c r="D92" s="104">
        <f t="shared" si="10"/>
        <v>8.1843487948522071</v>
      </c>
      <c r="E92" s="104">
        <f t="shared" si="10"/>
        <v>0.23056844577655386</v>
      </c>
      <c r="F92" s="104" t="str">
        <f t="shared" si="10"/>
        <v/>
      </c>
      <c r="G92" s="104" t="str">
        <f t="shared" si="10"/>
        <v/>
      </c>
      <c r="H92" s="185"/>
      <c r="I92" s="104">
        <f t="shared" si="11"/>
        <v>8.1843487948522071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4">
        <f t="shared" si="10"/>
        <v>0</v>
      </c>
      <c r="D93" s="104">
        <f t="shared" si="10"/>
        <v>8.9721423767933715</v>
      </c>
      <c r="E93" s="104">
        <f t="shared" si="10"/>
        <v>0.24869196387211734</v>
      </c>
      <c r="F93" s="104" t="str">
        <f t="shared" si="10"/>
        <v/>
      </c>
      <c r="G93" s="104" t="str">
        <f t="shared" si="10"/>
        <v/>
      </c>
      <c r="H93" s="185"/>
      <c r="I93" s="104">
        <f t="shared" si="11"/>
        <v>8.9721423767933715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4">
        <f t="shared" si="10"/>
        <v>0</v>
      </c>
      <c r="D94" s="104">
        <f t="shared" si="10"/>
        <v>6.783729262029925</v>
      </c>
      <c r="E94" s="104">
        <f t="shared" si="10"/>
        <v>0.11377839803915135</v>
      </c>
      <c r="F94" s="104" t="str">
        <f t="shared" si="10"/>
        <v/>
      </c>
      <c r="G94" s="104" t="str">
        <f t="shared" si="10"/>
        <v/>
      </c>
      <c r="H94" s="185"/>
      <c r="I94" s="104">
        <f t="shared" si="11"/>
        <v>6.783729262029925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4">
        <f t="shared" si="10"/>
        <v>0</v>
      </c>
      <c r="D95" s="104">
        <f t="shared" si="10"/>
        <v>6.4773162865893674</v>
      </c>
      <c r="E95" s="104">
        <f t="shared" si="10"/>
        <v>6.4445133218231768E-2</v>
      </c>
      <c r="F95" s="104" t="str">
        <f t="shared" si="10"/>
        <v/>
      </c>
      <c r="G95" s="104" t="str">
        <f t="shared" si="10"/>
        <v/>
      </c>
      <c r="H95" s="185"/>
      <c r="I95" s="104">
        <f t="shared" si="11"/>
        <v>6.4773162865893674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5"/>
      <c r="I96" s="104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1"/>
      <c r="I97" s="104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1"/>
      <c r="I98" s="104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47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H34" sqref="H34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9" width="12" style="1" customWidth="1"/>
    <col min="10" max="10" width="11.125" style="1" customWidth="1"/>
    <col min="11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VM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247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5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34"/>
      <c r="E10" s="336" t="s">
        <v>19</v>
      </c>
      <c r="F10" s="336" t="s">
        <v>21</v>
      </c>
      <c r="G10" s="336" t="s">
        <v>20</v>
      </c>
      <c r="H10" s="336" t="s">
        <v>22</v>
      </c>
      <c r="I10" s="336" t="s">
        <v>93</v>
      </c>
      <c r="J10" s="336" t="s">
        <v>94</v>
      </c>
      <c r="K10" s="336" t="s">
        <v>249</v>
      </c>
      <c r="L10" s="336" t="s">
        <v>250</v>
      </c>
      <c r="M10" s="336" t="s">
        <v>251</v>
      </c>
      <c r="N10" s="336" t="s">
        <v>252</v>
      </c>
      <c r="O10" s="336" t="s">
        <v>253</v>
      </c>
      <c r="P10" s="336" t="s">
        <v>254</v>
      </c>
      <c r="Q10" s="336" t="s">
        <v>255</v>
      </c>
      <c r="R10" s="336" t="s">
        <v>256</v>
      </c>
      <c r="S10" s="336" t="s">
        <v>257</v>
      </c>
      <c r="T10" s="336" t="s">
        <v>258</v>
      </c>
      <c r="U10" s="336" t="s">
        <v>259</v>
      </c>
      <c r="V10" s="336" t="s">
        <v>260</v>
      </c>
      <c r="W10" s="336" t="s">
        <v>261</v>
      </c>
      <c r="X10" s="336" t="s">
        <v>262</v>
      </c>
      <c r="Y10" s="336" t="s">
        <v>263</v>
      </c>
      <c r="Z10" s="336" t="s">
        <v>264</v>
      </c>
      <c r="AA10" s="336" t="s">
        <v>265</v>
      </c>
      <c r="AB10" s="336" t="s">
        <v>266</v>
      </c>
      <c r="AC10" s="336" t="s">
        <v>267</v>
      </c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7" t="s">
        <v>2</v>
      </c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8" t="s">
        <v>268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40" t="s">
        <v>269</v>
      </c>
      <c r="E13" s="341">
        <f>E12</f>
        <v>0</v>
      </c>
      <c r="F13" s="341">
        <f t="shared" ref="F13:AC13" si="0">F12</f>
        <v>0</v>
      </c>
      <c r="G13" s="341">
        <f t="shared" si="0"/>
        <v>0</v>
      </c>
      <c r="H13" s="341">
        <f t="shared" si="0"/>
        <v>0</v>
      </c>
      <c r="I13" s="341">
        <f t="shared" si="0"/>
        <v>0</v>
      </c>
      <c r="J13" s="341">
        <f t="shared" si="0"/>
        <v>0</v>
      </c>
      <c r="K13" s="341">
        <f t="shared" si="0"/>
        <v>0</v>
      </c>
      <c r="L13" s="341">
        <f t="shared" si="0"/>
        <v>0</v>
      </c>
      <c r="M13" s="341">
        <f t="shared" si="0"/>
        <v>0</v>
      </c>
      <c r="N13" s="341">
        <f t="shared" si="0"/>
        <v>0</v>
      </c>
      <c r="O13" s="341">
        <f t="shared" si="0"/>
        <v>0</v>
      </c>
      <c r="P13" s="341">
        <f t="shared" si="0"/>
        <v>0</v>
      </c>
      <c r="Q13" s="341">
        <f t="shared" si="0"/>
        <v>0</v>
      </c>
      <c r="R13" s="341">
        <f t="shared" si="0"/>
        <v>0</v>
      </c>
      <c r="S13" s="341">
        <f t="shared" si="0"/>
        <v>0</v>
      </c>
      <c r="T13" s="341">
        <f t="shared" si="0"/>
        <v>0</v>
      </c>
      <c r="U13" s="341">
        <f t="shared" si="0"/>
        <v>0</v>
      </c>
      <c r="V13" s="341">
        <f t="shared" si="0"/>
        <v>0</v>
      </c>
      <c r="W13" s="341">
        <f t="shared" si="0"/>
        <v>0</v>
      </c>
      <c r="X13" s="341">
        <f t="shared" si="0"/>
        <v>0</v>
      </c>
      <c r="Y13" s="341">
        <f t="shared" si="0"/>
        <v>0</v>
      </c>
      <c r="Z13" s="341">
        <f t="shared" si="0"/>
        <v>0</v>
      </c>
      <c r="AA13" s="341">
        <f t="shared" si="0"/>
        <v>0</v>
      </c>
      <c r="AB13" s="341">
        <f t="shared" si="0"/>
        <v>0</v>
      </c>
      <c r="AC13" s="341">
        <f t="shared" si="0"/>
        <v>0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42"/>
      <c r="B16" s="332" t="str">
        <f>Assumptions!C15&amp;" - "&amp;Assumptions!E15</f>
        <v>Option 2 - Replace #1 transformer completed in 2030-31</v>
      </c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</row>
    <row r="17" spans="1:44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4"/>
      <c r="B19" s="334"/>
      <c r="C19" s="334"/>
      <c r="D19" s="334"/>
      <c r="E19" s="336" t="s">
        <v>19</v>
      </c>
      <c r="F19" s="336" t="s">
        <v>21</v>
      </c>
      <c r="G19" s="336" t="s">
        <v>20</v>
      </c>
      <c r="H19" s="336" t="s">
        <v>22</v>
      </c>
      <c r="I19" s="336" t="s">
        <v>93</v>
      </c>
      <c r="J19" s="336" t="s">
        <v>94</v>
      </c>
      <c r="K19" s="336" t="s">
        <v>249</v>
      </c>
      <c r="L19" s="336" t="s">
        <v>250</v>
      </c>
      <c r="M19" s="336" t="s">
        <v>251</v>
      </c>
      <c r="N19" s="336" t="s">
        <v>252</v>
      </c>
      <c r="O19" s="336" t="s">
        <v>253</v>
      </c>
      <c r="P19" s="336" t="s">
        <v>254</v>
      </c>
      <c r="Q19" s="336" t="s">
        <v>255</v>
      </c>
      <c r="R19" s="336" t="s">
        <v>256</v>
      </c>
      <c r="S19" s="336" t="s">
        <v>257</v>
      </c>
      <c r="T19" s="336" t="s">
        <v>258</v>
      </c>
      <c r="U19" s="336" t="s">
        <v>259</v>
      </c>
      <c r="V19" s="336" t="s">
        <v>260</v>
      </c>
      <c r="W19" s="336" t="s">
        <v>261</v>
      </c>
      <c r="X19" s="336" t="s">
        <v>262</v>
      </c>
      <c r="Y19" s="336" t="s">
        <v>263</v>
      </c>
      <c r="Z19" s="336" t="s">
        <v>264</v>
      </c>
      <c r="AA19" s="336" t="s">
        <v>265</v>
      </c>
      <c r="AB19" s="336" t="s">
        <v>266</v>
      </c>
      <c r="AC19" s="336" t="s">
        <v>267</v>
      </c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</row>
    <row r="20" spans="1:44" x14ac:dyDescent="0.2">
      <c r="A20" s="334"/>
      <c r="B20" s="334"/>
      <c r="C20" s="334"/>
      <c r="D20" s="337" t="s">
        <v>270</v>
      </c>
      <c r="E20" s="339"/>
      <c r="F20" s="339"/>
      <c r="G20" s="339"/>
      <c r="H20" s="339">
        <v>1858359.5333333332</v>
      </c>
      <c r="I20" s="339">
        <v>3716719.0666666664</v>
      </c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</row>
    <row r="21" spans="1:44" x14ac:dyDescent="0.2">
      <c r="A21" s="334"/>
      <c r="B21" s="334"/>
      <c r="C21" s="334"/>
      <c r="D21" s="343" t="s">
        <v>271</v>
      </c>
      <c r="E21" s="344">
        <f>E20</f>
        <v>0</v>
      </c>
      <c r="F21" s="344">
        <f t="shared" ref="F21:AC21" si="1">F20</f>
        <v>0</v>
      </c>
      <c r="G21" s="344">
        <f t="shared" si="1"/>
        <v>0</v>
      </c>
      <c r="H21" s="344">
        <f t="shared" si="1"/>
        <v>1858359.5333333332</v>
      </c>
      <c r="I21" s="344">
        <f t="shared" si="1"/>
        <v>3716719.0666666664</v>
      </c>
      <c r="J21" s="344">
        <f t="shared" si="1"/>
        <v>0</v>
      </c>
      <c r="K21" s="344">
        <f t="shared" si="1"/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4">
        <f t="shared" si="1"/>
        <v>0</v>
      </c>
      <c r="P21" s="344">
        <f t="shared" si="1"/>
        <v>0</v>
      </c>
      <c r="Q21" s="344">
        <f t="shared" si="1"/>
        <v>0</v>
      </c>
      <c r="R21" s="344">
        <f t="shared" si="1"/>
        <v>0</v>
      </c>
      <c r="S21" s="344">
        <f t="shared" si="1"/>
        <v>0</v>
      </c>
      <c r="T21" s="344">
        <f t="shared" si="1"/>
        <v>0</v>
      </c>
      <c r="U21" s="344">
        <f t="shared" si="1"/>
        <v>0</v>
      </c>
      <c r="V21" s="344">
        <f t="shared" si="1"/>
        <v>0</v>
      </c>
      <c r="W21" s="344">
        <f t="shared" si="1"/>
        <v>0</v>
      </c>
      <c r="X21" s="344">
        <f t="shared" si="1"/>
        <v>0</v>
      </c>
      <c r="Y21" s="344">
        <f t="shared" si="1"/>
        <v>0</v>
      </c>
      <c r="Z21" s="344">
        <f t="shared" si="1"/>
        <v>0</v>
      </c>
      <c r="AA21" s="344">
        <f t="shared" si="1"/>
        <v>0</v>
      </c>
      <c r="AB21" s="344">
        <f t="shared" si="1"/>
        <v>0</v>
      </c>
      <c r="AC21" s="344">
        <f t="shared" si="1"/>
        <v>0</v>
      </c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34"/>
      <c r="E23" s="336" t="s">
        <v>19</v>
      </c>
      <c r="F23" s="336" t="s">
        <v>21</v>
      </c>
      <c r="G23" s="336" t="s">
        <v>20</v>
      </c>
      <c r="H23" s="336" t="s">
        <v>22</v>
      </c>
      <c r="I23" s="336" t="s">
        <v>93</v>
      </c>
      <c r="J23" s="336" t="s">
        <v>94</v>
      </c>
      <c r="K23" s="336" t="s">
        <v>249</v>
      </c>
      <c r="L23" s="336" t="s">
        <v>250</v>
      </c>
      <c r="M23" s="336" t="s">
        <v>251</v>
      </c>
      <c r="N23" s="336" t="s">
        <v>252</v>
      </c>
      <c r="O23" s="336" t="s">
        <v>253</v>
      </c>
      <c r="P23" s="336" t="s">
        <v>254</v>
      </c>
      <c r="Q23" s="336" t="s">
        <v>255</v>
      </c>
      <c r="R23" s="336" t="s">
        <v>256</v>
      </c>
      <c r="S23" s="336" t="s">
        <v>257</v>
      </c>
      <c r="T23" s="336" t="s">
        <v>258</v>
      </c>
      <c r="U23" s="336" t="s">
        <v>259</v>
      </c>
      <c r="V23" s="336" t="s">
        <v>260</v>
      </c>
      <c r="W23" s="336" t="s">
        <v>261</v>
      </c>
      <c r="X23" s="336" t="s">
        <v>262</v>
      </c>
      <c r="Y23" s="336" t="s">
        <v>263</v>
      </c>
      <c r="Z23" s="336" t="s">
        <v>264</v>
      </c>
      <c r="AA23" s="336" t="s">
        <v>265</v>
      </c>
      <c r="AB23" s="336" t="s">
        <v>266</v>
      </c>
      <c r="AC23" s="336" t="s">
        <v>267</v>
      </c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7" t="s">
        <v>2</v>
      </c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8" t="s">
        <v>272</v>
      </c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40" t="s">
        <v>269</v>
      </c>
      <c r="E26" s="341">
        <f>E25</f>
        <v>0</v>
      </c>
      <c r="F26" s="341">
        <f t="shared" ref="F26:AC26" si="2">F25</f>
        <v>0</v>
      </c>
      <c r="G26" s="341">
        <f t="shared" si="2"/>
        <v>0</v>
      </c>
      <c r="H26" s="341">
        <f t="shared" si="2"/>
        <v>0</v>
      </c>
      <c r="I26" s="341">
        <f t="shared" si="2"/>
        <v>0</v>
      </c>
      <c r="J26" s="341">
        <f t="shared" si="2"/>
        <v>0</v>
      </c>
      <c r="K26" s="341">
        <f t="shared" si="2"/>
        <v>0</v>
      </c>
      <c r="L26" s="341">
        <f t="shared" si="2"/>
        <v>0</v>
      </c>
      <c r="M26" s="341">
        <f t="shared" si="2"/>
        <v>0</v>
      </c>
      <c r="N26" s="341">
        <f t="shared" si="2"/>
        <v>0</v>
      </c>
      <c r="O26" s="341">
        <f t="shared" si="2"/>
        <v>0</v>
      </c>
      <c r="P26" s="341">
        <f t="shared" si="2"/>
        <v>0</v>
      </c>
      <c r="Q26" s="341">
        <f t="shared" si="2"/>
        <v>0</v>
      </c>
      <c r="R26" s="341">
        <f t="shared" si="2"/>
        <v>0</v>
      </c>
      <c r="S26" s="341">
        <f t="shared" si="2"/>
        <v>0</v>
      </c>
      <c r="T26" s="341">
        <f t="shared" si="2"/>
        <v>0</v>
      </c>
      <c r="U26" s="341">
        <f t="shared" si="2"/>
        <v>0</v>
      </c>
      <c r="V26" s="341">
        <f t="shared" si="2"/>
        <v>0</v>
      </c>
      <c r="W26" s="341">
        <f t="shared" si="2"/>
        <v>0</v>
      </c>
      <c r="X26" s="341">
        <f t="shared" si="2"/>
        <v>0</v>
      </c>
      <c r="Y26" s="341">
        <f t="shared" si="2"/>
        <v>0</v>
      </c>
      <c r="Z26" s="341">
        <f t="shared" si="2"/>
        <v>0</v>
      </c>
      <c r="AA26" s="341">
        <f t="shared" si="2"/>
        <v>0</v>
      </c>
      <c r="AB26" s="341">
        <f t="shared" si="2"/>
        <v>0</v>
      </c>
      <c r="AC26" s="341">
        <f t="shared" si="2"/>
        <v>0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29" spans="1:44" x14ac:dyDescent="0.2">
      <c r="A29" s="334"/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</row>
    <row r="30" spans="1:44" x14ac:dyDescent="0.2">
      <c r="A30" s="342"/>
      <c r="B30" s="332" t="str">
        <f>Assumptions!C16&amp;" - "&amp;Assumptions!E16</f>
        <v>Option 3 - Refurbish #1 transformer completed in 2029-30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</row>
    <row r="31" spans="1:44" x14ac:dyDescent="0.2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</row>
    <row r="32" spans="1:44" x14ac:dyDescent="0.2">
      <c r="A32" s="334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</row>
    <row r="33" spans="1:44" x14ac:dyDescent="0.2">
      <c r="A33" s="334"/>
      <c r="B33" s="334"/>
      <c r="C33" s="334"/>
      <c r="D33" s="334"/>
      <c r="E33" s="336" t="s">
        <v>19</v>
      </c>
      <c r="F33" s="336" t="s">
        <v>21</v>
      </c>
      <c r="G33" s="336" t="s">
        <v>20</v>
      </c>
      <c r="H33" s="336" t="s">
        <v>22</v>
      </c>
      <c r="I33" s="336" t="s">
        <v>93</v>
      </c>
      <c r="J33" s="336" t="s">
        <v>94</v>
      </c>
      <c r="K33" s="336" t="s">
        <v>249</v>
      </c>
      <c r="L33" s="336" t="s">
        <v>250</v>
      </c>
      <c r="M33" s="336" t="s">
        <v>251</v>
      </c>
      <c r="N33" s="336" t="s">
        <v>252</v>
      </c>
      <c r="O33" s="336" t="s">
        <v>253</v>
      </c>
      <c r="P33" s="336" t="s">
        <v>254</v>
      </c>
      <c r="Q33" s="336" t="s">
        <v>255</v>
      </c>
      <c r="R33" s="336" t="s">
        <v>256</v>
      </c>
      <c r="S33" s="336" t="s">
        <v>257</v>
      </c>
      <c r="T33" s="336" t="s">
        <v>258</v>
      </c>
      <c r="U33" s="336" t="s">
        <v>259</v>
      </c>
      <c r="V33" s="336" t="s">
        <v>260</v>
      </c>
      <c r="W33" s="336" t="s">
        <v>261</v>
      </c>
      <c r="X33" s="336" t="s">
        <v>262</v>
      </c>
      <c r="Y33" s="336" t="s">
        <v>263</v>
      </c>
      <c r="Z33" s="336" t="s">
        <v>264</v>
      </c>
      <c r="AA33" s="336" t="s">
        <v>265</v>
      </c>
      <c r="AB33" s="336" t="s">
        <v>266</v>
      </c>
      <c r="AC33" s="336" t="s">
        <v>267</v>
      </c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</row>
    <row r="34" spans="1:44" x14ac:dyDescent="0.2">
      <c r="A34" s="334"/>
      <c r="B34" s="334"/>
      <c r="C34" s="334"/>
      <c r="D34" s="337" t="s">
        <v>270</v>
      </c>
      <c r="E34" s="339"/>
      <c r="F34" s="339"/>
      <c r="G34" s="339"/>
      <c r="H34" s="339">
        <v>500000</v>
      </c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43" t="s">
        <v>271</v>
      </c>
      <c r="E35" s="344">
        <f>E34</f>
        <v>0</v>
      </c>
      <c r="F35" s="344">
        <f t="shared" ref="F35:AC35" si="3">F34</f>
        <v>0</v>
      </c>
      <c r="G35" s="344">
        <f t="shared" si="3"/>
        <v>0</v>
      </c>
      <c r="H35" s="344">
        <f t="shared" si="3"/>
        <v>500000</v>
      </c>
      <c r="I35" s="344">
        <f t="shared" si="3"/>
        <v>0</v>
      </c>
      <c r="J35" s="344">
        <f t="shared" si="3"/>
        <v>0</v>
      </c>
      <c r="K35" s="344">
        <f t="shared" si="3"/>
        <v>0</v>
      </c>
      <c r="L35" s="344">
        <f t="shared" si="3"/>
        <v>0</v>
      </c>
      <c r="M35" s="344">
        <f t="shared" si="3"/>
        <v>0</v>
      </c>
      <c r="N35" s="344">
        <f t="shared" si="3"/>
        <v>0</v>
      </c>
      <c r="O35" s="344">
        <f t="shared" si="3"/>
        <v>0</v>
      </c>
      <c r="P35" s="344">
        <f t="shared" si="3"/>
        <v>0</v>
      </c>
      <c r="Q35" s="344">
        <f t="shared" si="3"/>
        <v>0</v>
      </c>
      <c r="R35" s="344">
        <f t="shared" si="3"/>
        <v>0</v>
      </c>
      <c r="S35" s="344">
        <f t="shared" si="3"/>
        <v>0</v>
      </c>
      <c r="T35" s="344">
        <f t="shared" si="3"/>
        <v>0</v>
      </c>
      <c r="U35" s="344">
        <f t="shared" si="3"/>
        <v>0</v>
      </c>
      <c r="V35" s="344">
        <f t="shared" si="3"/>
        <v>0</v>
      </c>
      <c r="W35" s="344">
        <f t="shared" si="3"/>
        <v>0</v>
      </c>
      <c r="X35" s="344">
        <f t="shared" si="3"/>
        <v>0</v>
      </c>
      <c r="Y35" s="344">
        <f t="shared" si="3"/>
        <v>0</v>
      </c>
      <c r="Z35" s="344">
        <f t="shared" si="3"/>
        <v>0</v>
      </c>
      <c r="AA35" s="344">
        <f t="shared" si="3"/>
        <v>0</v>
      </c>
      <c r="AB35" s="344">
        <f t="shared" si="3"/>
        <v>0</v>
      </c>
      <c r="AC35" s="344">
        <f t="shared" si="3"/>
        <v>0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/>
      <c r="E37" s="336" t="s">
        <v>19</v>
      </c>
      <c r="F37" s="336" t="s">
        <v>21</v>
      </c>
      <c r="G37" s="336" t="s">
        <v>20</v>
      </c>
      <c r="H37" s="336" t="s">
        <v>22</v>
      </c>
      <c r="I37" s="336" t="s">
        <v>93</v>
      </c>
      <c r="J37" s="336" t="s">
        <v>94</v>
      </c>
      <c r="K37" s="336" t="s">
        <v>249</v>
      </c>
      <c r="L37" s="336" t="s">
        <v>250</v>
      </c>
      <c r="M37" s="336" t="s">
        <v>251</v>
      </c>
      <c r="N37" s="336" t="s">
        <v>252</v>
      </c>
      <c r="O37" s="336" t="s">
        <v>253</v>
      </c>
      <c r="P37" s="336" t="s">
        <v>254</v>
      </c>
      <c r="Q37" s="336" t="s">
        <v>255</v>
      </c>
      <c r="R37" s="336" t="s">
        <v>256</v>
      </c>
      <c r="S37" s="336" t="s">
        <v>257</v>
      </c>
      <c r="T37" s="336" t="s">
        <v>258</v>
      </c>
      <c r="U37" s="336" t="s">
        <v>259</v>
      </c>
      <c r="V37" s="336" t="s">
        <v>260</v>
      </c>
      <c r="W37" s="336" t="s">
        <v>261</v>
      </c>
      <c r="X37" s="336" t="s">
        <v>262</v>
      </c>
      <c r="Y37" s="336" t="s">
        <v>263</v>
      </c>
      <c r="Z37" s="336" t="s">
        <v>264</v>
      </c>
      <c r="AA37" s="336" t="s">
        <v>265</v>
      </c>
      <c r="AB37" s="336" t="s">
        <v>266</v>
      </c>
      <c r="AC37" s="336" t="s">
        <v>267</v>
      </c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7" t="s">
        <v>2</v>
      </c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8" t="s">
        <v>272</v>
      </c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40" t="s">
        <v>269</v>
      </c>
      <c r="E40" s="341">
        <v>0</v>
      </c>
      <c r="F40" s="341">
        <v>0</v>
      </c>
      <c r="G40" s="341">
        <v>0</v>
      </c>
      <c r="H40" s="341">
        <v>0</v>
      </c>
      <c r="I40" s="341">
        <v>0</v>
      </c>
      <c r="J40" s="341">
        <v>0</v>
      </c>
      <c r="K40" s="341">
        <v>0</v>
      </c>
      <c r="L40" s="341">
        <v>0</v>
      </c>
      <c r="M40" s="341">
        <v>0</v>
      </c>
      <c r="N40" s="341">
        <v>0</v>
      </c>
      <c r="O40" s="341">
        <v>0</v>
      </c>
      <c r="P40" s="341">
        <v>0</v>
      </c>
      <c r="Q40" s="341">
        <v>0</v>
      </c>
      <c r="R40" s="341">
        <v>0</v>
      </c>
      <c r="S40" s="341">
        <v>0</v>
      </c>
      <c r="T40" s="341">
        <v>0</v>
      </c>
      <c r="U40" s="341">
        <v>0</v>
      </c>
      <c r="V40" s="341">
        <v>0</v>
      </c>
      <c r="W40" s="341">
        <v>0</v>
      </c>
      <c r="X40" s="341">
        <v>0</v>
      </c>
      <c r="Y40" s="341">
        <v>0</v>
      </c>
      <c r="Z40" s="341">
        <v>0</v>
      </c>
      <c r="AA40" s="341">
        <v>0</v>
      </c>
      <c r="AB40" s="341">
        <v>0</v>
      </c>
      <c r="AC40" s="341">
        <v>0</v>
      </c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  <row r="41" spans="1:44" x14ac:dyDescent="0.2">
      <c r="A41" s="334"/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</row>
    <row r="42" spans="1:44" x14ac:dyDescent="0.2">
      <c r="A42" s="334"/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</row>
    <row r="43" spans="1:44" x14ac:dyDescent="0.2">
      <c r="A43" s="334"/>
      <c r="B43" s="334"/>
      <c r="C43" s="334"/>
      <c r="D43" s="334"/>
      <c r="E43" s="334"/>
      <c r="F43" s="346"/>
      <c r="G43" s="334"/>
      <c r="H43" s="334"/>
      <c r="I43" s="334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</row>
    <row r="44" spans="1:44" x14ac:dyDescent="0.2">
      <c r="A44" s="334"/>
      <c r="B44" s="334"/>
      <c r="C44" s="334"/>
      <c r="D44" s="334"/>
      <c r="E44" s="334"/>
      <c r="F44" s="346"/>
      <c r="G44" s="334"/>
      <c r="H44" s="334"/>
      <c r="I44" s="334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</row>
    <row r="45" spans="1:44" x14ac:dyDescent="0.2">
      <c r="A45" s="334"/>
      <c r="B45" s="334"/>
      <c r="C45" s="334"/>
      <c r="D45" s="334"/>
      <c r="E45" s="334"/>
      <c r="F45" s="346"/>
      <c r="G45" s="334"/>
      <c r="H45" s="334"/>
      <c r="I45" s="334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</row>
    <row r="46" spans="1:44" x14ac:dyDescent="0.2">
      <c r="A46" s="334"/>
      <c r="B46" s="334"/>
      <c r="C46" s="334"/>
      <c r="D46" s="334"/>
      <c r="E46" s="334"/>
      <c r="F46" s="346"/>
      <c r="G46" s="334"/>
      <c r="H46" s="334"/>
      <c r="I46" s="334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</row>
    <row r="47" spans="1:44" x14ac:dyDescent="0.2">
      <c r="A47" s="334"/>
      <c r="B47" s="334"/>
      <c r="C47" s="334"/>
      <c r="D47" s="334"/>
      <c r="E47" s="334"/>
      <c r="F47" s="346"/>
      <c r="G47" s="334"/>
      <c r="H47" s="334"/>
      <c r="I47" s="334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43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F42" sqref="F42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VM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273</v>
      </c>
      <c r="B3" s="329"/>
      <c r="C3" s="5"/>
      <c r="D3" s="5"/>
    </row>
    <row r="5" spans="1:44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</row>
    <row r="6" spans="1:44" x14ac:dyDescent="0.2">
      <c r="C6" s="3"/>
      <c r="D6" s="3"/>
    </row>
    <row r="7" spans="1:44" x14ac:dyDescent="0.2">
      <c r="A7" s="331"/>
      <c r="B7" s="332" t="s">
        <v>248</v>
      </c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1"/>
    </row>
    <row r="8" spans="1:44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</row>
    <row r="9" spans="1:44" x14ac:dyDescent="0.2">
      <c r="A9" s="334"/>
      <c r="B9" s="334"/>
      <c r="C9" s="334"/>
      <c r="D9" s="334"/>
      <c r="E9" s="336" t="s">
        <v>19</v>
      </c>
      <c r="F9" s="336" t="s">
        <v>21</v>
      </c>
      <c r="G9" s="336" t="s">
        <v>20</v>
      </c>
      <c r="H9" s="336" t="s">
        <v>22</v>
      </c>
      <c r="I9" s="336" t="s">
        <v>93</v>
      </c>
      <c r="J9" s="336" t="s">
        <v>94</v>
      </c>
      <c r="K9" s="336" t="s">
        <v>249</v>
      </c>
      <c r="L9" s="336" t="s">
        <v>250</v>
      </c>
      <c r="M9" s="336" t="s">
        <v>251</v>
      </c>
      <c r="N9" s="336" t="s">
        <v>252</v>
      </c>
      <c r="O9" s="336" t="s">
        <v>253</v>
      </c>
      <c r="P9" s="336" t="s">
        <v>254</v>
      </c>
      <c r="Q9" s="336" t="s">
        <v>255</v>
      </c>
      <c r="R9" s="336" t="s">
        <v>256</v>
      </c>
      <c r="S9" s="336" t="s">
        <v>257</v>
      </c>
      <c r="T9" s="336" t="s">
        <v>258</v>
      </c>
      <c r="U9" s="336" t="s">
        <v>259</v>
      </c>
      <c r="V9" s="336" t="s">
        <v>260</v>
      </c>
      <c r="W9" s="336" t="s">
        <v>261</v>
      </c>
      <c r="X9" s="336" t="s">
        <v>262</v>
      </c>
      <c r="Y9" s="336" t="s">
        <v>263</v>
      </c>
      <c r="Z9" s="336" t="s">
        <v>264</v>
      </c>
      <c r="AA9" s="336" t="s">
        <v>265</v>
      </c>
      <c r="AB9" s="336" t="s">
        <v>266</v>
      </c>
      <c r="AC9" s="336" t="s">
        <v>267</v>
      </c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</row>
    <row r="10" spans="1:44" x14ac:dyDescent="0.2">
      <c r="A10" s="334"/>
      <c r="B10" s="334"/>
      <c r="C10" s="334"/>
      <c r="D10" s="348" t="s">
        <v>274</v>
      </c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</row>
    <row r="11" spans="1:44" x14ac:dyDescent="0.2">
      <c r="A11" s="334"/>
      <c r="B11" s="334"/>
      <c r="C11" s="334"/>
      <c r="D11" s="334" t="s">
        <v>275</v>
      </c>
      <c r="E11" s="349">
        <v>314043.21136713168</v>
      </c>
      <c r="F11" s="349">
        <v>366725.75098075159</v>
      </c>
      <c r="G11" s="349">
        <v>435144.50831974798</v>
      </c>
      <c r="H11" s="349">
        <v>513527.99836728716</v>
      </c>
      <c r="I11" s="349">
        <v>576691.99111727823</v>
      </c>
      <c r="J11" s="349">
        <v>648806.76663502806</v>
      </c>
      <c r="K11" s="349">
        <v>774247.69285915373</v>
      </c>
      <c r="L11" s="349">
        <v>946170.44471382222</v>
      </c>
      <c r="M11" s="349">
        <v>1075915.5410448825</v>
      </c>
      <c r="N11" s="349">
        <v>1105431.7594349778</v>
      </c>
      <c r="O11" s="349">
        <v>1135299.9251205649</v>
      </c>
      <c r="P11" s="349">
        <v>1165519.6523406701</v>
      </c>
      <c r="Q11" s="349">
        <v>1196090.5882064877</v>
      </c>
      <c r="R11" s="349">
        <v>1227012.4117775587</v>
      </c>
      <c r="S11" s="349">
        <v>1258284.8331797705</v>
      </c>
      <c r="T11" s="349">
        <v>1289907.5927626358</v>
      </c>
      <c r="U11" s="349">
        <v>1321880.4602937605</v>
      </c>
      <c r="V11" s="349">
        <v>1354203.2341882547</v>
      </c>
      <c r="W11" s="349">
        <v>1386875.7407712797</v>
      </c>
      <c r="X11" s="349">
        <v>1419897.8335717919</v>
      </c>
      <c r="Y11" s="349">
        <v>1453269.3926458787</v>
      </c>
      <c r="Z11" s="349">
        <v>1486990.3239280463</v>
      </c>
      <c r="AA11" s="349">
        <v>1521060.5586089601</v>
      </c>
      <c r="AB11" s="349">
        <v>1555480.0525383314</v>
      </c>
      <c r="AC11" s="349">
        <v>1590248.7856515269</v>
      </c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</row>
    <row r="12" spans="1:44" x14ac:dyDescent="0.2">
      <c r="A12" s="334"/>
      <c r="B12" s="334"/>
      <c r="C12" s="334"/>
      <c r="D12" s="334" t="s">
        <v>320</v>
      </c>
      <c r="E12" s="349">
        <v>703.12315512015812</v>
      </c>
      <c r="F12" s="349">
        <v>724.24381769048989</v>
      </c>
      <c r="G12" s="349">
        <v>745.62297222261861</v>
      </c>
      <c r="H12" s="349">
        <v>767.25927661580749</v>
      </c>
      <c r="I12" s="349">
        <v>789.15141866678459</v>
      </c>
      <c r="J12" s="349">
        <v>811.29811490287261</v>
      </c>
      <c r="K12" s="349">
        <v>833.69810947982546</v>
      </c>
      <c r="L12" s="349">
        <v>856.35017313974834</v>
      </c>
      <c r="M12" s="349">
        <v>879.25310222486928</v>
      </c>
      <c r="N12" s="349">
        <v>902.4057177433009</v>
      </c>
      <c r="O12" s="349">
        <v>925.80686448325537</v>
      </c>
      <c r="P12" s="349">
        <v>949.45541017247035</v>
      </c>
      <c r="Q12" s="349">
        <v>973.35024467986591</v>
      </c>
      <c r="R12" s="349">
        <v>997.49027925668895</v>
      </c>
      <c r="S12" s="349">
        <v>1021.8744458146368</v>
      </c>
      <c r="T12" s="349">
        <v>1046.5016962386194</v>
      </c>
      <c r="U12" s="349">
        <v>1071.3710017320254</v>
      </c>
      <c r="V12" s="349">
        <v>1096.4813521924946</v>
      </c>
      <c r="W12" s="349">
        <v>1121.8317556163763</v>
      </c>
      <c r="X12" s="349">
        <v>1147.4212375301631</v>
      </c>
      <c r="Y12" s="349">
        <v>1173.2488404473179</v>
      </c>
      <c r="Z12" s="349">
        <v>1199.313623349042</v>
      </c>
      <c r="AA12" s="349">
        <v>1199.313623349042</v>
      </c>
      <c r="AB12" s="349">
        <v>1199.313623349042</v>
      </c>
      <c r="AC12" s="349">
        <v>1199.313623349042</v>
      </c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</row>
    <row r="13" spans="1:44" x14ac:dyDescent="0.2">
      <c r="A13" s="334"/>
      <c r="B13" s="334"/>
      <c r="C13" s="334"/>
      <c r="D13" s="334" t="s">
        <v>321</v>
      </c>
      <c r="E13" s="349">
        <v>26504.43645311</v>
      </c>
      <c r="F13" s="349">
        <v>27300.586110345044</v>
      </c>
      <c r="G13" s="349">
        <v>28106.47969895996</v>
      </c>
      <c r="H13" s="349">
        <v>28922.066628068304</v>
      </c>
      <c r="I13" s="349">
        <v>29747.297433777469</v>
      </c>
      <c r="J13" s="349">
        <v>30582.123735203164</v>
      </c>
      <c r="K13" s="349">
        <v>31426.498192923013</v>
      </c>
      <c r="L13" s="349">
        <v>32280.374469695078</v>
      </c>
      <c r="M13" s="349">
        <v>33143.707193281654</v>
      </c>
      <c r="N13" s="349">
        <v>34016.451921232896</v>
      </c>
      <c r="O13" s="349">
        <v>34898.56510749687</v>
      </c>
      <c r="P13" s="349">
        <v>35790.004070733907</v>
      </c>
      <c r="Q13" s="349">
        <v>36690.726964222769</v>
      </c>
      <c r="R13" s="349">
        <v>37600.692747255394</v>
      </c>
      <c r="S13" s="349">
        <v>38519.861157925552</v>
      </c>
      <c r="T13" s="349">
        <v>39448.192687223185</v>
      </c>
      <c r="U13" s="349">
        <v>40385.648554354048</v>
      </c>
      <c r="V13" s="349">
        <v>41332.190683209257</v>
      </c>
      <c r="W13" s="349">
        <v>42287.781679916166</v>
      </c>
      <c r="X13" s="349">
        <v>43252.384811406082</v>
      </c>
      <c r="Y13" s="349">
        <v>44225.963984939197</v>
      </c>
      <c r="Z13" s="349">
        <v>45208.483728532046</v>
      </c>
      <c r="AA13" s="349">
        <v>45208.483728532046</v>
      </c>
      <c r="AB13" s="349">
        <v>45208.483728532046</v>
      </c>
      <c r="AC13" s="349">
        <v>45208.483728532046</v>
      </c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</row>
    <row r="14" spans="1:44" x14ac:dyDescent="0.2">
      <c r="A14" s="334"/>
      <c r="B14" s="334"/>
      <c r="C14" s="334"/>
      <c r="D14" s="334" t="s">
        <v>322</v>
      </c>
      <c r="E14" s="349">
        <v>2644.8598375061829</v>
      </c>
      <c r="F14" s="349">
        <v>2724.3070748315481</v>
      </c>
      <c r="G14" s="349">
        <v>2804.7266524974302</v>
      </c>
      <c r="H14" s="349">
        <v>2886.1135220733927</v>
      </c>
      <c r="I14" s="349">
        <v>2968.4627475909547</v>
      </c>
      <c r="J14" s="349">
        <v>3051.7695011543028</v>
      </c>
      <c r="K14" s="349">
        <v>3136.0290587944069</v>
      </c>
      <c r="L14" s="349">
        <v>3221.2367965491458</v>
      </c>
      <c r="M14" s="349">
        <v>3307.3881867535219</v>
      </c>
      <c r="N14" s="349">
        <v>3394.4787945254388</v>
      </c>
      <c r="O14" s="349">
        <v>3482.5042744337443</v>
      </c>
      <c r="P14" s="349">
        <v>3571.4603673363399</v>
      </c>
      <c r="Q14" s="349">
        <v>3661.3428973771365</v>
      </c>
      <c r="R14" s="349">
        <v>3752.1477691315577</v>
      </c>
      <c r="S14" s="349">
        <v>3843.8709648911349</v>
      </c>
      <c r="T14" s="349">
        <v>3936.5085420784021</v>
      </c>
      <c r="U14" s="349">
        <v>4030.0566307840586</v>
      </c>
      <c r="V14" s="349">
        <v>4124.5114314188777</v>
      </c>
      <c r="W14" s="349">
        <v>4219.8692124735298</v>
      </c>
      <c r="X14" s="349">
        <v>4316.1263083798649</v>
      </c>
      <c r="Y14" s="349">
        <v>4413.2791174677204</v>
      </c>
      <c r="Z14" s="349">
        <v>4511.3241000117914</v>
      </c>
      <c r="AA14" s="349">
        <v>4511.3241000117914</v>
      </c>
      <c r="AB14" s="349">
        <v>4511.3241000117914</v>
      </c>
      <c r="AC14" s="349">
        <v>4511.3241000117914</v>
      </c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</row>
    <row r="15" spans="1:44" x14ac:dyDescent="0.2">
      <c r="A15" s="334"/>
      <c r="B15" s="334"/>
      <c r="C15" s="334"/>
      <c r="D15" s="334" t="s">
        <v>323</v>
      </c>
      <c r="E15" s="349">
        <v>4288.75</v>
      </c>
      <c r="F15" s="349">
        <v>4288.75</v>
      </c>
      <c r="G15" s="349">
        <v>4288.75</v>
      </c>
      <c r="H15" s="349">
        <v>4288.75</v>
      </c>
      <c r="I15" s="349">
        <v>4288.75</v>
      </c>
      <c r="J15" s="349">
        <v>4288.75</v>
      </c>
      <c r="K15" s="349">
        <v>4288.75</v>
      </c>
      <c r="L15" s="349">
        <v>4288.75</v>
      </c>
      <c r="M15" s="349">
        <v>4288.75</v>
      </c>
      <c r="N15" s="349">
        <v>4288.75</v>
      </c>
      <c r="O15" s="349">
        <v>4288.75</v>
      </c>
      <c r="P15" s="349">
        <v>4288.75</v>
      </c>
      <c r="Q15" s="349">
        <v>4288.75</v>
      </c>
      <c r="R15" s="349">
        <v>4288.75</v>
      </c>
      <c r="S15" s="349">
        <v>4288.75</v>
      </c>
      <c r="T15" s="349">
        <v>4288.75</v>
      </c>
      <c r="U15" s="349">
        <v>4288.75</v>
      </c>
      <c r="V15" s="349">
        <v>4288.75</v>
      </c>
      <c r="W15" s="349">
        <v>4288.75</v>
      </c>
      <c r="X15" s="349">
        <v>4288.75</v>
      </c>
      <c r="Y15" s="349">
        <v>4288.75</v>
      </c>
      <c r="Z15" s="349">
        <v>4288.75</v>
      </c>
      <c r="AA15" s="349">
        <v>4288.75</v>
      </c>
      <c r="AB15" s="349">
        <v>4288.75</v>
      </c>
      <c r="AC15" s="349">
        <v>4288.75</v>
      </c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</row>
    <row r="16" spans="1:44" x14ac:dyDescent="0.2">
      <c r="A16" s="334"/>
      <c r="B16" s="334"/>
      <c r="C16" s="334"/>
      <c r="D16" s="334" t="s">
        <v>336</v>
      </c>
      <c r="E16" s="349">
        <v>50000</v>
      </c>
      <c r="F16" s="349">
        <v>50000</v>
      </c>
      <c r="G16" s="349">
        <v>50000</v>
      </c>
      <c r="H16" s="349">
        <v>50000</v>
      </c>
      <c r="I16" s="349">
        <v>50000</v>
      </c>
      <c r="J16" s="349">
        <v>50000</v>
      </c>
      <c r="K16" s="349">
        <v>50000</v>
      </c>
      <c r="L16" s="349">
        <v>50000</v>
      </c>
      <c r="M16" s="349">
        <v>50000</v>
      </c>
      <c r="N16" s="349">
        <v>50000</v>
      </c>
      <c r="O16" s="349">
        <v>50000</v>
      </c>
      <c r="P16" s="349">
        <v>50000</v>
      </c>
      <c r="Q16" s="349">
        <v>50000</v>
      </c>
      <c r="R16" s="349">
        <v>50000</v>
      </c>
      <c r="S16" s="349">
        <v>50000</v>
      </c>
      <c r="T16" s="349">
        <v>50000</v>
      </c>
      <c r="U16" s="349">
        <v>50000</v>
      </c>
      <c r="V16" s="349">
        <v>50000</v>
      </c>
      <c r="W16" s="349">
        <v>50000</v>
      </c>
      <c r="X16" s="349">
        <v>50000</v>
      </c>
      <c r="Y16" s="349">
        <v>50000</v>
      </c>
      <c r="Z16" s="349">
        <v>50000</v>
      </c>
      <c r="AA16" s="349">
        <v>50000</v>
      </c>
      <c r="AB16" s="349">
        <v>50000</v>
      </c>
      <c r="AC16" s="349">
        <v>50000</v>
      </c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</row>
    <row r="17" spans="1:44" x14ac:dyDescent="0.2">
      <c r="A17" s="334"/>
      <c r="B17" s="334"/>
      <c r="C17" s="334"/>
      <c r="D17" s="350" t="s">
        <v>280</v>
      </c>
      <c r="E17" s="344">
        <f>SUM(E11:E16)</f>
        <v>398184.38081286807</v>
      </c>
      <c r="F17" s="344">
        <f t="shared" ref="F17:AC17" si="0">SUM(F11:F16)</f>
        <v>451763.63798361865</v>
      </c>
      <c r="G17" s="344">
        <f t="shared" si="0"/>
        <v>521090.08764342801</v>
      </c>
      <c r="H17" s="344">
        <f t="shared" si="0"/>
        <v>600392.18779404461</v>
      </c>
      <c r="I17" s="344">
        <f t="shared" si="0"/>
        <v>664485.6527173135</v>
      </c>
      <c r="J17" s="344">
        <f t="shared" si="0"/>
        <v>737540.70798628847</v>
      </c>
      <c r="K17" s="344">
        <f t="shared" si="0"/>
        <v>863932.66822035098</v>
      </c>
      <c r="L17" s="344">
        <f t="shared" si="0"/>
        <v>1036817.1561532061</v>
      </c>
      <c r="M17" s="344">
        <f t="shared" si="0"/>
        <v>1167534.6395271425</v>
      </c>
      <c r="N17" s="344">
        <f t="shared" si="0"/>
        <v>1198033.8458684795</v>
      </c>
      <c r="O17" s="344">
        <f t="shared" si="0"/>
        <v>1228895.5513669788</v>
      </c>
      <c r="P17" s="344">
        <f t="shared" si="0"/>
        <v>1260119.3221889129</v>
      </c>
      <c r="Q17" s="344">
        <f t="shared" si="0"/>
        <v>1291704.7583127676</v>
      </c>
      <c r="R17" s="344">
        <f t="shared" si="0"/>
        <v>1323651.4925732021</v>
      </c>
      <c r="S17" s="344">
        <f t="shared" si="0"/>
        <v>1355959.1897484018</v>
      </c>
      <c r="T17" s="344">
        <f t="shared" si="0"/>
        <v>1388627.5456881758</v>
      </c>
      <c r="U17" s="344">
        <f t="shared" si="0"/>
        <v>1421656.2864806305</v>
      </c>
      <c r="V17" s="344">
        <f t="shared" si="0"/>
        <v>1455045.1676550754</v>
      </c>
      <c r="W17" s="344">
        <f t="shared" si="0"/>
        <v>1488793.9734192858</v>
      </c>
      <c r="X17" s="344">
        <f t="shared" si="0"/>
        <v>1522902.515929108</v>
      </c>
      <c r="Y17" s="344">
        <f t="shared" si="0"/>
        <v>1557370.6345887331</v>
      </c>
      <c r="Z17" s="344">
        <f t="shared" si="0"/>
        <v>1592198.1953799389</v>
      </c>
      <c r="AA17" s="344">
        <f t="shared" si="0"/>
        <v>1626268.4300608528</v>
      </c>
      <c r="AB17" s="344">
        <f t="shared" si="0"/>
        <v>1660687.923990224</v>
      </c>
      <c r="AC17" s="344">
        <f t="shared" si="0"/>
        <v>1695456.6571034195</v>
      </c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</row>
    <row r="18" spans="1:44" x14ac:dyDescent="0.2">
      <c r="A18" s="334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</row>
    <row r="19" spans="1:44" x14ac:dyDescent="0.2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</row>
    <row r="20" spans="1:44" x14ac:dyDescent="0.2">
      <c r="A20" s="331"/>
      <c r="B20" s="332" t="str">
        <f>"Option 2 - "&amp;Assumptions!E15</f>
        <v>Option 2 - Replace #1 transformer completed in 2030-31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1"/>
    </row>
    <row r="21" spans="1:44" x14ac:dyDescent="0.2">
      <c r="A21" s="334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</row>
    <row r="22" spans="1:44" x14ac:dyDescent="0.2">
      <c r="A22" s="334"/>
      <c r="B22" s="334"/>
      <c r="C22" s="334"/>
      <c r="D22" s="334"/>
      <c r="E22" s="336" t="s">
        <v>19</v>
      </c>
      <c r="F22" s="336" t="s">
        <v>21</v>
      </c>
      <c r="G22" s="336" t="s">
        <v>20</v>
      </c>
      <c r="H22" s="336" t="s">
        <v>22</v>
      </c>
      <c r="I22" s="336" t="s">
        <v>93</v>
      </c>
      <c r="J22" s="336" t="s">
        <v>94</v>
      </c>
      <c r="K22" s="336" t="s">
        <v>249</v>
      </c>
      <c r="L22" s="336" t="s">
        <v>250</v>
      </c>
      <c r="M22" s="336" t="s">
        <v>251</v>
      </c>
      <c r="N22" s="336" t="s">
        <v>252</v>
      </c>
      <c r="O22" s="336" t="s">
        <v>253</v>
      </c>
      <c r="P22" s="336" t="s">
        <v>254</v>
      </c>
      <c r="Q22" s="336" t="s">
        <v>255</v>
      </c>
      <c r="R22" s="336" t="s">
        <v>256</v>
      </c>
      <c r="S22" s="336" t="s">
        <v>257</v>
      </c>
      <c r="T22" s="336" t="s">
        <v>258</v>
      </c>
      <c r="U22" s="336" t="s">
        <v>259</v>
      </c>
      <c r="V22" s="336" t="s">
        <v>260</v>
      </c>
      <c r="W22" s="336" t="s">
        <v>261</v>
      </c>
      <c r="X22" s="336" t="s">
        <v>262</v>
      </c>
      <c r="Y22" s="336" t="s">
        <v>263</v>
      </c>
      <c r="Z22" s="336" t="s">
        <v>264</v>
      </c>
      <c r="AA22" s="336" t="s">
        <v>265</v>
      </c>
      <c r="AB22" s="336" t="s">
        <v>266</v>
      </c>
      <c r="AC22" s="336" t="s">
        <v>267</v>
      </c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</row>
    <row r="23" spans="1:44" x14ac:dyDescent="0.2">
      <c r="A23" s="334"/>
      <c r="B23" s="334"/>
      <c r="C23" s="334"/>
      <c r="D23" s="348" t="s">
        <v>274</v>
      </c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</row>
    <row r="24" spans="1:44" x14ac:dyDescent="0.2">
      <c r="A24" s="334"/>
      <c r="B24" s="334"/>
      <c r="C24" s="334"/>
      <c r="D24" s="334" t="s">
        <v>275</v>
      </c>
      <c r="E24" s="349">
        <v>314043.21136713168</v>
      </c>
      <c r="F24" s="349">
        <v>366725.75098075159</v>
      </c>
      <c r="G24" s="349">
        <v>435144.50831974798</v>
      </c>
      <c r="H24" s="349">
        <v>513527.99836728716</v>
      </c>
      <c r="I24" s="349">
        <v>576691.99111727823</v>
      </c>
      <c r="J24" s="349">
        <v>59031.518312537526</v>
      </c>
      <c r="K24" s="349">
        <v>103711.63860605261</v>
      </c>
      <c r="L24" s="349">
        <v>158627.18323894384</v>
      </c>
      <c r="M24" s="349">
        <v>210911.84148709723</v>
      </c>
      <c r="N24" s="349">
        <v>243669.59594861651</v>
      </c>
      <c r="O24" s="349">
        <v>275020.29600224737</v>
      </c>
      <c r="P24" s="349">
        <v>305426.93962108146</v>
      </c>
      <c r="Q24" s="349">
        <v>335188.72055556724</v>
      </c>
      <c r="R24" s="349">
        <v>364511.35187184426</v>
      </c>
      <c r="S24" s="349">
        <v>393542.86681228934</v>
      </c>
      <c r="T24" s="349">
        <v>422393.57853196008</v>
      </c>
      <c r="U24" s="349">
        <v>451147.99608782219</v>
      </c>
      <c r="V24" s="349">
        <v>479872.32952870918</v>
      </c>
      <c r="W24" s="349">
        <v>508619.42509386397</v>
      </c>
      <c r="X24" s="349">
        <v>537432.12777361262</v>
      </c>
      <c r="Y24" s="349">
        <v>566345.64156242856</v>
      </c>
      <c r="Z24" s="349">
        <v>595389.22863769531</v>
      </c>
      <c r="AA24" s="349">
        <v>624587.45957300463</v>
      </c>
      <c r="AB24" s="349">
        <v>653961.15082096995</v>
      </c>
      <c r="AC24" s="349">
        <v>683528.07948957942</v>
      </c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</row>
    <row r="25" spans="1:44" x14ac:dyDescent="0.2">
      <c r="A25" s="334"/>
      <c r="B25" s="334"/>
      <c r="C25" s="334"/>
      <c r="D25" s="334" t="s">
        <v>320</v>
      </c>
      <c r="E25" s="349">
        <v>703.12315512015812</v>
      </c>
      <c r="F25" s="349">
        <v>724.24381769048989</v>
      </c>
      <c r="G25" s="349">
        <v>745.62297222261861</v>
      </c>
      <c r="H25" s="349">
        <v>767.25927661580749</v>
      </c>
      <c r="I25" s="349">
        <v>789.15141866678459</v>
      </c>
      <c r="J25" s="349">
        <v>589.68472411524044</v>
      </c>
      <c r="K25" s="349">
        <v>605.7325900658409</v>
      </c>
      <c r="L25" s="349">
        <v>622.1836544947754</v>
      </c>
      <c r="M25" s="349">
        <v>639.00888012176881</v>
      </c>
      <c r="N25" s="349">
        <v>656.1898862180966</v>
      </c>
      <c r="O25" s="349">
        <v>673.71339069446753</v>
      </c>
      <c r="P25" s="349">
        <v>691.56907218438755</v>
      </c>
      <c r="Q25" s="349">
        <v>709.74852798117161</v>
      </c>
      <c r="R25" s="349">
        <v>728.24469165529945</v>
      </c>
      <c r="S25" s="349">
        <v>747.05147649006165</v>
      </c>
      <c r="T25" s="349">
        <v>766.16354233414131</v>
      </c>
      <c r="U25" s="349">
        <v>785.57613535228154</v>
      </c>
      <c r="V25" s="349">
        <v>805.28497346942299</v>
      </c>
      <c r="W25" s="349">
        <v>825.28616183602901</v>
      </c>
      <c r="X25" s="349">
        <v>845.57612878718419</v>
      </c>
      <c r="Y25" s="349">
        <v>866.15157624342237</v>
      </c>
      <c r="Z25" s="349">
        <v>887.0094405653449</v>
      </c>
      <c r="AA25" s="349">
        <v>887.0094405653449</v>
      </c>
      <c r="AB25" s="349">
        <v>887.0094405653449</v>
      </c>
      <c r="AC25" s="349">
        <v>887.0094405653449</v>
      </c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</row>
    <row r="26" spans="1:44" x14ac:dyDescent="0.2">
      <c r="A26" s="334"/>
      <c r="B26" s="334"/>
      <c r="C26" s="334"/>
      <c r="D26" s="334" t="s">
        <v>321</v>
      </c>
      <c r="E26" s="349">
        <v>26504.43645311</v>
      </c>
      <c r="F26" s="349">
        <v>27300.586110345044</v>
      </c>
      <c r="G26" s="349">
        <v>28106.47969895996</v>
      </c>
      <c r="H26" s="349">
        <v>28922.066628068304</v>
      </c>
      <c r="I26" s="349">
        <v>29747.297433777469</v>
      </c>
      <c r="J26" s="349">
        <v>22228.341057849502</v>
      </c>
      <c r="K26" s="349">
        <v>22833.270137767271</v>
      </c>
      <c r="L26" s="349">
        <v>23453.397904243968</v>
      </c>
      <c r="M26" s="349">
        <v>24087.629788363436</v>
      </c>
      <c r="N26" s="349">
        <v>24735.272923089666</v>
      </c>
      <c r="O26" s="349">
        <v>25395.826636116501</v>
      </c>
      <c r="P26" s="349">
        <v>26068.90186046419</v>
      </c>
      <c r="Q26" s="349">
        <v>26754.181853605143</v>
      </c>
      <c r="R26" s="349">
        <v>27451.400244376906</v>
      </c>
      <c r="S26" s="349">
        <v>28160.327592182832</v>
      </c>
      <c r="T26" s="349">
        <v>28880.762598430774</v>
      </c>
      <c r="U26" s="349">
        <v>29612.52606588685</v>
      </c>
      <c r="V26" s="349">
        <v>30355.45658045814</v>
      </c>
      <c r="W26" s="349">
        <v>31109.407324632964</v>
      </c>
      <c r="X26" s="349">
        <v>31874.243663440055</v>
      </c>
      <c r="Y26" s="349">
        <v>32649.841274793045</v>
      </c>
      <c r="Z26" s="349">
        <v>33436.084673893609</v>
      </c>
      <c r="AA26" s="349">
        <v>33436.084673893609</v>
      </c>
      <c r="AB26" s="349">
        <v>33436.084673893609</v>
      </c>
      <c r="AC26" s="349">
        <v>33436.084673893609</v>
      </c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x14ac:dyDescent="0.2">
      <c r="A27" s="334"/>
      <c r="B27" s="334"/>
      <c r="C27" s="334"/>
      <c r="D27" s="334" t="s">
        <v>322</v>
      </c>
      <c r="E27" s="349">
        <v>2644.8598375061829</v>
      </c>
      <c r="F27" s="349">
        <v>2724.3070748315481</v>
      </c>
      <c r="G27" s="349">
        <v>2804.7266524974302</v>
      </c>
      <c r="H27" s="349">
        <v>2886.1135220733927</v>
      </c>
      <c r="I27" s="349">
        <v>2968.4627475909547</v>
      </c>
      <c r="J27" s="349">
        <v>2218.1511620631873</v>
      </c>
      <c r="K27" s="349">
        <v>2278.5166269484571</v>
      </c>
      <c r="L27" s="349">
        <v>2340.3987585145546</v>
      </c>
      <c r="M27" s="349">
        <v>2403.6883304675789</v>
      </c>
      <c r="N27" s="349">
        <v>2468.3162020733162</v>
      </c>
      <c r="O27" s="349">
        <v>2534.2324115800175</v>
      </c>
      <c r="P27" s="349">
        <v>2601.3981342561842</v>
      </c>
      <c r="Q27" s="349">
        <v>2669.781762578617</v>
      </c>
      <c r="R27" s="349">
        <v>2739.3567155486717</v>
      </c>
      <c r="S27" s="349">
        <v>2810.1000974439567</v>
      </c>
      <c r="T27" s="349">
        <v>2881.9918208137292</v>
      </c>
      <c r="U27" s="349">
        <v>2955.0140036868811</v>
      </c>
      <c r="V27" s="349">
        <v>3029.1505386599479</v>
      </c>
      <c r="W27" s="349">
        <v>3104.3867749124606</v>
      </c>
      <c r="X27" s="349">
        <v>3180.7092773114418</v>
      </c>
      <c r="Y27" s="349">
        <v>3258.1056398397445</v>
      </c>
      <c r="Z27" s="349">
        <v>3336.5643383472316</v>
      </c>
      <c r="AA27" s="349">
        <v>3336.5643383472316</v>
      </c>
      <c r="AB27" s="349">
        <v>3336.5643383472316</v>
      </c>
      <c r="AC27" s="349">
        <v>3336.5643383472316</v>
      </c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</row>
    <row r="28" spans="1:44" x14ac:dyDescent="0.2">
      <c r="A28" s="334"/>
      <c r="B28" s="334"/>
      <c r="C28" s="334"/>
      <c r="D28" s="334" t="s">
        <v>323</v>
      </c>
      <c r="E28" s="349">
        <v>4288.75</v>
      </c>
      <c r="F28" s="349">
        <v>4288.75</v>
      </c>
      <c r="G28" s="349">
        <v>4288.75</v>
      </c>
      <c r="H28" s="349">
        <v>4288.75</v>
      </c>
      <c r="I28" s="349">
        <v>4288.75</v>
      </c>
      <c r="J28" s="349">
        <v>587.5</v>
      </c>
      <c r="K28" s="349">
        <v>587.5</v>
      </c>
      <c r="L28" s="349">
        <v>587.5</v>
      </c>
      <c r="M28" s="349">
        <v>587.5</v>
      </c>
      <c r="N28" s="349">
        <v>587.5</v>
      </c>
      <c r="O28" s="349">
        <v>587.5</v>
      </c>
      <c r="P28" s="349">
        <v>587.5</v>
      </c>
      <c r="Q28" s="349">
        <v>587.5</v>
      </c>
      <c r="R28" s="349">
        <v>587.5</v>
      </c>
      <c r="S28" s="349">
        <v>587.5</v>
      </c>
      <c r="T28" s="349">
        <v>587.5</v>
      </c>
      <c r="U28" s="349">
        <v>587.5</v>
      </c>
      <c r="V28" s="349">
        <v>587.5</v>
      </c>
      <c r="W28" s="349">
        <v>587.5</v>
      </c>
      <c r="X28" s="349">
        <v>587.5</v>
      </c>
      <c r="Y28" s="349">
        <v>587.5</v>
      </c>
      <c r="Z28" s="349">
        <v>587.5</v>
      </c>
      <c r="AA28" s="349">
        <v>587.5</v>
      </c>
      <c r="AB28" s="349">
        <v>587.5</v>
      </c>
      <c r="AC28" s="349">
        <v>587.5</v>
      </c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</row>
    <row r="29" spans="1:44" x14ac:dyDescent="0.2">
      <c r="A29" s="334"/>
      <c r="B29" s="334"/>
      <c r="C29" s="334"/>
      <c r="D29" s="334" t="s">
        <v>336</v>
      </c>
      <c r="E29" s="349">
        <v>50000</v>
      </c>
      <c r="F29" s="349">
        <v>50000</v>
      </c>
      <c r="G29" s="349">
        <v>50000</v>
      </c>
      <c r="H29" s="349">
        <v>50000</v>
      </c>
      <c r="I29" s="349">
        <v>50000</v>
      </c>
      <c r="J29" s="349">
        <v>25000</v>
      </c>
      <c r="K29" s="349">
        <v>25000</v>
      </c>
      <c r="L29" s="349">
        <v>25000</v>
      </c>
      <c r="M29" s="349">
        <v>25000</v>
      </c>
      <c r="N29" s="349">
        <v>25000</v>
      </c>
      <c r="O29" s="349">
        <v>25000</v>
      </c>
      <c r="P29" s="349">
        <v>25000</v>
      </c>
      <c r="Q29" s="349">
        <v>25000</v>
      </c>
      <c r="R29" s="349">
        <v>25000</v>
      </c>
      <c r="S29" s="349">
        <v>25000</v>
      </c>
      <c r="T29" s="349">
        <v>25000</v>
      </c>
      <c r="U29" s="349">
        <v>25000</v>
      </c>
      <c r="V29" s="349">
        <v>25000</v>
      </c>
      <c r="W29" s="349">
        <v>25000</v>
      </c>
      <c r="X29" s="349">
        <v>25000</v>
      </c>
      <c r="Y29" s="349">
        <v>25000</v>
      </c>
      <c r="Z29" s="349">
        <v>25000</v>
      </c>
      <c r="AA29" s="349">
        <v>25000</v>
      </c>
      <c r="AB29" s="349">
        <v>25000</v>
      </c>
      <c r="AC29" s="349">
        <v>25000</v>
      </c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</row>
    <row r="30" spans="1:44" x14ac:dyDescent="0.2">
      <c r="A30" s="334"/>
      <c r="B30" s="334"/>
      <c r="C30" s="334"/>
      <c r="D30" s="350" t="s">
        <v>280</v>
      </c>
      <c r="E30" s="344">
        <f>SUM(E24:E29)</f>
        <v>398184.38081286807</v>
      </c>
      <c r="F30" s="344">
        <f t="shared" ref="F30" si="1">SUM(F24:F29)</f>
        <v>451763.63798361865</v>
      </c>
      <c r="G30" s="344">
        <f t="shared" ref="G30" si="2">SUM(G24:G29)</f>
        <v>521090.08764342801</v>
      </c>
      <c r="H30" s="344">
        <f t="shared" ref="H30" si="3">SUM(H24:H29)</f>
        <v>600392.18779404461</v>
      </c>
      <c r="I30" s="344">
        <f t="shared" ref="I30" si="4">SUM(I24:I29)</f>
        <v>664485.6527173135</v>
      </c>
      <c r="J30" s="344">
        <f t="shared" ref="J30" si="5">SUM(J24:J29)</f>
        <v>109655.19525656546</v>
      </c>
      <c r="K30" s="344">
        <f t="shared" ref="K30" si="6">SUM(K24:K29)</f>
        <v>155016.65796083419</v>
      </c>
      <c r="L30" s="344">
        <f t="shared" ref="L30" si="7">SUM(L24:L29)</f>
        <v>210630.66355619713</v>
      </c>
      <c r="M30" s="344">
        <f t="shared" ref="M30" si="8">SUM(M24:M29)</f>
        <v>263629.66848605004</v>
      </c>
      <c r="N30" s="344">
        <f t="shared" ref="N30" si="9">SUM(N24:N29)</f>
        <v>297116.87495999754</v>
      </c>
      <c r="O30" s="344">
        <f t="shared" ref="O30" si="10">SUM(O24:O29)</f>
        <v>329211.56844063837</v>
      </c>
      <c r="P30" s="344">
        <f t="shared" ref="P30" si="11">SUM(P24:P29)</f>
        <v>360376.30868798622</v>
      </c>
      <c r="Q30" s="344">
        <f t="shared" ref="Q30" si="12">SUM(Q24:Q29)</f>
        <v>390909.93269973219</v>
      </c>
      <c r="R30" s="344">
        <f t="shared" ref="R30" si="13">SUM(R24:R29)</f>
        <v>421017.85352342512</v>
      </c>
      <c r="S30" s="344">
        <f t="shared" ref="S30" si="14">SUM(S24:S29)</f>
        <v>450847.8459784062</v>
      </c>
      <c r="T30" s="344">
        <f t="shared" ref="T30" si="15">SUM(T24:T29)</f>
        <v>480509.99649353878</v>
      </c>
      <c r="U30" s="344">
        <f t="shared" ref="U30" si="16">SUM(U24:U29)</f>
        <v>510088.61229274818</v>
      </c>
      <c r="V30" s="344">
        <f t="shared" ref="V30" si="17">SUM(V24:V29)</f>
        <v>539649.72162129672</v>
      </c>
      <c r="W30" s="344">
        <f t="shared" ref="W30" si="18">SUM(W24:W29)</f>
        <v>569246.00535524543</v>
      </c>
      <c r="X30" s="344">
        <f t="shared" ref="X30" si="19">SUM(X24:X29)</f>
        <v>598920.15684315132</v>
      </c>
      <c r="Y30" s="344">
        <f t="shared" ref="Y30" si="20">SUM(Y24:Y29)</f>
        <v>628707.24005330482</v>
      </c>
      <c r="Z30" s="344">
        <f t="shared" ref="Z30" si="21">SUM(Z24:Z29)</f>
        <v>658636.38709050149</v>
      </c>
      <c r="AA30" s="344">
        <f t="shared" ref="AA30" si="22">SUM(AA24:AA29)</f>
        <v>687834.61802581081</v>
      </c>
      <c r="AB30" s="344">
        <f t="shared" ref="AB30" si="23">SUM(AB24:AB29)</f>
        <v>717208.30927377613</v>
      </c>
      <c r="AC30" s="344">
        <f t="shared" ref="AC30" si="24">SUM(AC24:AC29)</f>
        <v>746775.2379423856</v>
      </c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</row>
    <row r="33" spans="1:44" x14ac:dyDescent="0.2">
      <c r="A33" s="331"/>
      <c r="B33" s="332" t="str">
        <f>"Option 3 - "&amp;Assumptions!E16</f>
        <v>Option 3 - Refurbish #1 transformer completed in 2029-30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1"/>
    </row>
    <row r="34" spans="1:44" x14ac:dyDescent="0.2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</row>
    <row r="35" spans="1:44" x14ac:dyDescent="0.2">
      <c r="A35" s="334"/>
      <c r="B35" s="334"/>
      <c r="C35" s="334"/>
      <c r="D35" s="334"/>
      <c r="E35" s="336" t="s">
        <v>19</v>
      </c>
      <c r="F35" s="336" t="s">
        <v>21</v>
      </c>
      <c r="G35" s="336" t="s">
        <v>20</v>
      </c>
      <c r="H35" s="336" t="s">
        <v>22</v>
      </c>
      <c r="I35" s="336" t="s">
        <v>93</v>
      </c>
      <c r="J35" s="336" t="s">
        <v>94</v>
      </c>
      <c r="K35" s="336" t="s">
        <v>249</v>
      </c>
      <c r="L35" s="336" t="s">
        <v>250</v>
      </c>
      <c r="M35" s="336" t="s">
        <v>251</v>
      </c>
      <c r="N35" s="336" t="s">
        <v>252</v>
      </c>
      <c r="O35" s="336" t="s">
        <v>253</v>
      </c>
      <c r="P35" s="336" t="s">
        <v>254</v>
      </c>
      <c r="Q35" s="336" t="s">
        <v>255</v>
      </c>
      <c r="R35" s="336" t="s">
        <v>256</v>
      </c>
      <c r="S35" s="336" t="s">
        <v>257</v>
      </c>
      <c r="T35" s="336" t="s">
        <v>258</v>
      </c>
      <c r="U35" s="336" t="s">
        <v>259</v>
      </c>
      <c r="V35" s="336" t="s">
        <v>260</v>
      </c>
      <c r="W35" s="336" t="s">
        <v>261</v>
      </c>
      <c r="X35" s="336" t="s">
        <v>262</v>
      </c>
      <c r="Y35" s="336" t="s">
        <v>263</v>
      </c>
      <c r="Z35" s="336" t="s">
        <v>264</v>
      </c>
      <c r="AA35" s="336" t="s">
        <v>265</v>
      </c>
      <c r="AB35" s="336" t="s">
        <v>266</v>
      </c>
      <c r="AC35" s="336" t="s">
        <v>267</v>
      </c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</row>
    <row r="36" spans="1:44" x14ac:dyDescent="0.2">
      <c r="A36" s="334"/>
      <c r="B36" s="334"/>
      <c r="C36" s="334"/>
      <c r="D36" s="348" t="s">
        <v>274</v>
      </c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</row>
    <row r="37" spans="1:44" x14ac:dyDescent="0.2">
      <c r="A37" s="334"/>
      <c r="B37" s="334"/>
      <c r="C37" s="334"/>
      <c r="D37" s="334" t="s">
        <v>275</v>
      </c>
      <c r="E37" s="349">
        <v>314043.21136713168</v>
      </c>
      <c r="F37" s="349">
        <v>366725.75098075159</v>
      </c>
      <c r="G37" s="349">
        <v>435144.50831974798</v>
      </c>
      <c r="H37" s="349">
        <v>513527.99836728716</v>
      </c>
      <c r="I37" s="349">
        <v>552672.90181522083</v>
      </c>
      <c r="J37" s="349">
        <v>621750.9517747194</v>
      </c>
      <c r="K37" s="349">
        <v>742002.32305995096</v>
      </c>
      <c r="L37" s="349">
        <v>906855.26756045886</v>
      </c>
      <c r="M37" s="349">
        <v>1031279.0303223566</v>
      </c>
      <c r="N37" s="349">
        <v>1059540.5426616287</v>
      </c>
      <c r="O37" s="349">
        <v>1088138.0035917866</v>
      </c>
      <c r="P37" s="349">
        <v>1117071.0139951222</v>
      </c>
      <c r="Q37" s="349">
        <v>1146339.2060315532</v>
      </c>
      <c r="R37" s="349">
        <v>1175942.2422564717</v>
      </c>
      <c r="S37" s="349">
        <v>1205879.8147784295</v>
      </c>
      <c r="T37" s="349">
        <v>1236151.6444542964</v>
      </c>
      <c r="U37" s="349">
        <v>1266757.480119861</v>
      </c>
      <c r="V37" s="349">
        <v>1297697.0978537586</v>
      </c>
      <c r="W37" s="349">
        <v>1328970.3002729937</v>
      </c>
      <c r="X37" s="349">
        <v>1360576.9158582673</v>
      </c>
      <c r="Y37" s="349">
        <v>1392516.7983074712</v>
      </c>
      <c r="Z37" s="349">
        <v>1424789.8259159017</v>
      </c>
      <c r="AA37" s="349">
        <v>1457395.9009817196</v>
      </c>
      <c r="AB37" s="349">
        <v>1490334.9492353802</v>
      </c>
      <c r="AC37" s="349">
        <v>1523606.919291734</v>
      </c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x14ac:dyDescent="0.2">
      <c r="A38" s="334"/>
      <c r="B38" s="334"/>
      <c r="C38" s="334"/>
      <c r="D38" s="334" t="s">
        <v>320</v>
      </c>
      <c r="E38" s="349">
        <v>703.12315512015812</v>
      </c>
      <c r="F38" s="349">
        <v>724.24381769048989</v>
      </c>
      <c r="G38" s="349">
        <v>745.62297222261861</v>
      </c>
      <c r="H38" s="349">
        <v>767.25927661580749</v>
      </c>
      <c r="I38" s="349">
        <v>784.85054392994584</v>
      </c>
      <c r="J38" s="349">
        <v>806.86096629406416</v>
      </c>
      <c r="K38" s="349">
        <v>829.12294145736803</v>
      </c>
      <c r="L38" s="349">
        <v>851.63524957278275</v>
      </c>
      <c r="M38" s="349">
        <v>874.39669617736172</v>
      </c>
      <c r="N38" s="349">
        <v>897.40611126666818</v>
      </c>
      <c r="O38" s="349">
        <v>920.66234841712446</v>
      </c>
      <c r="P38" s="349">
        <v>944.16428395312187</v>
      </c>
      <c r="Q38" s="349">
        <v>967.91081615594283</v>
      </c>
      <c r="R38" s="349">
        <v>991.90086451178286</v>
      </c>
      <c r="S38" s="349">
        <v>1016.1333689963884</v>
      </c>
      <c r="T38" s="349">
        <v>1040.607289393995</v>
      </c>
      <c r="U38" s="349">
        <v>1065.3216046484558</v>
      </c>
      <c r="V38" s="349">
        <v>1090.2753122445797</v>
      </c>
      <c r="W38" s="349">
        <v>1115.4674276178814</v>
      </c>
      <c r="X38" s="349">
        <v>1140.8969835910466</v>
      </c>
      <c r="Y38" s="349">
        <v>1166.5630298355507</v>
      </c>
      <c r="Z38" s="349">
        <v>1192.4646323569916</v>
      </c>
      <c r="AA38" s="349">
        <v>1192.4646323569916</v>
      </c>
      <c r="AB38" s="349">
        <v>1192.4646323569916</v>
      </c>
      <c r="AC38" s="349">
        <v>1192.4646323569916</v>
      </c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</row>
    <row r="39" spans="1:44" x14ac:dyDescent="0.2">
      <c r="A39" s="334"/>
      <c r="B39" s="334"/>
      <c r="C39" s="334"/>
      <c r="D39" s="334" t="s">
        <v>321</v>
      </c>
      <c r="E39" s="349">
        <v>26504.43645311</v>
      </c>
      <c r="F39" s="349">
        <v>27300.586110345044</v>
      </c>
      <c r="G39" s="349">
        <v>28106.47969895996</v>
      </c>
      <c r="H39" s="349">
        <v>28922.066628068304</v>
      </c>
      <c r="I39" s="349">
        <v>28936.683671983155</v>
      </c>
      <c r="J39" s="349">
        <v>29745.825552738421</v>
      </c>
      <c r="K39" s="349">
        <v>30564.186596224135</v>
      </c>
      <c r="L39" s="349">
        <v>31391.722238916573</v>
      </c>
      <c r="M39" s="349">
        <v>32228.388841586446</v>
      </c>
      <c r="N39" s="349">
        <v>33074.143655707041</v>
      </c>
      <c r="O39" s="349">
        <v>33928.944791597409</v>
      </c>
      <c r="P39" s="349">
        <v>34792.751188184913</v>
      </c>
      <c r="Q39" s="349">
        <v>35665.522584280865</v>
      </c>
      <c r="R39" s="349">
        <v>36547.219491271375</v>
      </c>
      <c r="S39" s="349">
        <v>37437.803167133832</v>
      </c>
      <c r="T39" s="349">
        <v>38337.235591695397</v>
      </c>
      <c r="U39" s="349">
        <v>39245.479443057338</v>
      </c>
      <c r="V39" s="349">
        <v>40162.498075113755</v>
      </c>
      <c r="W39" s="349">
        <v>41088.255496099693</v>
      </c>
      <c r="X39" s="349">
        <v>42022.716348107366</v>
      </c>
      <c r="Y39" s="349">
        <v>42965.845887514086</v>
      </c>
      <c r="Z39" s="349">
        <v>43917.609966269854</v>
      </c>
      <c r="AA39" s="349">
        <v>43917.609966269854</v>
      </c>
      <c r="AB39" s="349">
        <v>43917.609966269854</v>
      </c>
      <c r="AC39" s="349">
        <v>43917.609966269854</v>
      </c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</row>
    <row r="40" spans="1:44" x14ac:dyDescent="0.2">
      <c r="A40" s="334"/>
      <c r="B40" s="334"/>
      <c r="C40" s="334"/>
      <c r="D40" s="334" t="s">
        <v>322</v>
      </c>
      <c r="E40" s="349">
        <v>2644.8598375061829</v>
      </c>
      <c r="F40" s="349">
        <v>2724.3070748315481</v>
      </c>
      <c r="G40" s="349">
        <v>2804.7266524974302</v>
      </c>
      <c r="H40" s="349">
        <v>2886.1135220733927</v>
      </c>
      <c r="I40" s="349">
        <v>2968.4627475909547</v>
      </c>
      <c r="J40" s="349">
        <v>3051.7695011543028</v>
      </c>
      <c r="K40" s="349">
        <v>3136.0290587944069</v>
      </c>
      <c r="L40" s="349">
        <v>3221.2367965491458</v>
      </c>
      <c r="M40" s="349">
        <v>3307.3881867535219</v>
      </c>
      <c r="N40" s="349">
        <v>3394.4787945254388</v>
      </c>
      <c r="O40" s="349">
        <v>3482.5042744337443</v>
      </c>
      <c r="P40" s="349">
        <v>3571.4603673363399</v>
      </c>
      <c r="Q40" s="349">
        <v>3661.3428973771365</v>
      </c>
      <c r="R40" s="349">
        <v>3752.1477691315577</v>
      </c>
      <c r="S40" s="349">
        <v>3843.8709648911349</v>
      </c>
      <c r="T40" s="349">
        <v>3936.5085420784021</v>
      </c>
      <c r="U40" s="349">
        <v>4030.0566307840586</v>
      </c>
      <c r="V40" s="349">
        <v>4124.5114314188777</v>
      </c>
      <c r="W40" s="349">
        <v>4219.8692124735298</v>
      </c>
      <c r="X40" s="349">
        <v>4316.1263083798649</v>
      </c>
      <c r="Y40" s="349">
        <v>4413.2791174677204</v>
      </c>
      <c r="Z40" s="349">
        <v>4511.3241000117914</v>
      </c>
      <c r="AA40" s="349">
        <v>4511.3241000117914</v>
      </c>
      <c r="AB40" s="349">
        <v>4511.3241000117914</v>
      </c>
      <c r="AC40" s="349">
        <v>4511.3241000117914</v>
      </c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</row>
    <row r="41" spans="1:44" x14ac:dyDescent="0.2">
      <c r="A41" s="334"/>
      <c r="B41" s="334"/>
      <c r="C41" s="334"/>
      <c r="D41" s="334" t="s">
        <v>323</v>
      </c>
      <c r="E41" s="349">
        <v>4288.75</v>
      </c>
      <c r="F41" s="349">
        <v>4288.75</v>
      </c>
      <c r="G41" s="349">
        <v>4288.75</v>
      </c>
      <c r="H41" s="349">
        <v>4288.75</v>
      </c>
      <c r="I41" s="349">
        <v>2438.125</v>
      </c>
      <c r="J41" s="349">
        <v>2438.125</v>
      </c>
      <c r="K41" s="349">
        <v>2438.125</v>
      </c>
      <c r="L41" s="349">
        <v>2438.125</v>
      </c>
      <c r="M41" s="349">
        <v>2438.125</v>
      </c>
      <c r="N41" s="349">
        <v>2438.125</v>
      </c>
      <c r="O41" s="349">
        <v>2438.125</v>
      </c>
      <c r="P41" s="349">
        <v>2438.125</v>
      </c>
      <c r="Q41" s="349">
        <v>2438.125</v>
      </c>
      <c r="R41" s="349">
        <v>2438.125</v>
      </c>
      <c r="S41" s="349">
        <v>2438.125</v>
      </c>
      <c r="T41" s="349">
        <v>2438.125</v>
      </c>
      <c r="U41" s="349">
        <v>2438.125</v>
      </c>
      <c r="V41" s="349">
        <v>2438.125</v>
      </c>
      <c r="W41" s="349">
        <v>2438.125</v>
      </c>
      <c r="X41" s="349">
        <v>2438.125</v>
      </c>
      <c r="Y41" s="349">
        <v>2438.125</v>
      </c>
      <c r="Z41" s="349">
        <v>2438.125</v>
      </c>
      <c r="AA41" s="349">
        <v>2438.125</v>
      </c>
      <c r="AB41" s="349">
        <v>2438.125</v>
      </c>
      <c r="AC41" s="349">
        <v>2438.125</v>
      </c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</row>
    <row r="42" spans="1:44" x14ac:dyDescent="0.2">
      <c r="A42" s="334"/>
      <c r="B42" s="334"/>
      <c r="C42" s="334"/>
      <c r="D42" s="334" t="s">
        <v>336</v>
      </c>
      <c r="E42" s="349">
        <v>50000</v>
      </c>
      <c r="F42" s="349">
        <v>50000</v>
      </c>
      <c r="G42" s="349">
        <v>50000</v>
      </c>
      <c r="H42" s="349">
        <v>50000</v>
      </c>
      <c r="I42" s="349">
        <v>50000</v>
      </c>
      <c r="J42" s="349">
        <v>50000</v>
      </c>
      <c r="K42" s="349">
        <v>50000</v>
      </c>
      <c r="L42" s="349">
        <v>50000</v>
      </c>
      <c r="M42" s="349">
        <v>50000</v>
      </c>
      <c r="N42" s="349">
        <v>50000</v>
      </c>
      <c r="O42" s="349">
        <v>50000</v>
      </c>
      <c r="P42" s="349">
        <v>50000</v>
      </c>
      <c r="Q42" s="349">
        <v>50000</v>
      </c>
      <c r="R42" s="349">
        <v>50000</v>
      </c>
      <c r="S42" s="349">
        <v>50000</v>
      </c>
      <c r="T42" s="349">
        <v>50000</v>
      </c>
      <c r="U42" s="349">
        <v>50000</v>
      </c>
      <c r="V42" s="349">
        <v>50000</v>
      </c>
      <c r="W42" s="349">
        <v>50000</v>
      </c>
      <c r="X42" s="349">
        <v>50000</v>
      </c>
      <c r="Y42" s="349">
        <v>50000</v>
      </c>
      <c r="Z42" s="349">
        <v>50000</v>
      </c>
      <c r="AA42" s="349">
        <v>50000</v>
      </c>
      <c r="AB42" s="349">
        <v>50000</v>
      </c>
      <c r="AC42" s="349">
        <v>50000</v>
      </c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</row>
    <row r="43" spans="1:44" x14ac:dyDescent="0.2">
      <c r="A43" s="334"/>
      <c r="B43" s="334"/>
      <c r="C43" s="334"/>
      <c r="D43" s="350" t="s">
        <v>280</v>
      </c>
      <c r="E43" s="344">
        <f>SUM(E37:E42)</f>
        <v>398184.38081286807</v>
      </c>
      <c r="F43" s="344">
        <f>SUM(F37:F42)</f>
        <v>451763.63798361865</v>
      </c>
      <c r="G43" s="344">
        <f t="shared" ref="G43" si="25">SUM(G37:G42)</f>
        <v>521090.08764342801</v>
      </c>
      <c r="H43" s="344">
        <f t="shared" ref="H43" si="26">SUM(H37:H42)</f>
        <v>600392.18779404461</v>
      </c>
      <c r="I43" s="344">
        <f t="shared" ref="I43" si="27">SUM(I37:I42)</f>
        <v>637801.02377872495</v>
      </c>
      <c r="J43" s="344">
        <f t="shared" ref="J43" si="28">SUM(J37:J42)</f>
        <v>707793.53279490618</v>
      </c>
      <c r="K43" s="344">
        <f t="shared" ref="K43" si="29">SUM(K37:K42)</f>
        <v>828969.78665642673</v>
      </c>
      <c r="L43" s="344">
        <f t="shared" ref="L43" si="30">SUM(L37:L42)</f>
        <v>994757.98684549739</v>
      </c>
      <c r="M43" s="344">
        <f t="shared" ref="M43" si="31">SUM(M37:M42)</f>
        <v>1120127.3290468738</v>
      </c>
      <c r="N43" s="344">
        <f t="shared" ref="N43" si="32">SUM(N37:N42)</f>
        <v>1149344.6962231279</v>
      </c>
      <c r="O43" s="344">
        <f t="shared" ref="O43" si="33">SUM(O37:O42)</f>
        <v>1178908.2400062347</v>
      </c>
      <c r="P43" s="344">
        <f t="shared" ref="P43" si="34">SUM(P37:P42)</f>
        <v>1208817.5148345965</v>
      </c>
      <c r="Q43" s="344">
        <f t="shared" ref="Q43" si="35">SUM(Q37:Q42)</f>
        <v>1239072.1073293672</v>
      </c>
      <c r="R43" s="344">
        <f t="shared" ref="R43" si="36">SUM(R37:R42)</f>
        <v>1269671.6353813861</v>
      </c>
      <c r="S43" s="344">
        <f t="shared" ref="S43" si="37">SUM(S37:S42)</f>
        <v>1300615.7472794508</v>
      </c>
      <c r="T43" s="344">
        <f t="shared" ref="T43" si="38">SUM(T37:T42)</f>
        <v>1331904.1208774641</v>
      </c>
      <c r="U43" s="344">
        <f t="shared" ref="U43" si="39">SUM(U37:U42)</f>
        <v>1363536.4627983507</v>
      </c>
      <c r="V43" s="344">
        <f t="shared" ref="V43" si="40">SUM(V37:V42)</f>
        <v>1395512.507672536</v>
      </c>
      <c r="W43" s="344">
        <f t="shared" ref="W43" si="41">SUM(W37:W42)</f>
        <v>1427832.0174091847</v>
      </c>
      <c r="X43" s="344">
        <f t="shared" ref="X43" si="42">SUM(X37:X42)</f>
        <v>1460494.7804983458</v>
      </c>
      <c r="Y43" s="344">
        <f t="shared" ref="Y43" si="43">SUM(Y37:Y42)</f>
        <v>1493500.6113422886</v>
      </c>
      <c r="Z43" s="344">
        <f t="shared" ref="Z43" si="44">SUM(Z37:Z42)</f>
        <v>1526849.3496145403</v>
      </c>
      <c r="AA43" s="344">
        <f t="shared" ref="AA43" si="45">SUM(AA37:AA42)</f>
        <v>1559455.4246803583</v>
      </c>
      <c r="AB43" s="344">
        <f t="shared" ref="AB43" si="46">SUM(AB37:AB42)</f>
        <v>1592394.4729340188</v>
      </c>
      <c r="AC43" s="344">
        <f t="shared" ref="AC43" si="47">SUM(AC37:AC42)</f>
        <v>1625666.4429903727</v>
      </c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="85" zoomScaleNormal="85" workbookViewId="0">
      <selection activeCell="A4" sqref="A4"/>
    </sheetView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VM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1" t="s">
        <v>281</v>
      </c>
      <c r="B5" s="351"/>
      <c r="C5" s="352" t="s">
        <v>282</v>
      </c>
      <c r="D5" s="352"/>
      <c r="E5" s="205"/>
      <c r="F5" s="353" t="s">
        <v>283</v>
      </c>
      <c r="G5" s="354" t="s">
        <v>284</v>
      </c>
      <c r="H5" s="352" t="s">
        <v>285</v>
      </c>
      <c r="I5" s="352" t="s">
        <v>286</v>
      </c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</row>
    <row r="6" spans="1:36" x14ac:dyDescent="0.2">
      <c r="A6" s="355" t="s">
        <v>287</v>
      </c>
      <c r="B6" s="356" t="s">
        <v>332</v>
      </c>
      <c r="C6" s="357" t="s">
        <v>288</v>
      </c>
      <c r="D6" s="358"/>
      <c r="E6" s="205"/>
      <c r="F6" s="357" t="s">
        <v>289</v>
      </c>
      <c r="G6" s="359">
        <v>1.4085126762844388E-3</v>
      </c>
      <c r="H6" s="354">
        <v>1</v>
      </c>
      <c r="I6" s="360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</row>
    <row r="7" spans="1:36" x14ac:dyDescent="0.2">
      <c r="A7" s="355" t="s">
        <v>290</v>
      </c>
      <c r="B7" s="356" t="s">
        <v>291</v>
      </c>
      <c r="C7" s="357" t="s">
        <v>292</v>
      </c>
      <c r="D7" s="358"/>
      <c r="E7" s="205"/>
      <c r="F7" s="357" t="s">
        <v>293</v>
      </c>
      <c r="G7" s="359">
        <v>1.4085126762844388E-3</v>
      </c>
      <c r="H7" s="354">
        <v>1</v>
      </c>
      <c r="I7" s="360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</row>
    <row r="8" spans="1:36" x14ac:dyDescent="0.2">
      <c r="A8" s="361" t="s">
        <v>8</v>
      </c>
      <c r="B8" s="362">
        <v>52.307000000000002</v>
      </c>
      <c r="C8" s="361" t="s">
        <v>294</v>
      </c>
      <c r="D8" s="363">
        <v>6690094.3199999994</v>
      </c>
      <c r="E8" s="205"/>
      <c r="F8" s="357" t="s">
        <v>295</v>
      </c>
      <c r="G8" s="359">
        <v>1.027177921945127E-3</v>
      </c>
      <c r="H8" s="354">
        <v>1</v>
      </c>
      <c r="I8" s="360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</row>
    <row r="9" spans="1:36" x14ac:dyDescent="0.2">
      <c r="A9" s="361" t="s">
        <v>296</v>
      </c>
      <c r="B9" s="364">
        <v>0.5</v>
      </c>
      <c r="C9" s="361" t="s">
        <v>297</v>
      </c>
      <c r="D9" s="363">
        <v>166900</v>
      </c>
      <c r="E9" s="205"/>
      <c r="F9" s="357" t="s">
        <v>298</v>
      </c>
      <c r="G9" s="365">
        <v>0</v>
      </c>
      <c r="H9" s="354">
        <v>1</v>
      </c>
      <c r="I9" s="360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</row>
    <row r="10" spans="1:36" ht="19.5" customHeight="1" x14ac:dyDescent="0.2">
      <c r="A10" s="366" t="s">
        <v>333</v>
      </c>
      <c r="B10" s="367" t="s">
        <v>299</v>
      </c>
      <c r="C10" s="352" t="s">
        <v>300</v>
      </c>
      <c r="D10" s="351" t="s">
        <v>301</v>
      </c>
      <c r="E10" s="352">
        <v>2025</v>
      </c>
      <c r="F10" s="352">
        <v>2026</v>
      </c>
      <c r="G10" s="352">
        <v>2027</v>
      </c>
      <c r="H10" s="352">
        <v>2028</v>
      </c>
      <c r="I10" s="352">
        <v>2029</v>
      </c>
      <c r="J10" s="352">
        <v>2030</v>
      </c>
      <c r="K10" s="352">
        <v>2031</v>
      </c>
      <c r="L10" s="352">
        <v>2032</v>
      </c>
      <c r="M10" s="352">
        <v>2033</v>
      </c>
      <c r="N10" s="352">
        <v>2034</v>
      </c>
      <c r="O10" s="352">
        <v>2035</v>
      </c>
      <c r="P10" s="352">
        <v>2036</v>
      </c>
      <c r="Q10" s="352">
        <v>2037</v>
      </c>
      <c r="R10" s="352">
        <v>2038</v>
      </c>
      <c r="S10" s="352">
        <v>2039</v>
      </c>
      <c r="T10" s="352">
        <v>2040</v>
      </c>
      <c r="U10" s="352">
        <v>2041</v>
      </c>
      <c r="V10" s="352">
        <v>2042</v>
      </c>
      <c r="W10" s="352">
        <v>2043</v>
      </c>
      <c r="X10" s="352">
        <v>2044</v>
      </c>
      <c r="Y10" s="352">
        <v>2045</v>
      </c>
      <c r="Z10" s="352">
        <v>2046</v>
      </c>
      <c r="AA10" s="352">
        <v>2047</v>
      </c>
      <c r="AB10" s="368">
        <v>2048</v>
      </c>
      <c r="AC10" s="368">
        <v>2049</v>
      </c>
      <c r="AD10" s="368">
        <v>2050</v>
      </c>
      <c r="AE10" s="368">
        <v>2051</v>
      </c>
      <c r="AF10" s="368">
        <v>2052</v>
      </c>
      <c r="AG10" s="368">
        <v>2053</v>
      </c>
      <c r="AH10" s="368">
        <v>2054</v>
      </c>
      <c r="AI10" s="368">
        <v>2055</v>
      </c>
      <c r="AJ10" s="368">
        <v>2056</v>
      </c>
    </row>
    <row r="11" spans="1:36" x14ac:dyDescent="0.2">
      <c r="A11" s="355" t="s">
        <v>302</v>
      </c>
      <c r="B11" s="369" t="b">
        <v>0</v>
      </c>
      <c r="C11" s="370">
        <v>0</v>
      </c>
      <c r="D11" s="355" t="s">
        <v>23</v>
      </c>
      <c r="E11" s="371">
        <v>3121.1656651103758</v>
      </c>
      <c r="F11" s="371">
        <v>4470.4842492805747</v>
      </c>
      <c r="G11" s="371">
        <v>5178.0513588580334</v>
      </c>
      <c r="H11" s="371">
        <v>6101.7281383906566</v>
      </c>
      <c r="I11" s="371">
        <v>7142.8804834563125</v>
      </c>
      <c r="J11" s="371">
        <v>8077.9021474002438</v>
      </c>
      <c r="K11" s="371">
        <v>9122.1484808806454</v>
      </c>
      <c r="L11" s="371">
        <v>10884.532586869151</v>
      </c>
      <c r="M11" s="371">
        <v>13572.39123004511</v>
      </c>
      <c r="N11" s="371">
        <v>15425.591015457856</v>
      </c>
      <c r="O11" s="371">
        <v>15850.432864232253</v>
      </c>
      <c r="P11" s="371">
        <v>16280.409961466272</v>
      </c>
      <c r="Q11" s="371">
        <v>16715.51879833675</v>
      </c>
      <c r="R11" s="371">
        <v>17155.756351727399</v>
      </c>
      <c r="S11" s="371">
        <v>17601.120070839283</v>
      </c>
      <c r="T11" s="371">
        <v>18051.607864408623</v>
      </c>
      <c r="U11" s="371">
        <v>18507.218088494847</v>
      </c>
      <c r="V11" s="371">
        <v>18967.949534808424</v>
      </c>
      <c r="W11" s="371">
        <v>19433.801419545805</v>
      </c>
      <c r="X11" s="371">
        <v>19904.773372705105</v>
      </c>
      <c r="Y11" s="371">
        <v>20380.865427854365</v>
      </c>
      <c r="Z11" s="371">
        <v>20862.078012329075</v>
      </c>
      <c r="AA11" s="371">
        <v>21348.41193783511</v>
      </c>
      <c r="AB11" s="371">
        <v>21839.868391435106</v>
      </c>
      <c r="AC11" s="371">
        <v>22336.448926899662</v>
      </c>
      <c r="AD11" s="371">
        <v>22838.155456402314</v>
      </c>
      <c r="AE11" s="371">
        <v>23344.990242542754</v>
      </c>
      <c r="AF11" s="371">
        <v>23856.955890679743</v>
      </c>
      <c r="AG11" s="371">
        <v>23856.955890679743</v>
      </c>
      <c r="AH11" s="371">
        <v>23856.955890679743</v>
      </c>
      <c r="AI11" s="371">
        <v>23856.955890679743</v>
      </c>
      <c r="AJ11" s="371">
        <v>23856.955890679743</v>
      </c>
    </row>
    <row r="12" spans="1:36" x14ac:dyDescent="0.2">
      <c r="A12" s="355" t="s">
        <v>303</v>
      </c>
      <c r="B12" s="369" t="b">
        <v>0</v>
      </c>
      <c r="C12" s="370">
        <v>50000</v>
      </c>
      <c r="D12" s="355" t="s">
        <v>23</v>
      </c>
      <c r="E12" s="372">
        <v>6139.5444083906887</v>
      </c>
      <c r="F12" s="372">
        <v>9581.6925477245477</v>
      </c>
      <c r="G12" s="372">
        <v>11287.967721420369</v>
      </c>
      <c r="H12" s="372">
        <v>13492.798459440604</v>
      </c>
      <c r="I12" s="372">
        <v>16058.535425697177</v>
      </c>
      <c r="J12" s="372">
        <v>17902.02788539667</v>
      </c>
      <c r="K12" s="372">
        <v>20061.063351777735</v>
      </c>
      <c r="L12" s="372">
        <v>23942.724086909875</v>
      </c>
      <c r="M12" s="372">
        <v>28627.060563267089</v>
      </c>
      <c r="N12" s="372">
        <v>32571.107026656391</v>
      </c>
      <c r="O12" s="372">
        <v>33460.769760223317</v>
      </c>
      <c r="P12" s="372">
        <v>34360.878558158154</v>
      </c>
      <c r="Q12" s="372">
        <v>35271.417024582428</v>
      </c>
      <c r="R12" s="372">
        <v>36192.369725124365</v>
      </c>
      <c r="S12" s="372">
        <v>37123.72215928942</v>
      </c>
      <c r="T12" s="372">
        <v>38065.460734078624</v>
      </c>
      <c r="U12" s="372">
        <v>39017.572738779767</v>
      </c>
      <c r="V12" s="372">
        <v>39980.046320868685</v>
      </c>
      <c r="W12" s="372">
        <v>40952.870462954408</v>
      </c>
      <c r="X12" s="372">
        <v>41936.034960713965</v>
      </c>
      <c r="Y12" s="372">
        <v>42929.530401759286</v>
      </c>
      <c r="Z12" s="372">
        <v>43933.348145388496</v>
      </c>
      <c r="AA12" s="372">
        <v>44947.480303172139</v>
      </c>
      <c r="AB12" s="372">
        <v>45971.919720330799</v>
      </c>
      <c r="AC12" s="372">
        <v>47006.659957863696</v>
      </c>
      <c r="AD12" s="372">
        <v>48051.695275387101</v>
      </c>
      <c r="AE12" s="372">
        <v>49107.020614649264</v>
      </c>
      <c r="AF12" s="372">
        <v>50172.631583684219</v>
      </c>
      <c r="AG12" s="372">
        <v>50172.631583684219</v>
      </c>
      <c r="AH12" s="372">
        <v>50172.631583684219</v>
      </c>
      <c r="AI12" s="372">
        <v>50172.631583684219</v>
      </c>
      <c r="AJ12" s="372">
        <v>50172.631583684219</v>
      </c>
    </row>
    <row r="13" spans="1:36" x14ac:dyDescent="0.2">
      <c r="A13" s="355" t="s">
        <v>304</v>
      </c>
      <c r="B13" s="369" t="b">
        <v>0</v>
      </c>
      <c r="C13" s="370">
        <v>300000</v>
      </c>
      <c r="D13" s="355" t="s">
        <v>23</v>
      </c>
      <c r="E13" s="372">
        <v>3121.1656651103758</v>
      </c>
      <c r="F13" s="372">
        <v>4470.4842492805747</v>
      </c>
      <c r="G13" s="372">
        <v>5178.0513588580334</v>
      </c>
      <c r="H13" s="372">
        <v>6101.7281383906566</v>
      </c>
      <c r="I13" s="372">
        <v>7142.8804834563125</v>
      </c>
      <c r="J13" s="372">
        <v>8077.9021474002438</v>
      </c>
      <c r="K13" s="372">
        <v>9122.1484808806454</v>
      </c>
      <c r="L13" s="372">
        <v>10884.532586869151</v>
      </c>
      <c r="M13" s="372">
        <v>13572.39123004511</v>
      </c>
      <c r="N13" s="372">
        <v>15425.591015457856</v>
      </c>
      <c r="O13" s="372">
        <v>15850.432864232253</v>
      </c>
      <c r="P13" s="372">
        <v>16280.409961466272</v>
      </c>
      <c r="Q13" s="372">
        <v>16715.51879833675</v>
      </c>
      <c r="R13" s="372">
        <v>17155.756351727399</v>
      </c>
      <c r="S13" s="372">
        <v>17601.120070839283</v>
      </c>
      <c r="T13" s="372">
        <v>18051.607864408623</v>
      </c>
      <c r="U13" s="372">
        <v>18507.218088494847</v>
      </c>
      <c r="V13" s="372">
        <v>18967.949534808424</v>
      </c>
      <c r="W13" s="372">
        <v>19433.801419545805</v>
      </c>
      <c r="X13" s="372">
        <v>19904.773372705105</v>
      </c>
      <c r="Y13" s="372">
        <v>20380.865427854365</v>
      </c>
      <c r="Z13" s="372">
        <v>20862.078012329075</v>
      </c>
      <c r="AA13" s="372">
        <v>21348.41193783511</v>
      </c>
      <c r="AB13" s="372">
        <v>21839.868391435106</v>
      </c>
      <c r="AC13" s="372">
        <v>22336.448926899662</v>
      </c>
      <c r="AD13" s="372">
        <v>22838.155456402314</v>
      </c>
      <c r="AE13" s="372">
        <v>23344.990242542754</v>
      </c>
      <c r="AF13" s="372">
        <v>23856.955890679743</v>
      </c>
      <c r="AG13" s="372">
        <v>23856.955890679743</v>
      </c>
      <c r="AH13" s="372">
        <v>23856.955890679743</v>
      </c>
      <c r="AI13" s="372">
        <v>23856.955890679743</v>
      </c>
      <c r="AJ13" s="372">
        <v>23856.955890679743</v>
      </c>
    </row>
    <row r="14" spans="1:36" x14ac:dyDescent="0.2">
      <c r="A14" s="355" t="s">
        <v>305</v>
      </c>
      <c r="B14" s="369" t="b">
        <v>0</v>
      </c>
      <c r="C14" s="370">
        <v>4000</v>
      </c>
      <c r="D14" s="355" t="s">
        <v>306</v>
      </c>
      <c r="E14" s="373">
        <v>3.8442032745140044E-3</v>
      </c>
      <c r="F14" s="373">
        <v>3.96174331561741E-3</v>
      </c>
      <c r="G14" s="373">
        <v>4.0807475656554045E-3</v>
      </c>
      <c r="H14" s="373">
        <v>4.2012082871441432E-3</v>
      </c>
      <c r="I14" s="373">
        <v>4.3231179180248545E-3</v>
      </c>
      <c r="J14" s="373">
        <v>4.4464690646958578E-3</v>
      </c>
      <c r="K14" s="373">
        <v>4.5712544954378412E-3</v>
      </c>
      <c r="L14" s="373">
        <v>4.6974671342037248E-3</v>
      </c>
      <c r="M14" s="373">
        <v>4.8251000547470729E-3</v>
      </c>
      <c r="N14" s="373">
        <v>4.9541464750651916E-3</v>
      </c>
      <c r="O14" s="373">
        <v>5.0845997521351688E-3</v>
      </c>
      <c r="P14" s="373">
        <v>5.2164533769229245E-3</v>
      </c>
      <c r="Q14" s="373">
        <v>5.349700969647004E-3</v>
      </c>
      <c r="R14" s="373">
        <v>5.4843362752803127E-3</v>
      </c>
      <c r="S14" s="373">
        <v>5.6203531592743522E-3</v>
      </c>
      <c r="T14" s="373">
        <v>5.7577456034918137E-3</v>
      </c>
      <c r="U14" s="373">
        <v>5.8965077023343353E-3</v>
      </c>
      <c r="V14" s="373">
        <v>6.036633659053413E-3</v>
      </c>
      <c r="W14" s="373">
        <v>6.17811778223319E-3</v>
      </c>
      <c r="X14" s="373">
        <v>6.3209544824348856E-3</v>
      </c>
      <c r="Y14" s="373">
        <v>6.4651382689932067E-3</v>
      </c>
      <c r="Z14" s="373">
        <v>6.6106637469558428E-3</v>
      </c>
      <c r="AA14" s="373">
        <v>6.7575256141578664E-3</v>
      </c>
      <c r="AB14" s="373">
        <v>6.7575256141578664E-3</v>
      </c>
      <c r="AC14" s="373">
        <v>6.7575256141578664E-3</v>
      </c>
      <c r="AD14" s="373">
        <v>6.7575256141578664E-3</v>
      </c>
      <c r="AE14" s="373">
        <v>6.7575256141578664E-3</v>
      </c>
      <c r="AF14" s="373">
        <v>6.7575256141578664E-3</v>
      </c>
      <c r="AG14" s="373">
        <v>6.7575256141578664E-3</v>
      </c>
      <c r="AH14" s="373">
        <v>6.7575256141578664E-3</v>
      </c>
      <c r="AI14" s="373">
        <v>6.7575256141578664E-3</v>
      </c>
      <c r="AJ14" s="373">
        <v>6.7575256141578664E-3</v>
      </c>
    </row>
    <row r="15" spans="1:36" x14ac:dyDescent="0.2">
      <c r="A15" s="355" t="s">
        <v>307</v>
      </c>
      <c r="B15" s="369" t="b">
        <v>0</v>
      </c>
      <c r="C15" s="370">
        <v>650</v>
      </c>
      <c r="D15" s="355" t="s">
        <v>308</v>
      </c>
      <c r="E15" s="373">
        <v>1.5376813098056018E-2</v>
      </c>
      <c r="F15" s="373">
        <v>1.584697326246964E-2</v>
      </c>
      <c r="G15" s="373">
        <v>1.6322990262621618E-2</v>
      </c>
      <c r="H15" s="373">
        <v>1.6804833148576573E-2</v>
      </c>
      <c r="I15" s="373">
        <v>1.7292471672099418E-2</v>
      </c>
      <c r="J15" s="373">
        <v>1.7785876258783431E-2</v>
      </c>
      <c r="K15" s="373">
        <v>1.8285017981751365E-2</v>
      </c>
      <c r="L15" s="373">
        <v>1.8789868536814899E-2</v>
      </c>
      <c r="M15" s="373">
        <v>1.9300400218988292E-2</v>
      </c>
      <c r="N15" s="373">
        <v>1.9816585900260766E-2</v>
      </c>
      <c r="O15" s="373">
        <v>2.0338399008540675E-2</v>
      </c>
      <c r="P15" s="373">
        <v>2.0865813507691698E-2</v>
      </c>
      <c r="Q15" s="373">
        <v>2.1398803878588016E-2</v>
      </c>
      <c r="R15" s="373">
        <v>2.1937345101121251E-2</v>
      </c>
      <c r="S15" s="373">
        <v>2.2481412637097409E-2</v>
      </c>
      <c r="T15" s="373">
        <v>2.3030982413967255E-2</v>
      </c>
      <c r="U15" s="373">
        <v>2.3586030809337341E-2</v>
      </c>
      <c r="V15" s="373">
        <v>2.4146534636213652E-2</v>
      </c>
      <c r="W15" s="373">
        <v>2.471247112893276E-2</v>
      </c>
      <c r="X15" s="373">
        <v>2.5283817929739542E-2</v>
      </c>
      <c r="Y15" s="373">
        <v>2.5860553075972827E-2</v>
      </c>
      <c r="Z15" s="373">
        <v>2.6442654987823371E-2</v>
      </c>
      <c r="AA15" s="373">
        <v>2.7030102456631466E-2</v>
      </c>
      <c r="AB15" s="373">
        <v>2.7030102456631466E-2</v>
      </c>
      <c r="AC15" s="373">
        <v>2.7030102456631466E-2</v>
      </c>
      <c r="AD15" s="373">
        <v>2.7030102456631466E-2</v>
      </c>
      <c r="AE15" s="373">
        <v>2.7030102456631466E-2</v>
      </c>
      <c r="AF15" s="373">
        <v>2.7030102456631466E-2</v>
      </c>
      <c r="AG15" s="373">
        <v>2.7030102456631466E-2</v>
      </c>
      <c r="AH15" s="373">
        <v>2.7030102456631466E-2</v>
      </c>
      <c r="AI15" s="373">
        <v>2.7030102456631466E-2</v>
      </c>
      <c r="AJ15" s="373">
        <v>2.7030102456631466E-2</v>
      </c>
    </row>
    <row r="16" spans="1:36" x14ac:dyDescent="0.2">
      <c r="A16" s="355" t="s">
        <v>309</v>
      </c>
      <c r="B16" s="374" t="b">
        <v>0</v>
      </c>
      <c r="C16" s="370">
        <v>300000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</row>
    <row r="17" spans="1:36" x14ac:dyDescent="0.2">
      <c r="A17" s="355" t="s">
        <v>310</v>
      </c>
      <c r="B17" s="374" t="b">
        <v>0</v>
      </c>
      <c r="C17" s="370">
        <v>500000</v>
      </c>
      <c r="D17" s="355" t="s">
        <v>275</v>
      </c>
      <c r="E17" s="375">
        <v>210623.51352235742</v>
      </c>
      <c r="F17" s="375">
        <v>314043.21136713168</v>
      </c>
      <c r="G17" s="375">
        <v>366725.75098075159</v>
      </c>
      <c r="H17" s="375">
        <v>435144.50831974798</v>
      </c>
      <c r="I17" s="375">
        <v>513527.99836728716</v>
      </c>
      <c r="J17" s="375">
        <v>576691.99111727823</v>
      </c>
      <c r="K17" s="375">
        <v>648806.76663502806</v>
      </c>
      <c r="L17" s="375">
        <v>774247.69285915373</v>
      </c>
      <c r="M17" s="375">
        <v>946170.44471382222</v>
      </c>
      <c r="N17" s="375">
        <v>1075915.5410448825</v>
      </c>
      <c r="O17" s="375">
        <v>1105431.7594349778</v>
      </c>
      <c r="P17" s="375">
        <v>1135299.9251205649</v>
      </c>
      <c r="Q17" s="375">
        <v>1165519.6523406701</v>
      </c>
      <c r="R17" s="375">
        <v>1196090.5882064877</v>
      </c>
      <c r="S17" s="375">
        <v>1227012.4117775587</v>
      </c>
      <c r="T17" s="375">
        <v>1258284.8331797705</v>
      </c>
      <c r="U17" s="375">
        <v>1289907.5927626358</v>
      </c>
      <c r="V17" s="375">
        <v>1321880.4602937605</v>
      </c>
      <c r="W17" s="375">
        <v>1354203.2341882547</v>
      </c>
      <c r="X17" s="375">
        <v>1386875.7407712797</v>
      </c>
      <c r="Y17" s="375">
        <v>1419897.8335717919</v>
      </c>
      <c r="Z17" s="375">
        <v>1453269.3926458787</v>
      </c>
      <c r="AA17" s="375">
        <v>1486990.3239280463</v>
      </c>
      <c r="AB17" s="375">
        <v>1521060.5586089601</v>
      </c>
      <c r="AC17" s="375">
        <v>1555480.0525383314</v>
      </c>
      <c r="AD17" s="375">
        <v>1590248.7856515269</v>
      </c>
      <c r="AE17" s="375">
        <v>1625366.7614188164</v>
      </c>
      <c r="AF17" s="375">
        <v>1660834.0063159808</v>
      </c>
      <c r="AG17" s="375">
        <v>1660834.0063159808</v>
      </c>
      <c r="AH17" s="375">
        <v>1660834.0063159808</v>
      </c>
      <c r="AI17" s="375">
        <v>1660834.0063159808</v>
      </c>
      <c r="AJ17" s="375">
        <v>1660834.0063159808</v>
      </c>
    </row>
    <row r="18" spans="1:36" x14ac:dyDescent="0.2">
      <c r="A18" s="355" t="s">
        <v>311</v>
      </c>
      <c r="B18" s="369" t="b">
        <v>0</v>
      </c>
      <c r="C18" s="370">
        <v>5575078.5999999996</v>
      </c>
      <c r="D18" s="355" t="s">
        <v>276</v>
      </c>
      <c r="E18" s="375">
        <v>682.2623577464899</v>
      </c>
      <c r="F18" s="375">
        <v>703.12315512015812</v>
      </c>
      <c r="G18" s="375">
        <v>724.24381769048989</v>
      </c>
      <c r="H18" s="375">
        <v>745.62297222261861</v>
      </c>
      <c r="I18" s="375">
        <v>767.25927661580749</v>
      </c>
      <c r="J18" s="375">
        <v>789.15141866678459</v>
      </c>
      <c r="K18" s="375">
        <v>811.29811490287261</v>
      </c>
      <c r="L18" s="375">
        <v>833.69810947982546</v>
      </c>
      <c r="M18" s="375">
        <v>856.35017313974834</v>
      </c>
      <c r="N18" s="375">
        <v>879.25310222486928</v>
      </c>
      <c r="O18" s="375">
        <v>902.4057177433009</v>
      </c>
      <c r="P18" s="375">
        <v>925.80686448325537</v>
      </c>
      <c r="Q18" s="375">
        <v>949.45541017247035</v>
      </c>
      <c r="R18" s="375">
        <v>973.35024467986591</v>
      </c>
      <c r="S18" s="375">
        <v>997.49027925668895</v>
      </c>
      <c r="T18" s="375">
        <v>1021.8744458146368</v>
      </c>
      <c r="U18" s="375">
        <v>1046.5016962386194</v>
      </c>
      <c r="V18" s="375">
        <v>1071.3710017320254</v>
      </c>
      <c r="W18" s="375">
        <v>1096.4813521924946</v>
      </c>
      <c r="X18" s="375">
        <v>1121.8317556163763</v>
      </c>
      <c r="Y18" s="375">
        <v>1147.4212375301631</v>
      </c>
      <c r="Z18" s="375">
        <v>1173.2488404473179</v>
      </c>
      <c r="AA18" s="375">
        <v>1199.313623349042</v>
      </c>
      <c r="AB18" s="375">
        <v>1199.313623349042</v>
      </c>
      <c r="AC18" s="375">
        <v>1199.313623349042</v>
      </c>
      <c r="AD18" s="375">
        <v>1199.313623349042</v>
      </c>
      <c r="AE18" s="375">
        <v>1199.313623349042</v>
      </c>
      <c r="AF18" s="375">
        <v>1199.313623349042</v>
      </c>
      <c r="AG18" s="375">
        <v>1199.313623349042</v>
      </c>
      <c r="AH18" s="375">
        <v>1199.313623349042</v>
      </c>
      <c r="AI18" s="375">
        <v>1199.313623349042</v>
      </c>
      <c r="AJ18" s="375">
        <v>1199.313623349042</v>
      </c>
    </row>
    <row r="19" spans="1:36" x14ac:dyDescent="0.2">
      <c r="A19" s="355" t="s">
        <v>312</v>
      </c>
      <c r="B19" s="369" t="b">
        <v>0</v>
      </c>
      <c r="C19" s="370">
        <v>0</v>
      </c>
      <c r="D19" s="355" t="s">
        <v>277</v>
      </c>
      <c r="E19" s="375">
        <v>25718.082491751538</v>
      </c>
      <c r="F19" s="375">
        <v>26504.43645311</v>
      </c>
      <c r="G19" s="375">
        <v>27300.586110345044</v>
      </c>
      <c r="H19" s="375">
        <v>28106.47969895996</v>
      </c>
      <c r="I19" s="375">
        <v>28922.066628068304</v>
      </c>
      <c r="J19" s="375">
        <v>29747.297433777469</v>
      </c>
      <c r="K19" s="375">
        <v>30582.123735203164</v>
      </c>
      <c r="L19" s="375">
        <v>31426.498192923013</v>
      </c>
      <c r="M19" s="375">
        <v>32280.374469695078</v>
      </c>
      <c r="N19" s="375">
        <v>33143.707193281654</v>
      </c>
      <c r="O19" s="375">
        <v>34016.451921232896</v>
      </c>
      <c r="P19" s="375">
        <v>34898.56510749687</v>
      </c>
      <c r="Q19" s="375">
        <v>35790.004070733907</v>
      </c>
      <c r="R19" s="375">
        <v>36690.726964222769</v>
      </c>
      <c r="S19" s="375">
        <v>37600.692747255394</v>
      </c>
      <c r="T19" s="375">
        <v>38519.861157925552</v>
      </c>
      <c r="U19" s="375">
        <v>39448.192687223185</v>
      </c>
      <c r="V19" s="375">
        <v>40385.648554354048</v>
      </c>
      <c r="W19" s="375">
        <v>41332.190683209257</v>
      </c>
      <c r="X19" s="375">
        <v>42287.781679916166</v>
      </c>
      <c r="Y19" s="375">
        <v>43252.384811406082</v>
      </c>
      <c r="Z19" s="375">
        <v>44225.963984939197</v>
      </c>
      <c r="AA19" s="375">
        <v>45208.483728532046</v>
      </c>
      <c r="AB19" s="375">
        <v>45208.483728532046</v>
      </c>
      <c r="AC19" s="375">
        <v>45208.483728532046</v>
      </c>
      <c r="AD19" s="375">
        <v>45208.483728532046</v>
      </c>
      <c r="AE19" s="375">
        <v>45208.483728532046</v>
      </c>
      <c r="AF19" s="375">
        <v>45208.483728532046</v>
      </c>
      <c r="AG19" s="375">
        <v>45208.483728532046</v>
      </c>
      <c r="AH19" s="375">
        <v>45208.483728532046</v>
      </c>
      <c r="AI19" s="375">
        <v>45208.483728532046</v>
      </c>
      <c r="AJ19" s="375">
        <v>45208.483728532046</v>
      </c>
    </row>
    <row r="20" spans="1:36" x14ac:dyDescent="0.2">
      <c r="A20" s="355" t="s">
        <v>313</v>
      </c>
      <c r="B20" s="369" t="b">
        <v>0</v>
      </c>
      <c r="C20" s="370">
        <v>0</v>
      </c>
      <c r="D20" s="355" t="s">
        <v>278</v>
      </c>
      <c r="E20" s="375">
        <v>2566.3901060655494</v>
      </c>
      <c r="F20" s="375">
        <v>2644.8598375061829</v>
      </c>
      <c r="G20" s="375">
        <v>2724.3070748315481</v>
      </c>
      <c r="H20" s="375">
        <v>2804.7266524974302</v>
      </c>
      <c r="I20" s="375">
        <v>2886.1135220733927</v>
      </c>
      <c r="J20" s="375">
        <v>2968.4627475909547</v>
      </c>
      <c r="K20" s="375">
        <v>3051.7695011543028</v>
      </c>
      <c r="L20" s="375">
        <v>3136.0290587944069</v>
      </c>
      <c r="M20" s="375">
        <v>3221.2367965491458</v>
      </c>
      <c r="N20" s="375">
        <v>3307.3881867535219</v>
      </c>
      <c r="O20" s="375">
        <v>3394.4787945254388</v>
      </c>
      <c r="P20" s="375">
        <v>3482.5042744337443</v>
      </c>
      <c r="Q20" s="375">
        <v>3571.4603673363399</v>
      </c>
      <c r="R20" s="375">
        <v>3661.3428973771365</v>
      </c>
      <c r="S20" s="375">
        <v>3752.1477691315577</v>
      </c>
      <c r="T20" s="375">
        <v>3843.8709648911349</v>
      </c>
      <c r="U20" s="375">
        <v>3936.5085420784021</v>
      </c>
      <c r="V20" s="375">
        <v>4030.0566307840586</v>
      </c>
      <c r="W20" s="375">
        <v>4124.5114314188777</v>
      </c>
      <c r="X20" s="375">
        <v>4219.8692124735298</v>
      </c>
      <c r="Y20" s="375">
        <v>4316.1263083798649</v>
      </c>
      <c r="Z20" s="375">
        <v>4413.2791174677204</v>
      </c>
      <c r="AA20" s="375">
        <v>4511.3241000117914</v>
      </c>
      <c r="AB20" s="375">
        <v>4511.3241000117914</v>
      </c>
      <c r="AC20" s="375">
        <v>4511.3241000117914</v>
      </c>
      <c r="AD20" s="375">
        <v>4511.3241000117914</v>
      </c>
      <c r="AE20" s="375">
        <v>4511.3241000117914</v>
      </c>
      <c r="AF20" s="375">
        <v>4511.3241000117914</v>
      </c>
      <c r="AG20" s="375">
        <v>4511.3241000117914</v>
      </c>
      <c r="AH20" s="375">
        <v>4511.3241000117914</v>
      </c>
      <c r="AI20" s="375">
        <v>4511.3241000117914</v>
      </c>
      <c r="AJ20" s="375">
        <v>4511.3241000117914</v>
      </c>
    </row>
    <row r="21" spans="1:36" x14ac:dyDescent="0.2">
      <c r="A21" s="355" t="s">
        <v>314</v>
      </c>
      <c r="B21" s="369" t="b">
        <v>0</v>
      </c>
      <c r="C21" s="370" t="s">
        <v>136</v>
      </c>
      <c r="D21" s="355" t="s">
        <v>279</v>
      </c>
      <c r="E21" s="376">
        <v>4288.75</v>
      </c>
      <c r="F21" s="376">
        <v>4288.75</v>
      </c>
      <c r="G21" s="376">
        <v>4288.75</v>
      </c>
      <c r="H21" s="376">
        <v>4288.75</v>
      </c>
      <c r="I21" s="376">
        <v>4288.75</v>
      </c>
      <c r="J21" s="376">
        <v>4288.75</v>
      </c>
      <c r="K21" s="376">
        <v>4288.75</v>
      </c>
      <c r="L21" s="376">
        <v>4288.75</v>
      </c>
      <c r="M21" s="376">
        <v>4288.75</v>
      </c>
      <c r="N21" s="376">
        <v>4288.75</v>
      </c>
      <c r="O21" s="376">
        <v>4288.75</v>
      </c>
      <c r="P21" s="376">
        <v>4288.75</v>
      </c>
      <c r="Q21" s="376">
        <v>4288.75</v>
      </c>
      <c r="R21" s="376">
        <v>4288.75</v>
      </c>
      <c r="S21" s="376">
        <v>4288.75</v>
      </c>
      <c r="T21" s="376">
        <v>4288.75</v>
      </c>
      <c r="U21" s="376">
        <v>4288.75</v>
      </c>
      <c r="V21" s="376">
        <v>4288.75</v>
      </c>
      <c r="W21" s="376">
        <v>4288.75</v>
      </c>
      <c r="X21" s="376">
        <v>4288.75</v>
      </c>
      <c r="Y21" s="376">
        <v>4288.75</v>
      </c>
      <c r="Z21" s="376">
        <v>4288.75</v>
      </c>
      <c r="AA21" s="376">
        <v>4288.75</v>
      </c>
      <c r="AB21" s="376">
        <v>4288.75</v>
      </c>
      <c r="AC21" s="376">
        <v>4288.75</v>
      </c>
      <c r="AD21" s="376">
        <v>4288.75</v>
      </c>
      <c r="AE21" s="376">
        <v>4288.75</v>
      </c>
      <c r="AF21" s="376">
        <v>4288.75</v>
      </c>
      <c r="AG21" s="376">
        <v>4288.75</v>
      </c>
      <c r="AH21" s="376">
        <v>4288.75</v>
      </c>
      <c r="AI21" s="376">
        <v>4288.75</v>
      </c>
      <c r="AJ21" s="376">
        <v>4288.75</v>
      </c>
    </row>
    <row r="22" spans="1:36" x14ac:dyDescent="0.2">
      <c r="A22" s="355" t="s">
        <v>315</v>
      </c>
      <c r="B22" s="369" t="b">
        <v>1</v>
      </c>
      <c r="C22" s="370">
        <v>0</v>
      </c>
      <c r="D22" s="355" t="s">
        <v>316</v>
      </c>
      <c r="E22" s="377">
        <v>0</v>
      </c>
      <c r="F22" s="377">
        <v>0</v>
      </c>
      <c r="G22" s="377">
        <v>0</v>
      </c>
      <c r="H22" s="377">
        <v>0</v>
      </c>
      <c r="I22" s="377">
        <v>0</v>
      </c>
      <c r="J22" s="377">
        <v>0</v>
      </c>
      <c r="K22" s="377">
        <v>0</v>
      </c>
      <c r="L22" s="377">
        <v>0</v>
      </c>
      <c r="M22" s="377">
        <v>0</v>
      </c>
      <c r="N22" s="377">
        <v>0</v>
      </c>
      <c r="O22" s="377">
        <v>0</v>
      </c>
      <c r="P22" s="377">
        <v>0</v>
      </c>
      <c r="Q22" s="377">
        <v>0</v>
      </c>
      <c r="R22" s="377">
        <v>0</v>
      </c>
      <c r="S22" s="377">
        <v>0</v>
      </c>
      <c r="T22" s="377">
        <v>0</v>
      </c>
      <c r="U22" s="377">
        <v>0</v>
      </c>
      <c r="V22" s="377">
        <v>0</v>
      </c>
      <c r="W22" s="377">
        <v>0</v>
      </c>
      <c r="X22" s="377">
        <v>0</v>
      </c>
      <c r="Y22" s="377">
        <v>0</v>
      </c>
      <c r="Z22" s="377">
        <v>0</v>
      </c>
      <c r="AA22" s="377">
        <v>0</v>
      </c>
      <c r="AB22" s="377">
        <v>0</v>
      </c>
      <c r="AC22" s="377">
        <v>0</v>
      </c>
      <c r="AD22" s="377">
        <v>0</v>
      </c>
      <c r="AE22" s="377">
        <v>0</v>
      </c>
      <c r="AF22" s="377">
        <v>0</v>
      </c>
      <c r="AG22" s="377">
        <v>0</v>
      </c>
      <c r="AH22" s="377">
        <v>0</v>
      </c>
      <c r="AI22" s="377">
        <v>0</v>
      </c>
      <c r="AJ22" s="377">
        <v>0</v>
      </c>
    </row>
    <row r="23" spans="1:36" x14ac:dyDescent="0.2">
      <c r="A23" s="355" t="s">
        <v>317</v>
      </c>
      <c r="B23" s="374">
        <v>0</v>
      </c>
      <c r="C23" s="370">
        <v>0</v>
      </c>
      <c r="D23" s="355" t="s">
        <v>18</v>
      </c>
      <c r="E23" s="376">
        <v>50000</v>
      </c>
      <c r="F23" s="376">
        <v>50000</v>
      </c>
      <c r="G23" s="376">
        <v>50000</v>
      </c>
      <c r="H23" s="376">
        <v>50000</v>
      </c>
      <c r="I23" s="376">
        <v>50000</v>
      </c>
      <c r="J23" s="376">
        <v>50000</v>
      </c>
      <c r="K23" s="376">
        <v>50000</v>
      </c>
      <c r="L23" s="376">
        <v>50000</v>
      </c>
      <c r="M23" s="376">
        <v>50000</v>
      </c>
      <c r="N23" s="376">
        <v>50000</v>
      </c>
      <c r="O23" s="376">
        <v>50000</v>
      </c>
      <c r="P23" s="376">
        <v>50000</v>
      </c>
      <c r="Q23" s="376">
        <v>50000</v>
      </c>
      <c r="R23" s="376">
        <v>50000</v>
      </c>
      <c r="S23" s="376">
        <v>50000</v>
      </c>
      <c r="T23" s="376">
        <v>50000</v>
      </c>
      <c r="U23" s="376">
        <v>50000</v>
      </c>
      <c r="V23" s="376">
        <v>50000</v>
      </c>
      <c r="W23" s="376">
        <v>50000</v>
      </c>
      <c r="X23" s="376">
        <v>50000</v>
      </c>
      <c r="Y23" s="376">
        <v>50000</v>
      </c>
      <c r="Z23" s="376">
        <v>50000</v>
      </c>
      <c r="AA23" s="376">
        <v>50000</v>
      </c>
      <c r="AB23" s="376">
        <v>50000</v>
      </c>
      <c r="AC23" s="376">
        <v>50000</v>
      </c>
      <c r="AD23" s="376">
        <v>50000</v>
      </c>
      <c r="AE23" s="376">
        <v>50000</v>
      </c>
      <c r="AF23" s="376">
        <v>50000</v>
      </c>
      <c r="AG23" s="376">
        <v>50000</v>
      </c>
      <c r="AH23" s="376">
        <v>50000</v>
      </c>
      <c r="AI23" s="376">
        <v>50000</v>
      </c>
      <c r="AJ23" s="376">
        <v>50000</v>
      </c>
    </row>
    <row r="24" spans="1:36" x14ac:dyDescent="0.2">
      <c r="A24" s="378"/>
      <c r="B24" s="378"/>
      <c r="C24" s="370">
        <v>0</v>
      </c>
      <c r="D24" s="379" t="s">
        <v>318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0">
        <v>0</v>
      </c>
      <c r="Q24" s="380">
        <v>0</v>
      </c>
      <c r="R24" s="380">
        <v>0</v>
      </c>
      <c r="S24" s="380">
        <v>0</v>
      </c>
      <c r="T24" s="380">
        <v>0</v>
      </c>
      <c r="U24" s="380">
        <v>0</v>
      </c>
      <c r="V24" s="380">
        <v>0</v>
      </c>
      <c r="W24" s="380">
        <v>0</v>
      </c>
      <c r="X24" s="380">
        <v>0</v>
      </c>
      <c r="Y24" s="380">
        <v>0</v>
      </c>
      <c r="Z24" s="380">
        <v>0</v>
      </c>
      <c r="AA24" s="380">
        <v>0</v>
      </c>
      <c r="AB24" s="380">
        <v>0</v>
      </c>
      <c r="AC24" s="380">
        <v>0</v>
      </c>
      <c r="AD24" s="380">
        <v>0</v>
      </c>
      <c r="AE24" s="380">
        <v>0</v>
      </c>
      <c r="AF24" s="380">
        <v>0</v>
      </c>
      <c r="AG24" s="380">
        <v>0</v>
      </c>
      <c r="AH24" s="380">
        <v>0</v>
      </c>
      <c r="AI24" s="380">
        <v>0</v>
      </c>
      <c r="AJ24" s="380">
        <v>0</v>
      </c>
    </row>
    <row r="25" spans="1:36" x14ac:dyDescent="0.2">
      <c r="A25" s="381"/>
      <c r="B25" s="381"/>
      <c r="C25" s="381"/>
      <c r="D25" s="382" t="s">
        <v>319</v>
      </c>
      <c r="E25" s="383">
        <v>293878.99847792101</v>
      </c>
      <c r="F25" s="383">
        <v>398184.38081286807</v>
      </c>
      <c r="G25" s="383">
        <v>451763.63798361865</v>
      </c>
      <c r="H25" s="383">
        <v>521090.08764342801</v>
      </c>
      <c r="I25" s="383">
        <v>600392.18779404461</v>
      </c>
      <c r="J25" s="383">
        <v>664485.6527173135</v>
      </c>
      <c r="K25" s="383">
        <v>737540.70798628847</v>
      </c>
      <c r="L25" s="383">
        <v>863932.66822035098</v>
      </c>
      <c r="M25" s="383">
        <v>1036817.1561532061</v>
      </c>
      <c r="N25" s="383">
        <v>1167534.6395271425</v>
      </c>
      <c r="O25" s="383">
        <v>1198033.8458684795</v>
      </c>
      <c r="P25" s="383">
        <v>1228895.5513669788</v>
      </c>
      <c r="Q25" s="383">
        <v>1260119.3221889129</v>
      </c>
      <c r="R25" s="383">
        <v>1291704.7583127676</v>
      </c>
      <c r="S25" s="383">
        <v>1323651.4925732021</v>
      </c>
      <c r="T25" s="383">
        <v>1355959.1897484018</v>
      </c>
      <c r="U25" s="383">
        <v>1388627.5456881758</v>
      </c>
      <c r="V25" s="383">
        <v>1421656.2864806305</v>
      </c>
      <c r="W25" s="383">
        <v>1455045.1676550754</v>
      </c>
      <c r="X25" s="383">
        <v>1488793.9734192858</v>
      </c>
      <c r="Y25" s="383">
        <v>1522902.515929108</v>
      </c>
      <c r="Z25" s="383">
        <v>1557370.6345887331</v>
      </c>
      <c r="AA25" s="383">
        <v>1592198.1953799389</v>
      </c>
      <c r="AB25" s="383">
        <v>1626268.4300608528</v>
      </c>
      <c r="AC25" s="383">
        <v>1660687.923990224</v>
      </c>
      <c r="AD25" s="383">
        <v>1695456.6571034195</v>
      </c>
      <c r="AE25" s="383">
        <v>1730574.6328707091</v>
      </c>
      <c r="AF25" s="383">
        <v>1766041.8777678735</v>
      </c>
      <c r="AG25" s="383">
        <v>1766041.8777678735</v>
      </c>
      <c r="AH25" s="383">
        <v>1766041.8777678735</v>
      </c>
      <c r="AI25" s="383">
        <v>1766041.8777678735</v>
      </c>
      <c r="AJ25" s="383">
        <v>1766041.8777678735</v>
      </c>
    </row>
    <row r="27" spans="1:36" x14ac:dyDescent="0.2">
      <c r="A27" s="351" t="s">
        <v>281</v>
      </c>
      <c r="B27" s="351"/>
      <c r="C27" s="352" t="s">
        <v>282</v>
      </c>
      <c r="D27" s="352"/>
      <c r="F27" s="384" t="s">
        <v>283</v>
      </c>
      <c r="G27" s="385" t="s">
        <v>284</v>
      </c>
      <c r="H27" s="386" t="s">
        <v>285</v>
      </c>
      <c r="I27" s="386" t="s">
        <v>286</v>
      </c>
    </row>
    <row r="28" spans="1:36" x14ac:dyDescent="0.2">
      <c r="A28" s="355" t="s">
        <v>287</v>
      </c>
      <c r="B28" s="356" t="s">
        <v>332</v>
      </c>
      <c r="C28" s="357" t="s">
        <v>288</v>
      </c>
      <c r="D28" s="358"/>
      <c r="F28" s="387" t="s">
        <v>289</v>
      </c>
      <c r="G28" s="388">
        <v>1.4085126762844388E-3</v>
      </c>
      <c r="H28" s="385">
        <v>1</v>
      </c>
      <c r="I28" s="389"/>
    </row>
    <row r="29" spans="1:36" x14ac:dyDescent="0.2">
      <c r="A29" s="355" t="s">
        <v>290</v>
      </c>
      <c r="B29" s="356" t="s">
        <v>291</v>
      </c>
      <c r="C29" s="357" t="s">
        <v>292</v>
      </c>
      <c r="D29" s="358"/>
      <c r="F29" s="387" t="s">
        <v>293</v>
      </c>
      <c r="G29" s="388">
        <v>1.4085126762844388E-3</v>
      </c>
      <c r="H29" s="385">
        <v>1</v>
      </c>
      <c r="I29" s="389"/>
    </row>
    <row r="30" spans="1:36" x14ac:dyDescent="0.2">
      <c r="A30" s="361" t="s">
        <v>8</v>
      </c>
      <c r="B30" s="362">
        <v>52.307000000000002</v>
      </c>
      <c r="C30" s="361" t="s">
        <v>294</v>
      </c>
      <c r="D30" s="363">
        <v>6690094.3199999994</v>
      </c>
      <c r="F30" s="387" t="s">
        <v>295</v>
      </c>
      <c r="G30" s="388">
        <v>1.027177921945127E-3</v>
      </c>
      <c r="H30" s="385">
        <v>1</v>
      </c>
      <c r="I30" s="389"/>
    </row>
    <row r="31" spans="1:36" x14ac:dyDescent="0.2">
      <c r="A31" s="361" t="s">
        <v>296</v>
      </c>
      <c r="B31" s="364">
        <v>0.5</v>
      </c>
      <c r="C31" s="361" t="s">
        <v>297</v>
      </c>
      <c r="D31" s="363">
        <v>166900</v>
      </c>
      <c r="F31" s="387" t="s">
        <v>298</v>
      </c>
      <c r="G31" s="390">
        <v>0</v>
      </c>
      <c r="H31" s="385">
        <v>1</v>
      </c>
      <c r="I31" s="389"/>
    </row>
    <row r="32" spans="1:36" x14ac:dyDescent="0.2">
      <c r="A32" s="391" t="s">
        <v>334</v>
      </c>
      <c r="B32" s="392" t="s">
        <v>299</v>
      </c>
      <c r="C32" s="393" t="s">
        <v>300</v>
      </c>
      <c r="D32" s="394" t="s">
        <v>301</v>
      </c>
      <c r="E32" s="393">
        <v>2025</v>
      </c>
      <c r="F32" s="393">
        <v>2026</v>
      </c>
      <c r="G32" s="393">
        <v>2027</v>
      </c>
      <c r="H32" s="393">
        <v>2028</v>
      </c>
      <c r="I32" s="393">
        <v>2029</v>
      </c>
      <c r="J32" s="393">
        <v>2030</v>
      </c>
      <c r="K32" s="393">
        <v>2031</v>
      </c>
      <c r="L32" s="393">
        <v>2032</v>
      </c>
      <c r="M32" s="393">
        <v>2033</v>
      </c>
      <c r="N32" s="393">
        <v>2034</v>
      </c>
      <c r="O32" s="393">
        <v>2035</v>
      </c>
      <c r="P32" s="393">
        <v>2036</v>
      </c>
      <c r="Q32" s="393">
        <v>2037</v>
      </c>
      <c r="R32" s="393">
        <v>2038</v>
      </c>
      <c r="S32" s="393">
        <v>2039</v>
      </c>
      <c r="T32" s="393">
        <v>2040</v>
      </c>
      <c r="U32" s="393">
        <v>2041</v>
      </c>
      <c r="V32" s="393">
        <v>2042</v>
      </c>
      <c r="W32" s="393">
        <v>2043</v>
      </c>
      <c r="X32" s="393">
        <v>2044</v>
      </c>
      <c r="Y32" s="393">
        <v>2045</v>
      </c>
      <c r="Z32" s="393">
        <v>2046</v>
      </c>
      <c r="AA32" s="393">
        <v>2047</v>
      </c>
      <c r="AB32" s="395">
        <v>2048</v>
      </c>
      <c r="AC32" s="395">
        <v>2049</v>
      </c>
      <c r="AD32" s="395">
        <v>2050</v>
      </c>
      <c r="AE32" s="395">
        <v>2051</v>
      </c>
      <c r="AF32" s="395">
        <v>2052</v>
      </c>
      <c r="AG32" s="395">
        <v>2053</v>
      </c>
      <c r="AH32" s="395">
        <v>2054</v>
      </c>
      <c r="AI32" s="395">
        <v>2055</v>
      </c>
      <c r="AJ32" s="395">
        <v>2056</v>
      </c>
    </row>
    <row r="33" spans="1:36" x14ac:dyDescent="0.2">
      <c r="A33" s="396" t="s">
        <v>302</v>
      </c>
      <c r="B33" s="397" t="b">
        <v>0</v>
      </c>
      <c r="C33" s="398">
        <v>0</v>
      </c>
      <c r="D33" s="396" t="s">
        <v>23</v>
      </c>
      <c r="E33" s="399">
        <v>3100.1605693470219</v>
      </c>
      <c r="F33" s="399">
        <v>4449.1613088009908</v>
      </c>
      <c r="G33" s="399">
        <v>5156.4107996448156</v>
      </c>
      <c r="H33" s="399">
        <v>6079.770132614969</v>
      </c>
      <c r="I33" s="399">
        <v>7120.6051516662474</v>
      </c>
      <c r="J33" s="399">
        <v>8055.3095605638873</v>
      </c>
      <c r="K33" s="399">
        <v>822.39990794966297</v>
      </c>
      <c r="L33" s="399">
        <v>1440.6918228496638</v>
      </c>
      <c r="M33" s="399">
        <v>2245.0571435569577</v>
      </c>
      <c r="N33" s="399">
        <v>2981.0864367689751</v>
      </c>
      <c r="O33" s="399">
        <v>3444.76587416345</v>
      </c>
      <c r="P33" s="399">
        <v>3888.7405648773929</v>
      </c>
      <c r="Q33" s="399">
        <v>4319.5510510355698</v>
      </c>
      <c r="R33" s="399">
        <v>4741.4245717208496</v>
      </c>
      <c r="S33" s="399">
        <v>5157.2680966537</v>
      </c>
      <c r="T33" s="399">
        <v>5569.1738940562072</v>
      </c>
      <c r="U33" s="399">
        <v>5978.7014131309115</v>
      </c>
      <c r="V33" s="399">
        <v>6387.0455804068297</v>
      </c>
      <c r="W33" s="399">
        <v>6795.142806892527</v>
      </c>
      <c r="X33" s="399">
        <v>7203.7407022710513</v>
      </c>
      <c r="Y33" s="399">
        <v>7613.4455784255315</v>
      </c>
      <c r="Z33" s="399">
        <v>8024.7557962517658</v>
      </c>
      <c r="AA33" s="399">
        <v>8438.0857747024111</v>
      </c>
      <c r="AB33" s="399">
        <v>8853.7836576324826</v>
      </c>
      <c r="AC33" s="399">
        <v>9272.1445625656361</v>
      </c>
      <c r="AD33" s="399">
        <v>9693.4206829124287</v>
      </c>
      <c r="AE33" s="399">
        <v>10117.829105110817</v>
      </c>
      <c r="AF33" s="399">
        <v>10545.557937329677</v>
      </c>
      <c r="AG33" s="399">
        <v>10545.557937329677</v>
      </c>
      <c r="AH33" s="399">
        <v>10545.557937329677</v>
      </c>
      <c r="AI33" s="399">
        <v>10545.557937329677</v>
      </c>
      <c r="AJ33" s="399">
        <v>10545.557937329677</v>
      </c>
    </row>
    <row r="34" spans="1:36" x14ac:dyDescent="0.2">
      <c r="A34" s="396" t="s">
        <v>303</v>
      </c>
      <c r="B34" s="397" t="b">
        <v>0</v>
      </c>
      <c r="C34" s="398">
        <v>50000</v>
      </c>
      <c r="D34" s="396" t="s">
        <v>23</v>
      </c>
      <c r="E34" s="400">
        <v>6118.5393126273348</v>
      </c>
      <c r="F34" s="400">
        <v>9560.3696072449638</v>
      </c>
      <c r="G34" s="400">
        <v>11266.32716220715</v>
      </c>
      <c r="H34" s="400">
        <v>13470.840453664914</v>
      </c>
      <c r="I34" s="400">
        <v>16036.260093907111</v>
      </c>
      <c r="J34" s="400">
        <v>17879.435298560311</v>
      </c>
      <c r="K34" s="400">
        <v>1842.9291122890763</v>
      </c>
      <c r="L34" s="400">
        <v>3247.5482301026918</v>
      </c>
      <c r="M34" s="400">
        <v>4870.2621340241376</v>
      </c>
      <c r="N34" s="400">
        <v>6484.7700252639797</v>
      </c>
      <c r="O34" s="400">
        <v>7490.3829278878684</v>
      </c>
      <c r="P34" s="400">
        <v>8452.3071541296667</v>
      </c>
      <c r="Q34" s="400">
        <v>9384.7866023361566</v>
      </c>
      <c r="R34" s="400">
        <v>10297.024235409248</v>
      </c>
      <c r="S34" s="400">
        <v>11195.34646348664</v>
      </c>
      <c r="T34" s="400">
        <v>12084.304943175912</v>
      </c>
      <c r="U34" s="400">
        <v>12967.290812594432</v>
      </c>
      <c r="V34" s="400">
        <v>13846.901362200351</v>
      </c>
      <c r="W34" s="400">
        <v>14725.170956635502</v>
      </c>
      <c r="X34" s="400">
        <v>15603.722870379343</v>
      </c>
      <c r="Y34" s="400">
        <v>16483.872729852577</v>
      </c>
      <c r="Z34" s="400">
        <v>17366.701114462041</v>
      </c>
      <c r="AA34" s="400">
        <v>18253.105817930296</v>
      </c>
      <c r="AB34" s="400">
        <v>19143.840297165905</v>
      </c>
      <c r="AC34" s="400">
        <v>20039.542500817952</v>
      </c>
      <c r="AD34" s="400">
        <v>20940.756847509834</v>
      </c>
      <c r="AE34" s="400">
        <v>21847.951230192648</v>
      </c>
      <c r="AF34" s="400">
        <v>22761.53034602472</v>
      </c>
      <c r="AG34" s="400">
        <v>22761.53034602472</v>
      </c>
      <c r="AH34" s="400">
        <v>22761.53034602472</v>
      </c>
      <c r="AI34" s="400">
        <v>22761.53034602472</v>
      </c>
      <c r="AJ34" s="400">
        <v>22761.53034602472</v>
      </c>
    </row>
    <row r="35" spans="1:36" x14ac:dyDescent="0.2">
      <c r="A35" s="396" t="s">
        <v>304</v>
      </c>
      <c r="B35" s="397" t="b">
        <v>0</v>
      </c>
      <c r="C35" s="398">
        <v>300000</v>
      </c>
      <c r="D35" s="396" t="s">
        <v>23</v>
      </c>
      <c r="E35" s="400">
        <v>3100.1605693470219</v>
      </c>
      <c r="F35" s="400">
        <v>4449.1613088009908</v>
      </c>
      <c r="G35" s="400">
        <v>5156.4107996448156</v>
      </c>
      <c r="H35" s="400">
        <v>6079.770132614969</v>
      </c>
      <c r="I35" s="400">
        <v>7120.6051516662474</v>
      </c>
      <c r="J35" s="400">
        <v>8055.3095605638873</v>
      </c>
      <c r="K35" s="400">
        <v>822.39990794966297</v>
      </c>
      <c r="L35" s="400">
        <v>1440.6918228496638</v>
      </c>
      <c r="M35" s="400">
        <v>2245.0571435569577</v>
      </c>
      <c r="N35" s="400">
        <v>2981.0864367689751</v>
      </c>
      <c r="O35" s="400">
        <v>3444.76587416345</v>
      </c>
      <c r="P35" s="400">
        <v>3888.7405648773929</v>
      </c>
      <c r="Q35" s="400">
        <v>4319.5510510355698</v>
      </c>
      <c r="R35" s="400">
        <v>4741.4245717208496</v>
      </c>
      <c r="S35" s="400">
        <v>5157.2680966537</v>
      </c>
      <c r="T35" s="400">
        <v>5569.1738940562072</v>
      </c>
      <c r="U35" s="400">
        <v>5978.7014131309115</v>
      </c>
      <c r="V35" s="400">
        <v>6387.0455804068297</v>
      </c>
      <c r="W35" s="400">
        <v>6795.142806892527</v>
      </c>
      <c r="X35" s="400">
        <v>7203.7407022710513</v>
      </c>
      <c r="Y35" s="400">
        <v>7613.4455784255315</v>
      </c>
      <c r="Z35" s="400">
        <v>8024.7557962517658</v>
      </c>
      <c r="AA35" s="400">
        <v>8438.0857747024111</v>
      </c>
      <c r="AB35" s="400">
        <v>8853.7836576324826</v>
      </c>
      <c r="AC35" s="400">
        <v>9272.1445625656361</v>
      </c>
      <c r="AD35" s="400">
        <v>9693.4206829124287</v>
      </c>
      <c r="AE35" s="400">
        <v>10117.829105110817</v>
      </c>
      <c r="AF35" s="400">
        <v>10545.557937329677</v>
      </c>
      <c r="AG35" s="400">
        <v>10545.557937329677</v>
      </c>
      <c r="AH35" s="400">
        <v>10545.557937329677</v>
      </c>
      <c r="AI35" s="400">
        <v>10545.557937329677</v>
      </c>
      <c r="AJ35" s="400">
        <v>10545.557937329677</v>
      </c>
    </row>
    <row r="36" spans="1:36" x14ac:dyDescent="0.2">
      <c r="A36" s="396" t="s">
        <v>305</v>
      </c>
      <c r="B36" s="397" t="b">
        <v>0</v>
      </c>
      <c r="C36" s="398">
        <v>4000</v>
      </c>
      <c r="D36" s="396" t="s">
        <v>306</v>
      </c>
      <c r="E36" s="401">
        <v>3.8442032745140044E-3</v>
      </c>
      <c r="F36" s="401">
        <v>3.96174331561741E-3</v>
      </c>
      <c r="G36" s="401">
        <v>4.0807475656554045E-3</v>
      </c>
      <c r="H36" s="401">
        <v>4.2012082871441432E-3</v>
      </c>
      <c r="I36" s="401">
        <v>4.3231179180248545E-3</v>
      </c>
      <c r="J36" s="401">
        <v>4.4464690646958578E-3</v>
      </c>
      <c r="K36" s="401">
        <v>3.3225751379017186E-3</v>
      </c>
      <c r="L36" s="401">
        <v>3.4129967449797139E-3</v>
      </c>
      <c r="M36" s="401">
        <v>3.5056901715316878E-3</v>
      </c>
      <c r="N36" s="401">
        <v>3.6004918071713284E-3</v>
      </c>
      <c r="O36" s="401">
        <v>3.6972980857898682E-3</v>
      </c>
      <c r="P36" s="401">
        <v>3.7960341695326806E-3</v>
      </c>
      <c r="Q36" s="401">
        <v>3.8966419027204676E-3</v>
      </c>
      <c r="R36" s="401">
        <v>3.9990739403514336E-3</v>
      </c>
      <c r="S36" s="401">
        <v>4.1032904666696698E-3</v>
      </c>
      <c r="T36" s="401">
        <v>4.2092571861053873E-3</v>
      </c>
      <c r="U36" s="401">
        <v>4.3169440096071437E-3</v>
      </c>
      <c r="V36" s="401">
        <v>4.4263241517179166E-3</v>
      </c>
      <c r="W36" s="401">
        <v>4.5373734851107666E-3</v>
      </c>
      <c r="X36" s="401">
        <v>4.6500700642787005E-3</v>
      </c>
      <c r="Y36" s="401">
        <v>4.7643937646965877E-3</v>
      </c>
      <c r="Z36" s="401">
        <v>4.8803260033549196E-3</v>
      </c>
      <c r="AA36" s="401">
        <v>4.9978495181953742E-3</v>
      </c>
      <c r="AB36" s="401">
        <v>4.9978495181953742E-3</v>
      </c>
      <c r="AC36" s="401">
        <v>4.9978495181953742E-3</v>
      </c>
      <c r="AD36" s="401">
        <v>4.9978495181953742E-3</v>
      </c>
      <c r="AE36" s="401">
        <v>4.9978495181953742E-3</v>
      </c>
      <c r="AF36" s="401">
        <v>4.9978495181953742E-3</v>
      </c>
      <c r="AG36" s="401">
        <v>4.9978495181953742E-3</v>
      </c>
      <c r="AH36" s="401">
        <v>4.9978495181953742E-3</v>
      </c>
      <c r="AI36" s="401">
        <v>4.9978495181953742E-3</v>
      </c>
      <c r="AJ36" s="401">
        <v>4.9978495181953742E-3</v>
      </c>
    </row>
    <row r="37" spans="1:36" x14ac:dyDescent="0.2">
      <c r="A37" s="396" t="s">
        <v>307</v>
      </c>
      <c r="B37" s="397" t="b">
        <v>0</v>
      </c>
      <c r="C37" s="398">
        <v>650</v>
      </c>
      <c r="D37" s="396" t="s">
        <v>308</v>
      </c>
      <c r="E37" s="401">
        <v>1.5376813098056018E-2</v>
      </c>
      <c r="F37" s="401">
        <v>1.584697326246964E-2</v>
      </c>
      <c r="G37" s="401">
        <v>1.6322990262621618E-2</v>
      </c>
      <c r="H37" s="401">
        <v>1.6804833148576573E-2</v>
      </c>
      <c r="I37" s="401">
        <v>1.7292471672099418E-2</v>
      </c>
      <c r="J37" s="401">
        <v>1.7785876258783431E-2</v>
      </c>
      <c r="K37" s="401">
        <v>1.3290300551606874E-2</v>
      </c>
      <c r="L37" s="401">
        <v>1.3651986979918856E-2</v>
      </c>
      <c r="M37" s="401">
        <v>1.4022760686126751E-2</v>
      </c>
      <c r="N37" s="401">
        <v>1.4401967228685314E-2</v>
      </c>
      <c r="O37" s="401">
        <v>1.4789192343159473E-2</v>
      </c>
      <c r="P37" s="401">
        <v>1.5184136678130723E-2</v>
      </c>
      <c r="Q37" s="401">
        <v>1.558656761088187E-2</v>
      </c>
      <c r="R37" s="401">
        <v>1.5996295761405734E-2</v>
      </c>
      <c r="S37" s="401">
        <v>1.6413161866678679E-2</v>
      </c>
      <c r="T37" s="401">
        <v>1.6837028744421549E-2</v>
      </c>
      <c r="U37" s="401">
        <v>1.7267776038428575E-2</v>
      </c>
      <c r="V37" s="401">
        <v>1.7705296606871666E-2</v>
      </c>
      <c r="W37" s="401">
        <v>1.8149493940443066E-2</v>
      </c>
      <c r="X37" s="401">
        <v>1.8600280257114802E-2</v>
      </c>
      <c r="Y37" s="401">
        <v>1.9057575058786351E-2</v>
      </c>
      <c r="Z37" s="401">
        <v>1.9521304013419678E-2</v>
      </c>
      <c r="AA37" s="401">
        <v>1.9991398072781497E-2</v>
      </c>
      <c r="AB37" s="401">
        <v>1.9991398072781497E-2</v>
      </c>
      <c r="AC37" s="401">
        <v>1.9991398072781497E-2</v>
      </c>
      <c r="AD37" s="401">
        <v>1.9991398072781497E-2</v>
      </c>
      <c r="AE37" s="401">
        <v>1.9991398072781497E-2</v>
      </c>
      <c r="AF37" s="401">
        <v>1.9991398072781497E-2</v>
      </c>
      <c r="AG37" s="401">
        <v>1.9991398072781497E-2</v>
      </c>
      <c r="AH37" s="401">
        <v>1.9991398072781497E-2</v>
      </c>
      <c r="AI37" s="401">
        <v>1.9991398072781497E-2</v>
      </c>
      <c r="AJ37" s="401">
        <v>1.9991398072781497E-2</v>
      </c>
    </row>
    <row r="38" spans="1:36" x14ac:dyDescent="0.2">
      <c r="A38" s="396" t="s">
        <v>309</v>
      </c>
      <c r="B38" s="402" t="b">
        <v>0</v>
      </c>
      <c r="C38" s="398">
        <v>300000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</row>
    <row r="39" spans="1:36" x14ac:dyDescent="0.2">
      <c r="A39" s="396" t="s">
        <v>310</v>
      </c>
      <c r="B39" s="402" t="b">
        <v>0</v>
      </c>
      <c r="C39" s="398">
        <v>500000</v>
      </c>
      <c r="D39" s="396" t="s">
        <v>275</v>
      </c>
      <c r="E39" s="403">
        <v>209524.79997826368</v>
      </c>
      <c r="F39" s="403">
        <v>312927.87231946614</v>
      </c>
      <c r="G39" s="403">
        <v>365593.79824998573</v>
      </c>
      <c r="H39" s="403">
        <v>433995.95091163903</v>
      </c>
      <c r="I39" s="403">
        <v>512362.84258734423</v>
      </c>
      <c r="J39" s="403">
        <v>575510.2406776289</v>
      </c>
      <c r="K39" s="403">
        <v>59031.518312537526</v>
      </c>
      <c r="L39" s="403">
        <v>103711.63860605261</v>
      </c>
      <c r="M39" s="403">
        <v>158627.18323894384</v>
      </c>
      <c r="N39" s="403">
        <v>210911.84148709723</v>
      </c>
      <c r="O39" s="403">
        <v>243669.59594861651</v>
      </c>
      <c r="P39" s="403">
        <v>275020.29600224737</v>
      </c>
      <c r="Q39" s="403">
        <v>305426.93962108146</v>
      </c>
      <c r="R39" s="403">
        <v>335188.72055556724</v>
      </c>
      <c r="S39" s="403">
        <v>364511.35187184426</v>
      </c>
      <c r="T39" s="403">
        <v>393542.86681228934</v>
      </c>
      <c r="U39" s="403">
        <v>422393.57853196008</v>
      </c>
      <c r="V39" s="403">
        <v>451147.99608782219</v>
      </c>
      <c r="W39" s="403">
        <v>479872.32952870918</v>
      </c>
      <c r="X39" s="403">
        <v>508619.42509386397</v>
      </c>
      <c r="Y39" s="403">
        <v>537432.12777361262</v>
      </c>
      <c r="Z39" s="403">
        <v>566345.64156242856</v>
      </c>
      <c r="AA39" s="403">
        <v>595389.22863769531</v>
      </c>
      <c r="AB39" s="403">
        <v>624587.45957300463</v>
      </c>
      <c r="AC39" s="403">
        <v>653961.15082096995</v>
      </c>
      <c r="AD39" s="403">
        <v>683528.07948957942</v>
      </c>
      <c r="AE39" s="403">
        <v>713303.53640002816</v>
      </c>
      <c r="AF39" s="403">
        <v>743300.75966238684</v>
      </c>
      <c r="AG39" s="403">
        <v>743300.75966238684</v>
      </c>
      <c r="AH39" s="403">
        <v>743300.75966238684</v>
      </c>
      <c r="AI39" s="403">
        <v>743300.75966238684</v>
      </c>
      <c r="AJ39" s="403">
        <v>743300.75966238684</v>
      </c>
    </row>
    <row r="40" spans="1:36" x14ac:dyDescent="0.2">
      <c r="A40" s="396" t="s">
        <v>311</v>
      </c>
      <c r="B40" s="397" t="b">
        <v>1</v>
      </c>
      <c r="C40" s="398">
        <v>5575078.5999999996</v>
      </c>
      <c r="D40" s="396" t="s">
        <v>276</v>
      </c>
      <c r="E40" s="404">
        <v>682.2623577464899</v>
      </c>
      <c r="F40" s="404">
        <v>703.12315512015812</v>
      </c>
      <c r="G40" s="404">
        <v>724.24381769048989</v>
      </c>
      <c r="H40" s="404">
        <v>745.62297222261861</v>
      </c>
      <c r="I40" s="404">
        <v>767.25927661580749</v>
      </c>
      <c r="J40" s="404">
        <v>789.15141866678459</v>
      </c>
      <c r="K40" s="404">
        <v>589.68472411524044</v>
      </c>
      <c r="L40" s="404">
        <v>605.7325900658409</v>
      </c>
      <c r="M40" s="404">
        <v>622.1836544947754</v>
      </c>
      <c r="N40" s="404">
        <v>639.00888012176881</v>
      </c>
      <c r="O40" s="404">
        <v>656.1898862180966</v>
      </c>
      <c r="P40" s="404">
        <v>673.71339069446753</v>
      </c>
      <c r="Q40" s="404">
        <v>691.56907218438755</v>
      </c>
      <c r="R40" s="404">
        <v>709.74852798117161</v>
      </c>
      <c r="S40" s="404">
        <v>728.24469165529945</v>
      </c>
      <c r="T40" s="404">
        <v>747.05147649006165</v>
      </c>
      <c r="U40" s="404">
        <v>766.16354233414131</v>
      </c>
      <c r="V40" s="404">
        <v>785.57613535228154</v>
      </c>
      <c r="W40" s="404">
        <v>805.28497346942299</v>
      </c>
      <c r="X40" s="404">
        <v>825.28616183602901</v>
      </c>
      <c r="Y40" s="404">
        <v>845.57612878718419</v>
      </c>
      <c r="Z40" s="404">
        <v>866.15157624342237</v>
      </c>
      <c r="AA40" s="404">
        <v>887.0094405653449</v>
      </c>
      <c r="AB40" s="404">
        <v>887.0094405653449</v>
      </c>
      <c r="AC40" s="404">
        <v>887.0094405653449</v>
      </c>
      <c r="AD40" s="404">
        <v>887.0094405653449</v>
      </c>
      <c r="AE40" s="404">
        <v>887.0094405653449</v>
      </c>
      <c r="AF40" s="404">
        <v>887.0094405653449</v>
      </c>
      <c r="AG40" s="404">
        <v>887.0094405653449</v>
      </c>
      <c r="AH40" s="404">
        <v>887.0094405653449</v>
      </c>
      <c r="AI40" s="404">
        <v>887.0094405653449</v>
      </c>
      <c r="AJ40" s="404">
        <v>887.0094405653449</v>
      </c>
    </row>
    <row r="41" spans="1:36" x14ac:dyDescent="0.2">
      <c r="A41" s="396" t="s">
        <v>312</v>
      </c>
      <c r="B41" s="397" t="b">
        <v>0</v>
      </c>
      <c r="C41" s="398">
        <v>0</v>
      </c>
      <c r="D41" s="396" t="s">
        <v>277</v>
      </c>
      <c r="E41" s="404">
        <v>25718.082491751538</v>
      </c>
      <c r="F41" s="404">
        <v>26504.43645311</v>
      </c>
      <c r="G41" s="404">
        <v>27300.586110345044</v>
      </c>
      <c r="H41" s="404">
        <v>28106.47969895996</v>
      </c>
      <c r="I41" s="404">
        <v>28922.066628068304</v>
      </c>
      <c r="J41" s="404">
        <v>29747.297433777469</v>
      </c>
      <c r="K41" s="404">
        <v>22228.341057849502</v>
      </c>
      <c r="L41" s="404">
        <v>22833.270137767271</v>
      </c>
      <c r="M41" s="404">
        <v>23453.397904243968</v>
      </c>
      <c r="N41" s="404">
        <v>24087.629788363436</v>
      </c>
      <c r="O41" s="404">
        <v>24735.272923089666</v>
      </c>
      <c r="P41" s="404">
        <v>25395.826636116501</v>
      </c>
      <c r="Q41" s="404">
        <v>26068.90186046419</v>
      </c>
      <c r="R41" s="404">
        <v>26754.181853605143</v>
      </c>
      <c r="S41" s="404">
        <v>27451.400244376906</v>
      </c>
      <c r="T41" s="404">
        <v>28160.327592182832</v>
      </c>
      <c r="U41" s="404">
        <v>28880.762598430774</v>
      </c>
      <c r="V41" s="404">
        <v>29612.52606588685</v>
      </c>
      <c r="W41" s="404">
        <v>30355.45658045814</v>
      </c>
      <c r="X41" s="404">
        <v>31109.407324632964</v>
      </c>
      <c r="Y41" s="404">
        <v>31874.243663440055</v>
      </c>
      <c r="Z41" s="404">
        <v>32649.841274793045</v>
      </c>
      <c r="AA41" s="404">
        <v>33436.084673893609</v>
      </c>
      <c r="AB41" s="404">
        <v>33436.084673893609</v>
      </c>
      <c r="AC41" s="404">
        <v>33436.084673893609</v>
      </c>
      <c r="AD41" s="404">
        <v>33436.084673893609</v>
      </c>
      <c r="AE41" s="404">
        <v>33436.084673893609</v>
      </c>
      <c r="AF41" s="404">
        <v>33436.084673893609</v>
      </c>
      <c r="AG41" s="404">
        <v>33436.084673893609</v>
      </c>
      <c r="AH41" s="404">
        <v>33436.084673893609</v>
      </c>
      <c r="AI41" s="404">
        <v>33436.084673893609</v>
      </c>
      <c r="AJ41" s="404">
        <v>33436.084673893609</v>
      </c>
    </row>
    <row r="42" spans="1:36" x14ac:dyDescent="0.2">
      <c r="A42" s="396" t="s">
        <v>313</v>
      </c>
      <c r="B42" s="397" t="b">
        <v>0</v>
      </c>
      <c r="C42" s="398">
        <v>0</v>
      </c>
      <c r="D42" s="396" t="s">
        <v>278</v>
      </c>
      <c r="E42" s="404">
        <v>2566.3901060655494</v>
      </c>
      <c r="F42" s="404">
        <v>2644.8598375061829</v>
      </c>
      <c r="G42" s="404">
        <v>2724.3070748315481</v>
      </c>
      <c r="H42" s="404">
        <v>2804.7266524974302</v>
      </c>
      <c r="I42" s="404">
        <v>2886.1135220733927</v>
      </c>
      <c r="J42" s="404">
        <v>2968.4627475909547</v>
      </c>
      <c r="K42" s="404">
        <v>2218.1511620631873</v>
      </c>
      <c r="L42" s="404">
        <v>2278.5166269484571</v>
      </c>
      <c r="M42" s="404">
        <v>2340.3987585145546</v>
      </c>
      <c r="N42" s="404">
        <v>2403.6883304675789</v>
      </c>
      <c r="O42" s="404">
        <v>2468.3162020733162</v>
      </c>
      <c r="P42" s="404">
        <v>2534.2324115800175</v>
      </c>
      <c r="Q42" s="404">
        <v>2601.3981342561842</v>
      </c>
      <c r="R42" s="404">
        <v>2669.781762578617</v>
      </c>
      <c r="S42" s="404">
        <v>2739.3567155486717</v>
      </c>
      <c r="T42" s="404">
        <v>2810.1000974439567</v>
      </c>
      <c r="U42" s="404">
        <v>2881.9918208137292</v>
      </c>
      <c r="V42" s="404">
        <v>2955.0140036868811</v>
      </c>
      <c r="W42" s="404">
        <v>3029.1505386599479</v>
      </c>
      <c r="X42" s="404">
        <v>3104.3867749124606</v>
      </c>
      <c r="Y42" s="404">
        <v>3180.7092773114418</v>
      </c>
      <c r="Z42" s="404">
        <v>3258.1056398397445</v>
      </c>
      <c r="AA42" s="404">
        <v>3336.5643383472316</v>
      </c>
      <c r="AB42" s="404">
        <v>3336.5643383472316</v>
      </c>
      <c r="AC42" s="404">
        <v>3336.5643383472316</v>
      </c>
      <c r="AD42" s="404">
        <v>3336.5643383472316</v>
      </c>
      <c r="AE42" s="404">
        <v>3336.5643383472316</v>
      </c>
      <c r="AF42" s="404">
        <v>3336.5643383472316</v>
      </c>
      <c r="AG42" s="404">
        <v>3336.5643383472316</v>
      </c>
      <c r="AH42" s="404">
        <v>3336.5643383472316</v>
      </c>
      <c r="AI42" s="404">
        <v>3336.5643383472316</v>
      </c>
      <c r="AJ42" s="404">
        <v>3336.5643383472316</v>
      </c>
    </row>
    <row r="43" spans="1:36" x14ac:dyDescent="0.2">
      <c r="A43" s="396" t="s">
        <v>314</v>
      </c>
      <c r="B43" s="397" t="b">
        <v>0</v>
      </c>
      <c r="C43" s="398" t="s">
        <v>136</v>
      </c>
      <c r="D43" s="396" t="s">
        <v>279</v>
      </c>
      <c r="E43" s="405">
        <v>4288.75</v>
      </c>
      <c r="F43" s="405">
        <v>4288.75</v>
      </c>
      <c r="G43" s="405">
        <v>4288.75</v>
      </c>
      <c r="H43" s="405">
        <v>4288.75</v>
      </c>
      <c r="I43" s="405">
        <v>4288.75</v>
      </c>
      <c r="J43" s="405">
        <v>4288.75</v>
      </c>
      <c r="K43" s="405">
        <v>587.5</v>
      </c>
      <c r="L43" s="405">
        <v>587.5</v>
      </c>
      <c r="M43" s="405">
        <v>587.5</v>
      </c>
      <c r="N43" s="405">
        <v>587.5</v>
      </c>
      <c r="O43" s="405">
        <v>587.5</v>
      </c>
      <c r="P43" s="405">
        <v>587.5</v>
      </c>
      <c r="Q43" s="405">
        <v>587.5</v>
      </c>
      <c r="R43" s="405">
        <v>587.5</v>
      </c>
      <c r="S43" s="405">
        <v>587.5</v>
      </c>
      <c r="T43" s="405">
        <v>587.5</v>
      </c>
      <c r="U43" s="405">
        <v>587.5</v>
      </c>
      <c r="V43" s="405">
        <v>587.5</v>
      </c>
      <c r="W43" s="405">
        <v>587.5</v>
      </c>
      <c r="X43" s="405">
        <v>587.5</v>
      </c>
      <c r="Y43" s="405">
        <v>587.5</v>
      </c>
      <c r="Z43" s="405">
        <v>587.5</v>
      </c>
      <c r="AA43" s="405">
        <v>587.5</v>
      </c>
      <c r="AB43" s="405">
        <v>587.5</v>
      </c>
      <c r="AC43" s="405">
        <v>587.5</v>
      </c>
      <c r="AD43" s="405">
        <v>587.5</v>
      </c>
      <c r="AE43" s="405">
        <v>587.5</v>
      </c>
      <c r="AF43" s="405">
        <v>587.5</v>
      </c>
      <c r="AG43" s="405">
        <v>587.5</v>
      </c>
      <c r="AH43" s="405">
        <v>587.5</v>
      </c>
      <c r="AI43" s="405">
        <v>587.5</v>
      </c>
      <c r="AJ43" s="405">
        <v>587.5</v>
      </c>
    </row>
    <row r="44" spans="1:36" x14ac:dyDescent="0.2">
      <c r="A44" s="396" t="s">
        <v>315</v>
      </c>
      <c r="B44" s="397" t="b">
        <v>1</v>
      </c>
      <c r="C44" s="398">
        <v>0</v>
      </c>
      <c r="D44" s="396" t="s">
        <v>316</v>
      </c>
      <c r="E44" s="406">
        <v>0</v>
      </c>
      <c r="F44" s="406">
        <v>0</v>
      </c>
      <c r="G44" s="406">
        <v>0</v>
      </c>
      <c r="H44" s="406">
        <v>0</v>
      </c>
      <c r="I44" s="406">
        <v>0</v>
      </c>
      <c r="J44" s="406">
        <v>0</v>
      </c>
      <c r="K44" s="406">
        <v>0</v>
      </c>
      <c r="L44" s="406">
        <v>0</v>
      </c>
      <c r="M44" s="406">
        <v>0</v>
      </c>
      <c r="N44" s="406">
        <v>0</v>
      </c>
      <c r="O44" s="406">
        <v>0</v>
      </c>
      <c r="P44" s="406">
        <v>0</v>
      </c>
      <c r="Q44" s="406">
        <v>0</v>
      </c>
      <c r="R44" s="406">
        <v>0</v>
      </c>
      <c r="S44" s="406">
        <v>0</v>
      </c>
      <c r="T44" s="406">
        <v>0</v>
      </c>
      <c r="U44" s="406">
        <v>0</v>
      </c>
      <c r="V44" s="406">
        <v>0</v>
      </c>
      <c r="W44" s="406">
        <v>0</v>
      </c>
      <c r="X44" s="406">
        <v>0</v>
      </c>
      <c r="Y44" s="406">
        <v>0</v>
      </c>
      <c r="Z44" s="406">
        <v>0</v>
      </c>
      <c r="AA44" s="406">
        <v>0</v>
      </c>
      <c r="AB44" s="406">
        <v>0</v>
      </c>
      <c r="AC44" s="406">
        <v>0</v>
      </c>
      <c r="AD44" s="406">
        <v>0</v>
      </c>
      <c r="AE44" s="406">
        <v>0</v>
      </c>
      <c r="AF44" s="406">
        <v>0</v>
      </c>
      <c r="AG44" s="406">
        <v>0</v>
      </c>
      <c r="AH44" s="406">
        <v>0</v>
      </c>
      <c r="AI44" s="406">
        <v>0</v>
      </c>
      <c r="AJ44" s="406">
        <v>0</v>
      </c>
    </row>
    <row r="45" spans="1:36" x14ac:dyDescent="0.2">
      <c r="A45" s="396" t="s">
        <v>317</v>
      </c>
      <c r="B45" s="402">
        <v>0</v>
      </c>
      <c r="C45" s="398">
        <v>0</v>
      </c>
      <c r="D45" s="396" t="s">
        <v>18</v>
      </c>
      <c r="E45" s="405">
        <v>25000</v>
      </c>
      <c r="F45" s="405">
        <v>25000</v>
      </c>
      <c r="G45" s="405">
        <v>25000</v>
      </c>
      <c r="H45" s="405">
        <v>25000</v>
      </c>
      <c r="I45" s="405">
        <v>25000</v>
      </c>
      <c r="J45" s="405">
        <v>25000</v>
      </c>
      <c r="K45" s="405">
        <v>25000</v>
      </c>
      <c r="L45" s="405">
        <v>25000</v>
      </c>
      <c r="M45" s="405">
        <v>25000</v>
      </c>
      <c r="N45" s="405">
        <v>25000</v>
      </c>
      <c r="O45" s="405">
        <v>25000</v>
      </c>
      <c r="P45" s="405">
        <v>25000</v>
      </c>
      <c r="Q45" s="405">
        <v>25000</v>
      </c>
      <c r="R45" s="405">
        <v>25000</v>
      </c>
      <c r="S45" s="405">
        <v>25000</v>
      </c>
      <c r="T45" s="405">
        <v>25000</v>
      </c>
      <c r="U45" s="405">
        <v>25000</v>
      </c>
      <c r="V45" s="405">
        <v>25000</v>
      </c>
      <c r="W45" s="405">
        <v>25000</v>
      </c>
      <c r="X45" s="405">
        <v>25000</v>
      </c>
      <c r="Y45" s="405">
        <v>25000</v>
      </c>
      <c r="Z45" s="405">
        <v>25000</v>
      </c>
      <c r="AA45" s="405">
        <v>25000</v>
      </c>
      <c r="AB45" s="405">
        <v>25000</v>
      </c>
      <c r="AC45" s="405">
        <v>25000</v>
      </c>
      <c r="AD45" s="405">
        <v>25000</v>
      </c>
      <c r="AE45" s="405">
        <v>25000</v>
      </c>
      <c r="AF45" s="405">
        <v>25000</v>
      </c>
      <c r="AG45" s="405">
        <v>25000</v>
      </c>
      <c r="AH45" s="405">
        <v>25000</v>
      </c>
      <c r="AI45" s="405">
        <v>25000</v>
      </c>
      <c r="AJ45" s="405">
        <v>25000</v>
      </c>
    </row>
    <row r="46" spans="1:36" x14ac:dyDescent="0.2">
      <c r="A46" s="407"/>
      <c r="B46" s="407"/>
      <c r="C46" s="398">
        <v>0</v>
      </c>
      <c r="D46" s="408" t="s">
        <v>318</v>
      </c>
      <c r="E46" s="409">
        <v>0</v>
      </c>
      <c r="F46" s="409">
        <v>0</v>
      </c>
      <c r="G46" s="409">
        <v>0</v>
      </c>
      <c r="H46" s="409">
        <v>0</v>
      </c>
      <c r="I46" s="409">
        <v>0</v>
      </c>
      <c r="J46" s="409">
        <v>0</v>
      </c>
      <c r="K46" s="409">
        <v>237686.2818430769</v>
      </c>
      <c r="L46" s="409">
        <v>237686.2818430769</v>
      </c>
      <c r="M46" s="409">
        <v>237686.2818430769</v>
      </c>
      <c r="N46" s="409">
        <v>237686.2818430769</v>
      </c>
      <c r="O46" s="409">
        <v>237686.2818430769</v>
      </c>
      <c r="P46" s="409">
        <v>237686.2818430769</v>
      </c>
      <c r="Q46" s="409">
        <v>237686.2818430769</v>
      </c>
      <c r="R46" s="409">
        <v>237686.2818430769</v>
      </c>
      <c r="S46" s="409">
        <v>237686.2818430769</v>
      </c>
      <c r="T46" s="409">
        <v>237686.2818430769</v>
      </c>
      <c r="U46" s="409">
        <v>237686.2818430769</v>
      </c>
      <c r="V46" s="409">
        <v>237686.2818430769</v>
      </c>
      <c r="W46" s="409">
        <v>237686.2818430769</v>
      </c>
      <c r="X46" s="409">
        <v>237686.2818430769</v>
      </c>
      <c r="Y46" s="409">
        <v>237686.2818430769</v>
      </c>
      <c r="Z46" s="409">
        <v>237686.2818430769</v>
      </c>
      <c r="AA46" s="409">
        <v>237686.2818430769</v>
      </c>
      <c r="AB46" s="409">
        <v>237686.2818430769</v>
      </c>
      <c r="AC46" s="409">
        <v>237686.2818430769</v>
      </c>
      <c r="AD46" s="409">
        <v>237686.2818430769</v>
      </c>
      <c r="AE46" s="409">
        <v>237686.2818430769</v>
      </c>
      <c r="AF46" s="409">
        <v>237686.2818430769</v>
      </c>
      <c r="AG46" s="409">
        <v>237686.2818430769</v>
      </c>
      <c r="AH46" s="409">
        <v>237686.2818430769</v>
      </c>
      <c r="AI46" s="409">
        <v>237686.2818430769</v>
      </c>
      <c r="AJ46" s="409">
        <v>237686.2818430769</v>
      </c>
    </row>
    <row r="47" spans="1:36" x14ac:dyDescent="0.2">
      <c r="A47" s="325"/>
      <c r="B47" s="325"/>
      <c r="C47" s="325"/>
      <c r="D47" s="410" t="s">
        <v>319</v>
      </c>
      <c r="E47" s="411">
        <v>267780.28493382724</v>
      </c>
      <c r="F47" s="411">
        <v>372069.04176520254</v>
      </c>
      <c r="G47" s="411">
        <v>425631.6852528528</v>
      </c>
      <c r="H47" s="411">
        <v>494941.53023531905</v>
      </c>
      <c r="I47" s="411">
        <v>574227.03201410174</v>
      </c>
      <c r="J47" s="411">
        <v>638303.90227766417</v>
      </c>
      <c r="K47" s="411">
        <v>347341.47709964239</v>
      </c>
      <c r="L47" s="411">
        <v>392702.93980391108</v>
      </c>
      <c r="M47" s="411">
        <v>448316.945399274</v>
      </c>
      <c r="N47" s="411">
        <v>501315.95032912691</v>
      </c>
      <c r="O47" s="411">
        <v>534803.15680307441</v>
      </c>
      <c r="P47" s="411">
        <v>566897.85028371529</v>
      </c>
      <c r="Q47" s="411">
        <v>598062.59053106315</v>
      </c>
      <c r="R47" s="411">
        <v>628596.21454280906</v>
      </c>
      <c r="S47" s="411">
        <v>658704.13536650199</v>
      </c>
      <c r="T47" s="411">
        <v>688534.12782148307</v>
      </c>
      <c r="U47" s="411">
        <v>718196.27833661565</v>
      </c>
      <c r="V47" s="411">
        <v>747774.8941358251</v>
      </c>
      <c r="W47" s="411">
        <v>777336.00346437364</v>
      </c>
      <c r="X47" s="411">
        <v>806932.28719832236</v>
      </c>
      <c r="Y47" s="411">
        <v>836606.43868622824</v>
      </c>
      <c r="Z47" s="411">
        <v>866393.52189638175</v>
      </c>
      <c r="AA47" s="411">
        <v>896322.66893357842</v>
      </c>
      <c r="AB47" s="411">
        <v>925520.89986888773</v>
      </c>
      <c r="AC47" s="411">
        <v>954894.59111685306</v>
      </c>
      <c r="AD47" s="411">
        <v>984461.51978546253</v>
      </c>
      <c r="AE47" s="411">
        <v>1014236.9766959113</v>
      </c>
      <c r="AF47" s="411">
        <v>1044234.19995827</v>
      </c>
      <c r="AG47" s="411">
        <v>1044234.19995827</v>
      </c>
      <c r="AH47" s="411">
        <v>1044234.19995827</v>
      </c>
      <c r="AI47" s="411">
        <v>1044234.19995827</v>
      </c>
      <c r="AJ47" s="411">
        <v>1044234.19995827</v>
      </c>
    </row>
    <row r="49" spans="1:36" x14ac:dyDescent="0.2">
      <c r="A49" s="394" t="s">
        <v>281</v>
      </c>
      <c r="B49" s="394"/>
      <c r="C49" s="393" t="s">
        <v>282</v>
      </c>
      <c r="D49" s="393"/>
      <c r="F49" s="412" t="s">
        <v>283</v>
      </c>
      <c r="G49" s="413" t="s">
        <v>284</v>
      </c>
      <c r="H49" s="393" t="s">
        <v>285</v>
      </c>
      <c r="I49" s="393" t="s">
        <v>286</v>
      </c>
    </row>
    <row r="50" spans="1:36" x14ac:dyDescent="0.2">
      <c r="A50" s="396" t="s">
        <v>287</v>
      </c>
      <c r="B50" s="414" t="s">
        <v>332</v>
      </c>
      <c r="C50" s="415" t="s">
        <v>288</v>
      </c>
      <c r="D50" s="416"/>
      <c r="F50" s="415" t="s">
        <v>289</v>
      </c>
      <c r="G50" s="417">
        <v>1.4085126762844388E-3</v>
      </c>
      <c r="H50" s="413">
        <v>1</v>
      </c>
      <c r="I50" s="418"/>
    </row>
    <row r="51" spans="1:36" x14ac:dyDescent="0.2">
      <c r="A51" s="396" t="s">
        <v>290</v>
      </c>
      <c r="B51" s="414" t="s">
        <v>291</v>
      </c>
      <c r="C51" s="415" t="s">
        <v>292</v>
      </c>
      <c r="D51" s="416"/>
      <c r="F51" s="415" t="s">
        <v>293</v>
      </c>
      <c r="G51" s="417">
        <v>1.4085126762844388E-3</v>
      </c>
      <c r="H51" s="413">
        <v>1</v>
      </c>
      <c r="I51" s="418"/>
    </row>
    <row r="52" spans="1:36" x14ac:dyDescent="0.2">
      <c r="A52" s="419" t="s">
        <v>8</v>
      </c>
      <c r="B52" s="420">
        <v>52.307000000000002</v>
      </c>
      <c r="C52" s="419" t="s">
        <v>294</v>
      </c>
      <c r="D52" s="421">
        <v>6690094.3199999994</v>
      </c>
      <c r="F52" s="415" t="s">
        <v>295</v>
      </c>
      <c r="G52" s="417">
        <v>9.2446012975061433E-4</v>
      </c>
      <c r="H52" s="413">
        <v>0.9</v>
      </c>
      <c r="I52" s="418"/>
    </row>
    <row r="53" spans="1:36" x14ac:dyDescent="0.2">
      <c r="A53" s="419" t="s">
        <v>296</v>
      </c>
      <c r="B53" s="422">
        <v>0.5</v>
      </c>
      <c r="C53" s="419" t="s">
        <v>297</v>
      </c>
      <c r="D53" s="421">
        <v>166900</v>
      </c>
      <c r="F53" s="415" t="s">
        <v>298</v>
      </c>
      <c r="G53" s="423">
        <v>0</v>
      </c>
      <c r="H53" s="413">
        <v>1</v>
      </c>
      <c r="I53" s="418"/>
    </row>
    <row r="54" spans="1:36" x14ac:dyDescent="0.2">
      <c r="A54" s="391" t="s">
        <v>335</v>
      </c>
      <c r="B54" s="392" t="s">
        <v>299</v>
      </c>
      <c r="C54" s="393" t="s">
        <v>300</v>
      </c>
      <c r="D54" s="394" t="s">
        <v>301</v>
      </c>
      <c r="E54" s="393">
        <v>2025</v>
      </c>
      <c r="F54" s="393">
        <v>2026</v>
      </c>
      <c r="G54" s="393">
        <v>2027</v>
      </c>
      <c r="H54" s="393">
        <v>2028</v>
      </c>
      <c r="I54" s="393">
        <v>2029</v>
      </c>
      <c r="J54" s="393">
        <v>2030</v>
      </c>
      <c r="K54" s="393">
        <v>2031</v>
      </c>
      <c r="L54" s="393">
        <v>2032</v>
      </c>
      <c r="M54" s="393">
        <v>2033</v>
      </c>
      <c r="N54" s="393">
        <v>2034</v>
      </c>
      <c r="O54" s="393">
        <v>2035</v>
      </c>
      <c r="P54" s="393">
        <v>2036</v>
      </c>
      <c r="Q54" s="393">
        <v>2037</v>
      </c>
      <c r="R54" s="393">
        <v>2038</v>
      </c>
      <c r="S54" s="393">
        <v>2039</v>
      </c>
      <c r="T54" s="393">
        <v>2040</v>
      </c>
      <c r="U54" s="393">
        <v>2041</v>
      </c>
      <c r="V54" s="393">
        <v>2042</v>
      </c>
      <c r="W54" s="393">
        <v>2043</v>
      </c>
      <c r="X54" s="393">
        <v>2044</v>
      </c>
      <c r="Y54" s="393">
        <v>2045</v>
      </c>
      <c r="Z54" s="393">
        <v>2046</v>
      </c>
      <c r="AA54" s="393">
        <v>2047</v>
      </c>
      <c r="AB54" s="395">
        <v>2048</v>
      </c>
      <c r="AC54" s="395">
        <v>2049</v>
      </c>
      <c r="AD54" s="395">
        <v>2050</v>
      </c>
      <c r="AE54" s="395">
        <v>2051</v>
      </c>
      <c r="AF54" s="395">
        <v>2052</v>
      </c>
      <c r="AG54" s="395">
        <v>2053</v>
      </c>
      <c r="AH54" s="395">
        <v>2054</v>
      </c>
      <c r="AI54" s="395">
        <v>2055</v>
      </c>
      <c r="AJ54" s="395">
        <v>2056</v>
      </c>
    </row>
    <row r="55" spans="1:36" x14ac:dyDescent="0.2">
      <c r="A55" s="396" t="s">
        <v>302</v>
      </c>
      <c r="B55" s="397" t="b">
        <v>0</v>
      </c>
      <c r="C55" s="398">
        <v>0</v>
      </c>
      <c r="D55" s="396" t="s">
        <v>23</v>
      </c>
      <c r="E55" s="399">
        <v>2997.387986089263</v>
      </c>
      <c r="F55" s="399">
        <v>4290.7165937786667</v>
      </c>
      <c r="G55" s="399">
        <v>4967.9821731259426</v>
      </c>
      <c r="H55" s="399">
        <v>5851.9684760689624</v>
      </c>
      <c r="I55" s="399">
        <v>6847.5032516811716</v>
      </c>
      <c r="J55" s="399">
        <v>7741.3633794038624</v>
      </c>
      <c r="K55" s="399">
        <v>8739.9615220300566</v>
      </c>
      <c r="L55" s="399">
        <v>10426.479101886149</v>
      </c>
      <c r="M55" s="399">
        <v>13000.140651914888</v>
      </c>
      <c r="N55" s="399">
        <v>14774.91567705444</v>
      </c>
      <c r="O55" s="399">
        <v>15181.362375809533</v>
      </c>
      <c r="P55" s="399">
        <v>15592.705560864049</v>
      </c>
      <c r="Q55" s="399">
        <v>16008.941401808774</v>
      </c>
      <c r="R55" s="399">
        <v>16430.066529758235</v>
      </c>
      <c r="S55" s="399">
        <v>16856.078024576971</v>
      </c>
      <c r="T55" s="399">
        <v>17286.9734026837</v>
      </c>
      <c r="U55" s="399">
        <v>17722.750605398811</v>
      </c>
      <c r="V55" s="399">
        <v>18163.407987805869</v>
      </c>
      <c r="W55" s="399">
        <v>18608.944308096125</v>
      </c>
      <c r="X55" s="399">
        <v>19059.358717371015</v>
      </c>
      <c r="Y55" s="399">
        <v>19514.650749876608</v>
      </c>
      <c r="Z55" s="399">
        <v>19974.820313646098</v>
      </c>
      <c r="AA55" s="399">
        <v>20439.867681529511</v>
      </c>
      <c r="AB55" s="399">
        <v>20909.793482589095</v>
      </c>
      <c r="AC55" s="399">
        <v>21384.598693841897</v>
      </c>
      <c r="AD55" s="399">
        <v>21864.284632330724</v>
      </c>
      <c r="AE55" s="399">
        <v>22348.852947507821</v>
      </c>
      <c r="AF55" s="399">
        <v>22838.305613914166</v>
      </c>
      <c r="AG55" s="399">
        <v>22838.305613914166</v>
      </c>
      <c r="AH55" s="399">
        <v>22838.305613914166</v>
      </c>
      <c r="AI55" s="399">
        <v>22838.305613914166</v>
      </c>
      <c r="AJ55" s="399">
        <v>22838.305613914166</v>
      </c>
    </row>
    <row r="56" spans="1:36" x14ac:dyDescent="0.2">
      <c r="A56" s="396" t="s">
        <v>303</v>
      </c>
      <c r="B56" s="397" t="b">
        <v>0</v>
      </c>
      <c r="C56" s="398">
        <v>50000</v>
      </c>
      <c r="D56" s="396" t="s">
        <v>23</v>
      </c>
      <c r="E56" s="400">
        <v>5887.0894316168815</v>
      </c>
      <c r="F56" s="400">
        <v>9180.1838124800925</v>
      </c>
      <c r="G56" s="400">
        <v>10814.269344433733</v>
      </c>
      <c r="H56" s="400">
        <v>12926.727344006267</v>
      </c>
      <c r="I56" s="400">
        <v>15387.752461101347</v>
      </c>
      <c r="J56" s="400">
        <v>17156.636512301495</v>
      </c>
      <c r="K56" s="400">
        <v>19228.665037932529</v>
      </c>
      <c r="L56" s="400">
        <v>22956.636357931686</v>
      </c>
      <c r="M56" s="400">
        <v>27456.899816127891</v>
      </c>
      <c r="N56" s="400">
        <v>31244.828308421183</v>
      </c>
      <c r="O56" s="400">
        <v>32097.455242293923</v>
      </c>
      <c r="P56" s="400">
        <v>32960.065813454261</v>
      </c>
      <c r="Q56" s="400">
        <v>33832.643525215492</v>
      </c>
      <c r="R56" s="400">
        <v>34715.172797210595</v>
      </c>
      <c r="S56" s="400">
        <v>35607.63893898129</v>
      </c>
      <c r="T56" s="400">
        <v>36510.028124757438</v>
      </c>
      <c r="U56" s="400">
        <v>37422.327369356535</v>
      </c>
      <c r="V56" s="400">
        <v>38344.524505142581</v>
      </c>
      <c r="W56" s="400">
        <v>39276.608159981763</v>
      </c>
      <c r="X56" s="400">
        <v>40218.567736142752</v>
      </c>
      <c r="Y56" s="400">
        <v>41170.393390088655</v>
      </c>
      <c r="Z56" s="400">
        <v>42132.076013111749</v>
      </c>
      <c r="AA56" s="400">
        <v>43103.607212767369</v>
      </c>
      <c r="AB56" s="400">
        <v>44084.97929506364</v>
      </c>
      <c r="AC56" s="400">
        <v>45076.185247368325</v>
      </c>
      <c r="AD56" s="400">
        <v>46077.218721994359</v>
      </c>
      <c r="AE56" s="400">
        <v>47088.074020431872</v>
      </c>
      <c r="AF56" s="400">
        <v>48108.746078191034</v>
      </c>
      <c r="AG56" s="400">
        <v>48108.746078191034</v>
      </c>
      <c r="AH56" s="400">
        <v>48108.746078191034</v>
      </c>
      <c r="AI56" s="400">
        <v>48108.746078191034</v>
      </c>
      <c r="AJ56" s="400">
        <v>48108.746078191034</v>
      </c>
    </row>
    <row r="57" spans="1:36" x14ac:dyDescent="0.2">
      <c r="A57" s="396" t="s">
        <v>304</v>
      </c>
      <c r="B57" s="397" t="b">
        <v>0</v>
      </c>
      <c r="C57" s="398">
        <v>300000</v>
      </c>
      <c r="D57" s="396" t="s">
        <v>23</v>
      </c>
      <c r="E57" s="400">
        <v>2997.387986089263</v>
      </c>
      <c r="F57" s="400">
        <v>4290.7165937786667</v>
      </c>
      <c r="G57" s="400">
        <v>4967.9821731259426</v>
      </c>
      <c r="H57" s="400">
        <v>5851.9684760689624</v>
      </c>
      <c r="I57" s="400">
        <v>6847.5032516811716</v>
      </c>
      <c r="J57" s="400">
        <v>7741.3633794038624</v>
      </c>
      <c r="K57" s="400">
        <v>8739.9615220300566</v>
      </c>
      <c r="L57" s="400">
        <v>10426.479101886149</v>
      </c>
      <c r="M57" s="400">
        <v>13000.140651914888</v>
      </c>
      <c r="N57" s="400">
        <v>14774.91567705444</v>
      </c>
      <c r="O57" s="400">
        <v>15181.362375809533</v>
      </c>
      <c r="P57" s="400">
        <v>15592.705560864049</v>
      </c>
      <c r="Q57" s="400">
        <v>16008.941401808774</v>
      </c>
      <c r="R57" s="400">
        <v>16430.066529758235</v>
      </c>
      <c r="S57" s="400">
        <v>16856.078024576971</v>
      </c>
      <c r="T57" s="400">
        <v>17286.9734026837</v>
      </c>
      <c r="U57" s="400">
        <v>17722.750605398811</v>
      </c>
      <c r="V57" s="400">
        <v>18163.407987805869</v>
      </c>
      <c r="W57" s="400">
        <v>18608.944308096125</v>
      </c>
      <c r="X57" s="400">
        <v>19059.358717371015</v>
      </c>
      <c r="Y57" s="400">
        <v>19514.650749876608</v>
      </c>
      <c r="Z57" s="400">
        <v>19974.820313646098</v>
      </c>
      <c r="AA57" s="400">
        <v>20439.867681529511</v>
      </c>
      <c r="AB57" s="400">
        <v>20909.793482589095</v>
      </c>
      <c r="AC57" s="400">
        <v>21384.598693841897</v>
      </c>
      <c r="AD57" s="400">
        <v>21864.284632330724</v>
      </c>
      <c r="AE57" s="400">
        <v>22348.852947507821</v>
      </c>
      <c r="AF57" s="400">
        <v>22838.305613914166</v>
      </c>
      <c r="AG57" s="400">
        <v>22838.305613914166</v>
      </c>
      <c r="AH57" s="400">
        <v>22838.305613914166</v>
      </c>
      <c r="AI57" s="400">
        <v>22838.305613914166</v>
      </c>
      <c r="AJ57" s="400">
        <v>22838.305613914166</v>
      </c>
    </row>
    <row r="58" spans="1:36" x14ac:dyDescent="0.2">
      <c r="A58" s="396" t="s">
        <v>305</v>
      </c>
      <c r="B58" s="397" t="b">
        <v>0</v>
      </c>
      <c r="C58" s="398">
        <v>4000</v>
      </c>
      <c r="D58" s="396" t="s">
        <v>306</v>
      </c>
      <c r="E58" s="401">
        <v>3.7414854823194918E-3</v>
      </c>
      <c r="F58" s="401">
        <v>3.8554364416790348E-3</v>
      </c>
      <c r="G58" s="401">
        <v>3.9708010072432784E-3</v>
      </c>
      <c r="H58" s="401">
        <v>4.0875717412826827E-3</v>
      </c>
      <c r="I58" s="401">
        <v>4.2057413739466556E-3</v>
      </c>
      <c r="J58" s="401">
        <v>4.3253027966253183E-3</v>
      </c>
      <c r="K58" s="401">
        <v>4.4462490556842291E-3</v>
      </c>
      <c r="L58" s="401">
        <v>4.5685733465450065E-3</v>
      </c>
      <c r="M58" s="401">
        <v>4.6922690080872546E-3</v>
      </c>
      <c r="N58" s="401">
        <v>4.8173295173492333E-3</v>
      </c>
      <c r="O58" s="401">
        <v>4.9437484845067242E-3</v>
      </c>
      <c r="P58" s="401">
        <v>5.0715196481112409E-3</v>
      </c>
      <c r="Q58" s="401">
        <v>5.2006368705702962E-3</v>
      </c>
      <c r="R58" s="401">
        <v>5.3310941338538358E-3</v>
      </c>
      <c r="S58" s="401">
        <v>5.4628855354122091E-3</v>
      </c>
      <c r="T58" s="401">
        <v>5.5960052842922905E-3</v>
      </c>
      <c r="U58" s="401">
        <v>5.7304476974392492E-3</v>
      </c>
      <c r="V58" s="401">
        <v>5.866207196172586E-3</v>
      </c>
      <c r="W58" s="401">
        <v>6.0032783028257453E-3</v>
      </c>
      <c r="X58" s="401">
        <v>6.1416556375396055E-3</v>
      </c>
      <c r="Y58" s="401">
        <v>6.2813339152006705E-3</v>
      </c>
      <c r="Z58" s="401">
        <v>6.4223079425155382E-3</v>
      </c>
      <c r="AA58" s="401">
        <v>6.5645726152138706E-3</v>
      </c>
      <c r="AB58" s="401">
        <v>6.5645726152138706E-3</v>
      </c>
      <c r="AC58" s="401">
        <v>6.5645726152138706E-3</v>
      </c>
      <c r="AD58" s="401">
        <v>6.5645726152138706E-3</v>
      </c>
      <c r="AE58" s="401">
        <v>6.5645726152138706E-3</v>
      </c>
      <c r="AF58" s="401">
        <v>6.5645726152138706E-3</v>
      </c>
      <c r="AG58" s="401">
        <v>6.5645726152138706E-3</v>
      </c>
      <c r="AH58" s="401">
        <v>6.5645726152138706E-3</v>
      </c>
      <c r="AI58" s="401">
        <v>6.5645726152138706E-3</v>
      </c>
      <c r="AJ58" s="401">
        <v>6.5645726152138706E-3</v>
      </c>
    </row>
    <row r="59" spans="1:36" x14ac:dyDescent="0.2">
      <c r="A59" s="396" t="s">
        <v>307</v>
      </c>
      <c r="B59" s="397" t="b">
        <v>0</v>
      </c>
      <c r="C59" s="398">
        <v>650</v>
      </c>
      <c r="D59" s="396" t="s">
        <v>308</v>
      </c>
      <c r="E59" s="401">
        <v>1.5376813098056018E-2</v>
      </c>
      <c r="F59" s="401">
        <v>1.584697326246964E-2</v>
      </c>
      <c r="G59" s="401">
        <v>1.6322990262621618E-2</v>
      </c>
      <c r="H59" s="401">
        <v>1.6804833148576573E-2</v>
      </c>
      <c r="I59" s="401">
        <v>1.7292471672099418E-2</v>
      </c>
      <c r="J59" s="401">
        <v>1.7785876258783431E-2</v>
      </c>
      <c r="K59" s="401">
        <v>1.8285017981751365E-2</v>
      </c>
      <c r="L59" s="401">
        <v>1.8789868536814899E-2</v>
      </c>
      <c r="M59" s="401">
        <v>1.9300400218988292E-2</v>
      </c>
      <c r="N59" s="401">
        <v>1.9816585900260766E-2</v>
      </c>
      <c r="O59" s="401">
        <v>2.0338399008540675E-2</v>
      </c>
      <c r="P59" s="401">
        <v>2.0865813507691698E-2</v>
      </c>
      <c r="Q59" s="401">
        <v>2.1398803878588016E-2</v>
      </c>
      <c r="R59" s="401">
        <v>2.1937345101121251E-2</v>
      </c>
      <c r="S59" s="401">
        <v>2.2481412637097409E-2</v>
      </c>
      <c r="T59" s="401">
        <v>2.3030982413967255E-2</v>
      </c>
      <c r="U59" s="401">
        <v>2.3586030809337341E-2</v>
      </c>
      <c r="V59" s="401">
        <v>2.4146534636213652E-2</v>
      </c>
      <c r="W59" s="401">
        <v>2.471247112893276E-2</v>
      </c>
      <c r="X59" s="401">
        <v>2.5283817929739542E-2</v>
      </c>
      <c r="Y59" s="401">
        <v>2.5860553075972827E-2</v>
      </c>
      <c r="Z59" s="401">
        <v>2.6442654987823371E-2</v>
      </c>
      <c r="AA59" s="401">
        <v>2.7030102456631466E-2</v>
      </c>
      <c r="AB59" s="401">
        <v>2.7030102456631466E-2</v>
      </c>
      <c r="AC59" s="401">
        <v>2.7030102456631466E-2</v>
      </c>
      <c r="AD59" s="401">
        <v>2.7030102456631466E-2</v>
      </c>
      <c r="AE59" s="401">
        <v>2.7030102456631466E-2</v>
      </c>
      <c r="AF59" s="401">
        <v>2.7030102456631466E-2</v>
      </c>
      <c r="AG59" s="401">
        <v>2.7030102456631466E-2</v>
      </c>
      <c r="AH59" s="401">
        <v>2.7030102456631466E-2</v>
      </c>
      <c r="AI59" s="401">
        <v>2.7030102456631466E-2</v>
      </c>
      <c r="AJ59" s="401">
        <v>2.7030102456631466E-2</v>
      </c>
    </row>
    <row r="60" spans="1:36" x14ac:dyDescent="0.2">
      <c r="A60" s="396" t="s">
        <v>309</v>
      </c>
      <c r="B60" s="402" t="b">
        <v>0</v>
      </c>
      <c r="C60" s="398">
        <v>300000</v>
      </c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</row>
    <row r="61" spans="1:36" x14ac:dyDescent="0.2">
      <c r="A61" s="396" t="s">
        <v>310</v>
      </c>
      <c r="B61" s="402" t="b">
        <v>1</v>
      </c>
      <c r="C61" s="398">
        <v>500000</v>
      </c>
      <c r="D61" s="396" t="s">
        <v>275</v>
      </c>
      <c r="E61" s="403">
        <v>202129.85744173505</v>
      </c>
      <c r="F61" s="403">
        <v>301160.52141336532</v>
      </c>
      <c r="G61" s="403">
        <v>351600.76645057771</v>
      </c>
      <c r="H61" s="403">
        <v>417116.7387092982</v>
      </c>
      <c r="I61" s="403">
        <v>492186.7972048294</v>
      </c>
      <c r="J61" s="403">
        <v>552672.90181522083</v>
      </c>
      <c r="K61" s="403">
        <v>621750.9517747194</v>
      </c>
      <c r="L61" s="403">
        <v>742002.32305995096</v>
      </c>
      <c r="M61" s="403">
        <v>906855.26756045886</v>
      </c>
      <c r="N61" s="403">
        <v>1031279.0303223566</v>
      </c>
      <c r="O61" s="403">
        <v>1059540.5426616287</v>
      </c>
      <c r="P61" s="403">
        <v>1088138.0035917866</v>
      </c>
      <c r="Q61" s="403">
        <v>1117071.0139951222</v>
      </c>
      <c r="R61" s="403">
        <v>1146339.2060315532</v>
      </c>
      <c r="S61" s="403">
        <v>1175942.2422564717</v>
      </c>
      <c r="T61" s="403">
        <v>1205879.8147784295</v>
      </c>
      <c r="U61" s="403">
        <v>1236151.6444542964</v>
      </c>
      <c r="V61" s="403">
        <v>1266757.480119861</v>
      </c>
      <c r="W61" s="403">
        <v>1297697.0978537586</v>
      </c>
      <c r="X61" s="403">
        <v>1328970.3002729937</v>
      </c>
      <c r="Y61" s="403">
        <v>1360576.9158582673</v>
      </c>
      <c r="Z61" s="403">
        <v>1392516.7983074712</v>
      </c>
      <c r="AA61" s="403">
        <v>1424789.8259159017</v>
      </c>
      <c r="AB61" s="403">
        <v>1457395.9009817196</v>
      </c>
      <c r="AC61" s="403">
        <v>1490334.9492353802</v>
      </c>
      <c r="AD61" s="403">
        <v>1523606.919291734</v>
      </c>
      <c r="AE61" s="403">
        <v>1557211.7821237228</v>
      </c>
      <c r="AF61" s="403">
        <v>1591149.5305564874</v>
      </c>
      <c r="AG61" s="403">
        <v>1591149.5305564874</v>
      </c>
      <c r="AH61" s="403">
        <v>1591149.5305564874</v>
      </c>
      <c r="AI61" s="403">
        <v>1591149.5305564874</v>
      </c>
      <c r="AJ61" s="403">
        <v>1591149.5305564874</v>
      </c>
    </row>
    <row r="62" spans="1:36" x14ac:dyDescent="0.2">
      <c r="A62" s="396" t="s">
        <v>311</v>
      </c>
      <c r="B62" s="397" t="b">
        <v>0</v>
      </c>
      <c r="C62" s="398">
        <v>5575078.5999999996</v>
      </c>
      <c r="D62" s="396" t="s">
        <v>276</v>
      </c>
      <c r="E62" s="404">
        <v>678.61632354482538</v>
      </c>
      <c r="F62" s="404">
        <v>699.34972415001641</v>
      </c>
      <c r="G62" s="404">
        <v>720.34119377537695</v>
      </c>
      <c r="H62" s="404">
        <v>741.58936982601233</v>
      </c>
      <c r="I62" s="404">
        <v>763.09292057330333</v>
      </c>
      <c r="J62" s="404">
        <v>784.85054392994584</v>
      </c>
      <c r="K62" s="404">
        <v>806.86096629406416</v>
      </c>
      <c r="L62" s="404">
        <v>829.12294145736803</v>
      </c>
      <c r="M62" s="404">
        <v>851.63524957278275</v>
      </c>
      <c r="N62" s="404">
        <v>874.39669617736172</v>
      </c>
      <c r="O62" s="404">
        <v>897.40611126666818</v>
      </c>
      <c r="P62" s="404">
        <v>920.66234841712446</v>
      </c>
      <c r="Q62" s="404">
        <v>944.16428395312187</v>
      </c>
      <c r="R62" s="404">
        <v>967.91081615594283</v>
      </c>
      <c r="S62" s="404">
        <v>991.90086451178286</v>
      </c>
      <c r="T62" s="404">
        <v>1016.1333689963884</v>
      </c>
      <c r="U62" s="404">
        <v>1040.607289393995</v>
      </c>
      <c r="V62" s="404">
        <v>1065.3216046484558</v>
      </c>
      <c r="W62" s="404">
        <v>1090.2753122445797</v>
      </c>
      <c r="X62" s="404">
        <v>1115.4674276178814</v>
      </c>
      <c r="Y62" s="404">
        <v>1140.8969835910466</v>
      </c>
      <c r="Z62" s="404">
        <v>1166.5630298355507</v>
      </c>
      <c r="AA62" s="404">
        <v>1192.4646323569916</v>
      </c>
      <c r="AB62" s="404">
        <v>1192.4646323569916</v>
      </c>
      <c r="AC62" s="404">
        <v>1192.4646323569916</v>
      </c>
      <c r="AD62" s="404">
        <v>1192.4646323569916</v>
      </c>
      <c r="AE62" s="404">
        <v>1192.4646323569916</v>
      </c>
      <c r="AF62" s="404">
        <v>1192.4646323569916</v>
      </c>
      <c r="AG62" s="404">
        <v>1192.4646323569916</v>
      </c>
      <c r="AH62" s="404">
        <v>1192.4646323569916</v>
      </c>
      <c r="AI62" s="404">
        <v>1192.4646323569916</v>
      </c>
      <c r="AJ62" s="404">
        <v>1192.4646323569916</v>
      </c>
    </row>
    <row r="63" spans="1:36" x14ac:dyDescent="0.2">
      <c r="A63" s="396" t="s">
        <v>312</v>
      </c>
      <c r="B63" s="397" t="b">
        <v>0</v>
      </c>
      <c r="C63" s="398">
        <v>0</v>
      </c>
      <c r="D63" s="396" t="s">
        <v>277</v>
      </c>
      <c r="E63" s="404">
        <v>25030.890773628089</v>
      </c>
      <c r="F63" s="404">
        <v>25793.23343959792</v>
      </c>
      <c r="G63" s="404">
        <v>26565.033264408532</v>
      </c>
      <c r="H63" s="404">
        <v>27346.240488947784</v>
      </c>
      <c r="I63" s="404">
        <v>28136.806477229515</v>
      </c>
      <c r="J63" s="404">
        <v>28936.683671983155</v>
      </c>
      <c r="K63" s="404">
        <v>29745.825552738421</v>
      </c>
      <c r="L63" s="404">
        <v>30564.186596224135</v>
      </c>
      <c r="M63" s="404">
        <v>31391.722238916573</v>
      </c>
      <c r="N63" s="404">
        <v>32228.388841586446</v>
      </c>
      <c r="O63" s="404">
        <v>33074.143655707041</v>
      </c>
      <c r="P63" s="404">
        <v>33928.944791597409</v>
      </c>
      <c r="Q63" s="404">
        <v>34792.751188184913</v>
      </c>
      <c r="R63" s="404">
        <v>35665.522584280865</v>
      </c>
      <c r="S63" s="404">
        <v>36547.219491271375</v>
      </c>
      <c r="T63" s="404">
        <v>37437.803167133832</v>
      </c>
      <c r="U63" s="404">
        <v>38337.235591695397</v>
      </c>
      <c r="V63" s="404">
        <v>39245.479443057338</v>
      </c>
      <c r="W63" s="404">
        <v>40162.498075113755</v>
      </c>
      <c r="X63" s="404">
        <v>41088.255496099693</v>
      </c>
      <c r="Y63" s="404">
        <v>42022.716348107366</v>
      </c>
      <c r="Z63" s="404">
        <v>42965.845887514086</v>
      </c>
      <c r="AA63" s="404">
        <v>43917.609966269854</v>
      </c>
      <c r="AB63" s="404">
        <v>43917.609966269854</v>
      </c>
      <c r="AC63" s="404">
        <v>43917.609966269854</v>
      </c>
      <c r="AD63" s="404">
        <v>43917.609966269854</v>
      </c>
      <c r="AE63" s="404">
        <v>43917.609966269854</v>
      </c>
      <c r="AF63" s="404">
        <v>43917.609966269854</v>
      </c>
      <c r="AG63" s="404">
        <v>43917.609966269854</v>
      </c>
      <c r="AH63" s="404">
        <v>43917.609966269854</v>
      </c>
      <c r="AI63" s="404">
        <v>43917.609966269854</v>
      </c>
      <c r="AJ63" s="404">
        <v>43917.609966269854</v>
      </c>
    </row>
    <row r="64" spans="1:36" x14ac:dyDescent="0.2">
      <c r="A64" s="396" t="s">
        <v>313</v>
      </c>
      <c r="B64" s="397" t="b">
        <v>0</v>
      </c>
      <c r="C64" s="398">
        <v>0</v>
      </c>
      <c r="D64" s="396" t="s">
        <v>278</v>
      </c>
      <c r="E64" s="404">
        <v>2566.3901060655494</v>
      </c>
      <c r="F64" s="404">
        <v>2644.8598375061829</v>
      </c>
      <c r="G64" s="404">
        <v>2724.3070748315481</v>
      </c>
      <c r="H64" s="404">
        <v>2804.7266524974302</v>
      </c>
      <c r="I64" s="404">
        <v>2886.1135220733927</v>
      </c>
      <c r="J64" s="404">
        <v>2968.4627475909547</v>
      </c>
      <c r="K64" s="404">
        <v>3051.7695011543028</v>
      </c>
      <c r="L64" s="404">
        <v>3136.0290587944069</v>
      </c>
      <c r="M64" s="404">
        <v>3221.2367965491458</v>
      </c>
      <c r="N64" s="404">
        <v>3307.3881867535219</v>
      </c>
      <c r="O64" s="404">
        <v>3394.4787945254388</v>
      </c>
      <c r="P64" s="404">
        <v>3482.5042744337443</v>
      </c>
      <c r="Q64" s="404">
        <v>3571.4603673363399</v>
      </c>
      <c r="R64" s="404">
        <v>3661.3428973771365</v>
      </c>
      <c r="S64" s="404">
        <v>3752.1477691315577</v>
      </c>
      <c r="T64" s="404">
        <v>3843.8709648911349</v>
      </c>
      <c r="U64" s="404">
        <v>3936.5085420784021</v>
      </c>
      <c r="V64" s="404">
        <v>4030.0566307840586</v>
      </c>
      <c r="W64" s="404">
        <v>4124.5114314188777</v>
      </c>
      <c r="X64" s="404">
        <v>4219.8692124735298</v>
      </c>
      <c r="Y64" s="404">
        <v>4316.1263083798649</v>
      </c>
      <c r="Z64" s="404">
        <v>4413.2791174677204</v>
      </c>
      <c r="AA64" s="404">
        <v>4511.3241000117914</v>
      </c>
      <c r="AB64" s="404">
        <v>4511.3241000117914</v>
      </c>
      <c r="AC64" s="404">
        <v>4511.3241000117914</v>
      </c>
      <c r="AD64" s="404">
        <v>4511.3241000117914</v>
      </c>
      <c r="AE64" s="404">
        <v>4511.3241000117914</v>
      </c>
      <c r="AF64" s="404">
        <v>4511.3241000117914</v>
      </c>
      <c r="AG64" s="404">
        <v>4511.3241000117914</v>
      </c>
      <c r="AH64" s="404">
        <v>4511.3241000117914</v>
      </c>
      <c r="AI64" s="404">
        <v>4511.3241000117914</v>
      </c>
      <c r="AJ64" s="404">
        <v>4511.3241000117914</v>
      </c>
    </row>
    <row r="65" spans="1:36" x14ac:dyDescent="0.2">
      <c r="A65" s="396" t="s">
        <v>314</v>
      </c>
      <c r="B65" s="397" t="b">
        <v>0</v>
      </c>
      <c r="C65" s="398" t="s">
        <v>136</v>
      </c>
      <c r="D65" s="396" t="s">
        <v>279</v>
      </c>
      <c r="E65" s="405">
        <v>2438.125</v>
      </c>
      <c r="F65" s="405">
        <v>2438.125</v>
      </c>
      <c r="G65" s="405">
        <v>2438.125</v>
      </c>
      <c r="H65" s="405">
        <v>2438.125</v>
      </c>
      <c r="I65" s="405">
        <v>2438.125</v>
      </c>
      <c r="J65" s="405">
        <v>2438.125</v>
      </c>
      <c r="K65" s="405">
        <v>2438.125</v>
      </c>
      <c r="L65" s="405">
        <v>2438.125</v>
      </c>
      <c r="M65" s="405">
        <v>2438.125</v>
      </c>
      <c r="N65" s="405">
        <v>2438.125</v>
      </c>
      <c r="O65" s="405">
        <v>2438.125</v>
      </c>
      <c r="P65" s="405">
        <v>2438.125</v>
      </c>
      <c r="Q65" s="405">
        <v>2438.125</v>
      </c>
      <c r="R65" s="405">
        <v>2438.125</v>
      </c>
      <c r="S65" s="405">
        <v>2438.125</v>
      </c>
      <c r="T65" s="405">
        <v>2438.125</v>
      </c>
      <c r="U65" s="405">
        <v>2438.125</v>
      </c>
      <c r="V65" s="405">
        <v>2438.125</v>
      </c>
      <c r="W65" s="405">
        <v>2438.125</v>
      </c>
      <c r="X65" s="405">
        <v>2438.125</v>
      </c>
      <c r="Y65" s="405">
        <v>2438.125</v>
      </c>
      <c r="Z65" s="405">
        <v>2438.125</v>
      </c>
      <c r="AA65" s="405">
        <v>2438.125</v>
      </c>
      <c r="AB65" s="405">
        <v>2438.125</v>
      </c>
      <c r="AC65" s="405">
        <v>2438.125</v>
      </c>
      <c r="AD65" s="405">
        <v>2438.125</v>
      </c>
      <c r="AE65" s="405">
        <v>2438.125</v>
      </c>
      <c r="AF65" s="405">
        <v>2438.125</v>
      </c>
      <c r="AG65" s="405">
        <v>2438.125</v>
      </c>
      <c r="AH65" s="405">
        <v>2438.125</v>
      </c>
      <c r="AI65" s="405">
        <v>2438.125</v>
      </c>
      <c r="AJ65" s="405">
        <v>2438.125</v>
      </c>
    </row>
    <row r="66" spans="1:36" x14ac:dyDescent="0.2">
      <c r="A66" s="396" t="s">
        <v>315</v>
      </c>
      <c r="B66" s="397" t="b">
        <v>1</v>
      </c>
      <c r="C66" s="398">
        <v>0</v>
      </c>
      <c r="D66" s="396" t="s">
        <v>316</v>
      </c>
      <c r="E66" s="406">
        <v>0</v>
      </c>
      <c r="F66" s="406">
        <v>0</v>
      </c>
      <c r="G66" s="406">
        <v>0</v>
      </c>
      <c r="H66" s="406">
        <v>0</v>
      </c>
      <c r="I66" s="406">
        <v>0</v>
      </c>
      <c r="J66" s="406">
        <v>0</v>
      </c>
      <c r="K66" s="406">
        <v>0</v>
      </c>
      <c r="L66" s="406">
        <v>0</v>
      </c>
      <c r="M66" s="406">
        <v>0</v>
      </c>
      <c r="N66" s="406">
        <v>0</v>
      </c>
      <c r="O66" s="406">
        <v>0</v>
      </c>
      <c r="P66" s="406">
        <v>0</v>
      </c>
      <c r="Q66" s="406">
        <v>0</v>
      </c>
      <c r="R66" s="406">
        <v>0</v>
      </c>
      <c r="S66" s="406">
        <v>0</v>
      </c>
      <c r="T66" s="406">
        <v>0</v>
      </c>
      <c r="U66" s="406">
        <v>0</v>
      </c>
      <c r="V66" s="406">
        <v>0</v>
      </c>
      <c r="W66" s="406">
        <v>0</v>
      </c>
      <c r="X66" s="406">
        <v>0</v>
      </c>
      <c r="Y66" s="406">
        <v>0</v>
      </c>
      <c r="Z66" s="406">
        <v>0</v>
      </c>
      <c r="AA66" s="406">
        <v>0</v>
      </c>
      <c r="AB66" s="406">
        <v>0</v>
      </c>
      <c r="AC66" s="406">
        <v>0</v>
      </c>
      <c r="AD66" s="406">
        <v>0</v>
      </c>
      <c r="AE66" s="406">
        <v>0</v>
      </c>
      <c r="AF66" s="406">
        <v>0</v>
      </c>
      <c r="AG66" s="406">
        <v>0</v>
      </c>
      <c r="AH66" s="406">
        <v>0</v>
      </c>
      <c r="AI66" s="406">
        <v>0</v>
      </c>
      <c r="AJ66" s="406">
        <v>0</v>
      </c>
    </row>
    <row r="67" spans="1:36" x14ac:dyDescent="0.2">
      <c r="A67" s="396" t="s">
        <v>317</v>
      </c>
      <c r="B67" s="402">
        <v>0</v>
      </c>
      <c r="C67" s="398">
        <v>0</v>
      </c>
      <c r="D67" s="396" t="s">
        <v>18</v>
      </c>
      <c r="E67" s="405">
        <v>50000</v>
      </c>
      <c r="F67" s="405">
        <v>50000</v>
      </c>
      <c r="G67" s="405">
        <v>50000</v>
      </c>
      <c r="H67" s="405">
        <v>50000</v>
      </c>
      <c r="I67" s="405">
        <v>50000</v>
      </c>
      <c r="J67" s="405">
        <v>50000</v>
      </c>
      <c r="K67" s="405">
        <v>50000</v>
      </c>
      <c r="L67" s="405">
        <v>50000</v>
      </c>
      <c r="M67" s="405">
        <v>50000</v>
      </c>
      <c r="N67" s="405">
        <v>50000</v>
      </c>
      <c r="O67" s="405">
        <v>50000</v>
      </c>
      <c r="P67" s="405">
        <v>50000</v>
      </c>
      <c r="Q67" s="405">
        <v>50000</v>
      </c>
      <c r="R67" s="405">
        <v>50000</v>
      </c>
      <c r="S67" s="405">
        <v>50000</v>
      </c>
      <c r="T67" s="405">
        <v>50000</v>
      </c>
      <c r="U67" s="405">
        <v>50000</v>
      </c>
      <c r="V67" s="405">
        <v>50000</v>
      </c>
      <c r="W67" s="405">
        <v>50000</v>
      </c>
      <c r="X67" s="405">
        <v>50000</v>
      </c>
      <c r="Y67" s="405">
        <v>50000</v>
      </c>
      <c r="Z67" s="405">
        <v>50000</v>
      </c>
      <c r="AA67" s="405">
        <v>50000</v>
      </c>
      <c r="AB67" s="405">
        <v>50000</v>
      </c>
      <c r="AC67" s="405">
        <v>50000</v>
      </c>
      <c r="AD67" s="405">
        <v>50000</v>
      </c>
      <c r="AE67" s="405">
        <v>50000</v>
      </c>
      <c r="AF67" s="405">
        <v>50000</v>
      </c>
      <c r="AG67" s="405">
        <v>50000</v>
      </c>
      <c r="AH67" s="405">
        <v>50000</v>
      </c>
      <c r="AI67" s="405">
        <v>50000</v>
      </c>
      <c r="AJ67" s="405">
        <v>50000</v>
      </c>
    </row>
    <row r="68" spans="1:36" x14ac:dyDescent="0.2">
      <c r="A68" s="407"/>
      <c r="B68" s="407"/>
      <c r="C68" s="398">
        <v>0</v>
      </c>
      <c r="D68" s="408" t="s">
        <v>318</v>
      </c>
      <c r="E68" s="409">
        <v>0</v>
      </c>
      <c r="F68" s="409">
        <v>0</v>
      </c>
      <c r="G68" s="409">
        <v>0</v>
      </c>
      <c r="H68" s="409">
        <v>0</v>
      </c>
      <c r="I68" s="409">
        <v>0</v>
      </c>
      <c r="J68" s="409">
        <v>60120.68393369564</v>
      </c>
      <c r="K68" s="409">
        <v>60120.68393369564</v>
      </c>
      <c r="L68" s="409">
        <v>60120.68393369564</v>
      </c>
      <c r="M68" s="409">
        <v>60120.68393369564</v>
      </c>
      <c r="N68" s="409">
        <v>60120.68393369564</v>
      </c>
      <c r="O68" s="409">
        <v>60120.68393369564</v>
      </c>
      <c r="P68" s="409">
        <v>60120.68393369564</v>
      </c>
      <c r="Q68" s="409">
        <v>60120.68393369564</v>
      </c>
      <c r="R68" s="409">
        <v>60120.68393369564</v>
      </c>
      <c r="S68" s="409">
        <v>60120.68393369564</v>
      </c>
      <c r="T68" s="409">
        <v>60120.68393369564</v>
      </c>
      <c r="U68" s="409">
        <v>60120.68393369564</v>
      </c>
      <c r="V68" s="409">
        <v>60120.68393369564</v>
      </c>
      <c r="W68" s="409">
        <v>60120.68393369564</v>
      </c>
      <c r="X68" s="409">
        <v>60120.68393369564</v>
      </c>
      <c r="Y68" s="409">
        <v>60120.68393369564</v>
      </c>
      <c r="Z68" s="409">
        <v>60120.68393369564</v>
      </c>
      <c r="AA68" s="409">
        <v>60120.68393369564</v>
      </c>
      <c r="AB68" s="409">
        <v>60120.68393369564</v>
      </c>
      <c r="AC68" s="409">
        <v>60120.68393369564</v>
      </c>
      <c r="AD68" s="409">
        <v>60120.68393369564</v>
      </c>
      <c r="AE68" s="409">
        <v>60120.68393369564</v>
      </c>
      <c r="AF68" s="409">
        <v>60120.68393369564</v>
      </c>
      <c r="AG68" s="409">
        <v>60120.68393369564</v>
      </c>
      <c r="AH68" s="409">
        <v>60120.68393369564</v>
      </c>
      <c r="AI68" s="409">
        <v>60120.68393369564</v>
      </c>
      <c r="AJ68" s="409">
        <v>60120.68393369564</v>
      </c>
    </row>
    <row r="69" spans="1:36" x14ac:dyDescent="0.2">
      <c r="A69" s="325"/>
      <c r="B69" s="325"/>
      <c r="C69" s="325"/>
      <c r="D69" s="410" t="s">
        <v>319</v>
      </c>
      <c r="E69" s="411">
        <v>282843.87964497349</v>
      </c>
      <c r="F69" s="411">
        <v>382736.08941461949</v>
      </c>
      <c r="G69" s="411">
        <v>434048.57298359316</v>
      </c>
      <c r="H69" s="411">
        <v>500447.42022056942</v>
      </c>
      <c r="I69" s="411">
        <v>576410.93512470555</v>
      </c>
      <c r="J69" s="411">
        <v>697921.70771242061</v>
      </c>
      <c r="K69" s="411">
        <v>767914.21672860184</v>
      </c>
      <c r="L69" s="411">
        <v>889090.47059012239</v>
      </c>
      <c r="M69" s="411">
        <v>1054878.6707791931</v>
      </c>
      <c r="N69" s="411">
        <v>1180248.0129805694</v>
      </c>
      <c r="O69" s="411">
        <v>1209465.3801568234</v>
      </c>
      <c r="P69" s="411">
        <v>1239028.9239399303</v>
      </c>
      <c r="Q69" s="411">
        <v>1268938.1987682921</v>
      </c>
      <c r="R69" s="411">
        <v>1299192.7912630627</v>
      </c>
      <c r="S69" s="411">
        <v>1329792.3193150817</v>
      </c>
      <c r="T69" s="411">
        <v>1360736.4312131463</v>
      </c>
      <c r="U69" s="411">
        <v>1392024.8048111596</v>
      </c>
      <c r="V69" s="411">
        <v>1423657.1467320463</v>
      </c>
      <c r="W69" s="411">
        <v>1455633.1916062315</v>
      </c>
      <c r="X69" s="411">
        <v>1487952.7013428803</v>
      </c>
      <c r="Y69" s="411">
        <v>1520615.4644320414</v>
      </c>
      <c r="Z69" s="411">
        <v>1553621.2952759841</v>
      </c>
      <c r="AA69" s="411">
        <v>1586970.0335482359</v>
      </c>
      <c r="AB69" s="411">
        <v>1619576.1086140538</v>
      </c>
      <c r="AC69" s="411">
        <v>1652515.1568677144</v>
      </c>
      <c r="AD69" s="411">
        <v>1685787.1269240682</v>
      </c>
      <c r="AE69" s="411">
        <v>1719391.989756057</v>
      </c>
      <c r="AF69" s="411">
        <v>1753329.7381888216</v>
      </c>
      <c r="AG69" s="411">
        <v>1753329.7381888216</v>
      </c>
      <c r="AH69" s="411">
        <v>1753329.7381888216</v>
      </c>
      <c r="AI69" s="411">
        <v>1753329.7381888216</v>
      </c>
      <c r="AJ69" s="411">
        <v>1753329.7381888216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VM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193</v>
      </c>
      <c r="D31" s="193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4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154</v>
      </c>
      <c r="C35" s="190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193</v>
      </c>
      <c r="C38" s="194" cm="1">
        <f t="array" ref="C38">IF(OR(NOT(Data!$C$10:$C$13)), _xlfn.MINIFS($C$32:$C$35,$D$32:$D$35,TRUE), 0)</f>
        <v>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8" t="s">
        <v>211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VM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1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42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424">
        <v>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424">
        <v>4220.9953699573898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42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424">
        <v>0.54769380678923496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424">
        <v>0.54769380678923496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42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42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29" t="s">
        <v>137</v>
      </c>
      <c r="D107" s="129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29" t="s">
        <v>138</v>
      </c>
      <c r="D108" s="129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29" t="s">
        <v>139</v>
      </c>
      <c r="D109" s="129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2025-01-27T12:32:45Z</dcterms:modified>
</cp:coreProperties>
</file>