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7B2420C0-23A3-4C8D-B3E3-BED2CAD9E6C9}" xr6:coauthVersionLast="47" xr6:coauthVersionMax="47" xr10:uidLastSave="{00000000-0000-0000-0000-000000000000}"/>
  <bookViews>
    <workbookView xWindow="735" yWindow="735" windowWidth="23865" windowHeight="1420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SWBD risks" sheetId="89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72" l="1"/>
  <c r="K54" i="72"/>
  <c r="L54" i="72"/>
  <c r="M54" i="72"/>
  <c r="N54" i="72"/>
  <c r="O54" i="72"/>
  <c r="P54" i="72"/>
  <c r="Q54" i="72"/>
  <c r="R54" i="72"/>
  <c r="S54" i="72"/>
  <c r="T54" i="72"/>
  <c r="U54" i="72"/>
  <c r="V54" i="72"/>
  <c r="W54" i="72"/>
  <c r="X54" i="72"/>
  <c r="Y54" i="72"/>
  <c r="Z54" i="72"/>
  <c r="AA54" i="72"/>
  <c r="AB54" i="72"/>
  <c r="AC54" i="72"/>
  <c r="AD54" i="72"/>
  <c r="AE54" i="72"/>
  <c r="AF54" i="72"/>
  <c r="AG54" i="72"/>
  <c r="I54" i="72"/>
  <c r="J54" i="81"/>
  <c r="K54" i="81"/>
  <c r="L54" i="81"/>
  <c r="M54" i="81"/>
  <c r="N54" i="81"/>
  <c r="O54" i="81"/>
  <c r="P54" i="81"/>
  <c r="Q54" i="81"/>
  <c r="R54" i="81"/>
  <c r="S54" i="81"/>
  <c r="T54" i="81"/>
  <c r="U54" i="81"/>
  <c r="V54" i="81"/>
  <c r="W54" i="81"/>
  <c r="X54" i="81"/>
  <c r="Y54" i="81"/>
  <c r="Z54" i="81"/>
  <c r="AA54" i="81"/>
  <c r="AB54" i="81"/>
  <c r="AC54" i="81"/>
  <c r="AD54" i="81"/>
  <c r="AE54" i="81"/>
  <c r="AF54" i="81"/>
  <c r="AG54" i="81"/>
  <c r="I54" i="81"/>
  <c r="U47" i="87"/>
  <c r="V47" i="87"/>
  <c r="W47" i="87"/>
  <c r="X47" i="87"/>
  <c r="Y47" i="87"/>
  <c r="Z47" i="87"/>
  <c r="AA47" i="87"/>
  <c r="AB47" i="87"/>
  <c r="AC47" i="87"/>
  <c r="F47" i="87"/>
  <c r="G47" i="87"/>
  <c r="H47" i="87"/>
  <c r="I47" i="87"/>
  <c r="J47" i="87"/>
  <c r="K47" i="87"/>
  <c r="L47" i="87"/>
  <c r="M47" i="87"/>
  <c r="N47" i="87"/>
  <c r="O47" i="87"/>
  <c r="P47" i="87"/>
  <c r="Q47" i="87"/>
  <c r="R47" i="87"/>
  <c r="S47" i="87"/>
  <c r="T47" i="87"/>
  <c r="E47" i="87"/>
  <c r="F31" i="87"/>
  <c r="G31" i="87"/>
  <c r="H31" i="87"/>
  <c r="I31" i="87"/>
  <c r="J31" i="87"/>
  <c r="K31" i="87"/>
  <c r="L31" i="87"/>
  <c r="M31" i="87"/>
  <c r="N31" i="87"/>
  <c r="O31" i="87"/>
  <c r="P31" i="87"/>
  <c r="Q31" i="87"/>
  <c r="R31" i="87"/>
  <c r="S31" i="87"/>
  <c r="T31" i="87"/>
  <c r="U31" i="87"/>
  <c r="V31" i="87"/>
  <c r="W31" i="87"/>
  <c r="X31" i="87"/>
  <c r="Y31" i="87"/>
  <c r="Z31" i="87"/>
  <c r="AA31" i="87"/>
  <c r="AB31" i="87"/>
  <c r="AC31" i="87"/>
  <c r="E31" i="87"/>
  <c r="C33" i="72" l="1"/>
  <c r="C32" i="72"/>
  <c r="C31" i="72"/>
  <c r="C30" i="72"/>
  <c r="B8" i="88"/>
  <c r="B34" i="87"/>
  <c r="B60" i="88" s="1"/>
  <c r="B18" i="87"/>
  <c r="B34" i="88" s="1"/>
  <c r="C31" i="81" l="1"/>
  <c r="C32" i="81"/>
  <c r="C33" i="81"/>
  <c r="C30" i="81"/>
  <c r="C31" i="68"/>
  <c r="C32" i="68"/>
  <c r="C33" i="68"/>
  <c r="C30" i="68"/>
  <c r="D82" i="88"/>
  <c r="D81" i="88"/>
  <c r="D80" i="88"/>
  <c r="D79" i="88"/>
  <c r="J14" i="72"/>
  <c r="K14" i="72"/>
  <c r="L14" i="72"/>
  <c r="M14" i="72"/>
  <c r="N14" i="72"/>
  <c r="O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J15" i="72"/>
  <c r="N15" i="72"/>
  <c r="O15" i="72"/>
  <c r="P15" i="72"/>
  <c r="Q15" i="72"/>
  <c r="R15" i="72"/>
  <c r="S15" i="72"/>
  <c r="T15" i="72"/>
  <c r="U15" i="72"/>
  <c r="V15" i="72"/>
  <c r="W15" i="72"/>
  <c r="X15" i="72"/>
  <c r="Y15" i="72"/>
  <c r="Z15" i="72"/>
  <c r="AA15" i="72"/>
  <c r="AB15" i="72"/>
  <c r="AC15" i="72"/>
  <c r="AD15" i="72"/>
  <c r="AE15" i="72"/>
  <c r="AF15" i="72"/>
  <c r="AG15" i="72"/>
  <c r="I15" i="72"/>
  <c r="I14" i="72"/>
  <c r="J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J15" i="81"/>
  <c r="N15" i="81"/>
  <c r="O15" i="81"/>
  <c r="P15" i="81"/>
  <c r="Q15" i="81"/>
  <c r="R15" i="81"/>
  <c r="S15" i="81"/>
  <c r="T15" i="81"/>
  <c r="U15" i="81"/>
  <c r="V15" i="81"/>
  <c r="W15" i="81"/>
  <c r="X15" i="81"/>
  <c r="Y15" i="81"/>
  <c r="Z15" i="81"/>
  <c r="AA15" i="81"/>
  <c r="AB15" i="81"/>
  <c r="AC15" i="81"/>
  <c r="AD15" i="81"/>
  <c r="AE15" i="81"/>
  <c r="AF15" i="81"/>
  <c r="AG15" i="81"/>
  <c r="I15" i="81"/>
  <c r="I14" i="81"/>
  <c r="A2" i="89" l="1"/>
  <c r="A1" i="89"/>
  <c r="AC82" i="88" l="1"/>
  <c r="AG33" i="72" s="1"/>
  <c r="AB82" i="88"/>
  <c r="AF33" i="72" s="1"/>
  <c r="AA82" i="88"/>
  <c r="AE33" i="72" s="1"/>
  <c r="Z82" i="88"/>
  <c r="AD33" i="72" s="1"/>
  <c r="Y82" i="88"/>
  <c r="AC33" i="72" s="1"/>
  <c r="X82" i="88"/>
  <c r="AB33" i="72" s="1"/>
  <c r="W82" i="88"/>
  <c r="AA33" i="72" s="1"/>
  <c r="V82" i="88"/>
  <c r="Z33" i="72" s="1"/>
  <c r="U82" i="88"/>
  <c r="Y33" i="72" s="1"/>
  <c r="T82" i="88"/>
  <c r="X33" i="72" s="1"/>
  <c r="S82" i="88"/>
  <c r="W33" i="72" s="1"/>
  <c r="R82" i="88"/>
  <c r="V33" i="72" s="1"/>
  <c r="Q82" i="88"/>
  <c r="U33" i="72" s="1"/>
  <c r="P82" i="88"/>
  <c r="T33" i="72" s="1"/>
  <c r="O82" i="88"/>
  <c r="S33" i="72" s="1"/>
  <c r="N82" i="88"/>
  <c r="R33" i="72" s="1"/>
  <c r="M82" i="88"/>
  <c r="Q33" i="72" s="1"/>
  <c r="L82" i="88"/>
  <c r="P33" i="72" s="1"/>
  <c r="K82" i="88"/>
  <c r="O33" i="72" s="1"/>
  <c r="J82" i="88"/>
  <c r="N33" i="72" s="1"/>
  <c r="I82" i="88"/>
  <c r="M33" i="72" s="1"/>
  <c r="H82" i="88"/>
  <c r="L33" i="72" s="1"/>
  <c r="G82" i="88"/>
  <c r="K33" i="72" s="1"/>
  <c r="F82" i="88"/>
  <c r="J33" i="72" s="1"/>
  <c r="E82" i="88"/>
  <c r="I33" i="72" s="1"/>
  <c r="AC75" i="88"/>
  <c r="AB75" i="88"/>
  <c r="AA75" i="88"/>
  <c r="Z75" i="88"/>
  <c r="Y75" i="88"/>
  <c r="X75" i="88"/>
  <c r="W75" i="88"/>
  <c r="V75" i="88"/>
  <c r="U75" i="88"/>
  <c r="T75" i="88"/>
  <c r="S75" i="88"/>
  <c r="R75" i="88"/>
  <c r="Q75" i="88"/>
  <c r="P75" i="88"/>
  <c r="O75" i="88"/>
  <c r="N75" i="88"/>
  <c r="M75" i="88"/>
  <c r="L75" i="88"/>
  <c r="K75" i="88"/>
  <c r="J75" i="88"/>
  <c r="I75" i="88"/>
  <c r="H75" i="88"/>
  <c r="G75" i="88"/>
  <c r="F75" i="88"/>
  <c r="E75" i="88"/>
  <c r="AC81" i="88"/>
  <c r="AG32" i="72" s="1"/>
  <c r="AB81" i="88"/>
  <c r="AF32" i="72" s="1"/>
  <c r="AA81" i="88"/>
  <c r="AE32" i="72" s="1"/>
  <c r="Z81" i="88"/>
  <c r="AD32" i="72" s="1"/>
  <c r="Y81" i="88"/>
  <c r="AC32" i="72" s="1"/>
  <c r="X81" i="88"/>
  <c r="AB32" i="72" s="1"/>
  <c r="W81" i="88"/>
  <c r="AA32" i="72" s="1"/>
  <c r="V81" i="88"/>
  <c r="Z32" i="72" s="1"/>
  <c r="U81" i="88"/>
  <c r="Y32" i="72" s="1"/>
  <c r="T81" i="88"/>
  <c r="X32" i="72" s="1"/>
  <c r="S81" i="88"/>
  <c r="W32" i="72" s="1"/>
  <c r="R81" i="88"/>
  <c r="V32" i="72" s="1"/>
  <c r="Q81" i="88"/>
  <c r="U32" i="72" s="1"/>
  <c r="P81" i="88"/>
  <c r="T32" i="72" s="1"/>
  <c r="O81" i="88"/>
  <c r="S32" i="72" s="1"/>
  <c r="F81" i="88"/>
  <c r="J32" i="72" s="1"/>
  <c r="AC80" i="88"/>
  <c r="AG31" i="72" s="1"/>
  <c r="AB80" i="88"/>
  <c r="AF31" i="72" s="1"/>
  <c r="AA80" i="88"/>
  <c r="AE31" i="72" s="1"/>
  <c r="Z80" i="88"/>
  <c r="AD31" i="72" s="1"/>
  <c r="Y80" i="88"/>
  <c r="AC31" i="72" s="1"/>
  <c r="X80" i="88"/>
  <c r="AB31" i="72" s="1"/>
  <c r="W80" i="88"/>
  <c r="AA31" i="72" s="1"/>
  <c r="V80" i="88"/>
  <c r="Z31" i="72" s="1"/>
  <c r="U80" i="88"/>
  <c r="Y31" i="72" s="1"/>
  <c r="T80" i="88"/>
  <c r="X31" i="72" s="1"/>
  <c r="S80" i="88"/>
  <c r="W31" i="72" s="1"/>
  <c r="R80" i="88"/>
  <c r="V31" i="72" s="1"/>
  <c r="Q80" i="88"/>
  <c r="U31" i="72" s="1"/>
  <c r="P80" i="88"/>
  <c r="T31" i="72" s="1"/>
  <c r="O80" i="88"/>
  <c r="S31" i="72" s="1"/>
  <c r="K80" i="88"/>
  <c r="O31" i="72" s="1"/>
  <c r="AC79" i="88"/>
  <c r="AG30" i="72" s="1"/>
  <c r="Y79" i="88"/>
  <c r="AC30" i="72" s="1"/>
  <c r="X79" i="88"/>
  <c r="AB30" i="72" s="1"/>
  <c r="W79" i="88"/>
  <c r="AA30" i="72" s="1"/>
  <c r="V79" i="88"/>
  <c r="Z30" i="72" s="1"/>
  <c r="U79" i="88"/>
  <c r="Y30" i="72" s="1"/>
  <c r="T79" i="88"/>
  <c r="X30" i="72" s="1"/>
  <c r="S79" i="88"/>
  <c r="W30" i="72" s="1"/>
  <c r="R79" i="88"/>
  <c r="V30" i="72" s="1"/>
  <c r="AB78" i="88"/>
  <c r="AF28" i="72" s="1"/>
  <c r="AA78" i="88"/>
  <c r="AE28" i="72" s="1"/>
  <c r="Z78" i="88"/>
  <c r="AD28" i="72" s="1"/>
  <c r="Y78" i="88"/>
  <c r="X78" i="88"/>
  <c r="AB28" i="72" s="1"/>
  <c r="U78" i="88"/>
  <c r="Y28" i="72" s="1"/>
  <c r="Q78" i="88"/>
  <c r="U28" i="72" s="1"/>
  <c r="P78" i="88"/>
  <c r="T28" i="72" s="1"/>
  <c r="O78" i="88"/>
  <c r="S28" i="72" s="1"/>
  <c r="F62" i="88"/>
  <c r="G62" i="88" s="1"/>
  <c r="H62" i="88" s="1"/>
  <c r="I62" i="88" s="1"/>
  <c r="J62" i="88" s="1"/>
  <c r="K62" i="88" s="1"/>
  <c r="L62" i="88" s="1"/>
  <c r="M62" i="88" s="1"/>
  <c r="N62" i="88" s="1"/>
  <c r="O62" i="88" s="1"/>
  <c r="P62" i="88" s="1"/>
  <c r="Q62" i="88" s="1"/>
  <c r="R62" i="88" s="1"/>
  <c r="S62" i="88" s="1"/>
  <c r="T62" i="88" s="1"/>
  <c r="U62" i="88" s="1"/>
  <c r="V62" i="88" s="1"/>
  <c r="W62" i="88" s="1"/>
  <c r="X62" i="88" s="1"/>
  <c r="Y62" i="88" s="1"/>
  <c r="Z62" i="88" s="1"/>
  <c r="AA62" i="88" s="1"/>
  <c r="AB62" i="88" s="1"/>
  <c r="AC62" i="88" s="1"/>
  <c r="AC56" i="88"/>
  <c r="AG33" i="81" s="1"/>
  <c r="AB56" i="88"/>
  <c r="AF33" i="81" s="1"/>
  <c r="AA56" i="88"/>
  <c r="AE33" i="81" s="1"/>
  <c r="Z56" i="88"/>
  <c r="AD33" i="81" s="1"/>
  <c r="Y56" i="88"/>
  <c r="AC33" i="81" s="1"/>
  <c r="X56" i="88"/>
  <c r="AB33" i="81" s="1"/>
  <c r="W56" i="88"/>
  <c r="AA33" i="81" s="1"/>
  <c r="V56" i="88"/>
  <c r="Z33" i="81" s="1"/>
  <c r="U56" i="88"/>
  <c r="Y33" i="81" s="1"/>
  <c r="T56" i="88"/>
  <c r="X33" i="81" s="1"/>
  <c r="S56" i="88"/>
  <c r="W33" i="81" s="1"/>
  <c r="R56" i="88"/>
  <c r="V33" i="81" s="1"/>
  <c r="Q56" i="88"/>
  <c r="U33" i="81" s="1"/>
  <c r="P56" i="88"/>
  <c r="T33" i="81" s="1"/>
  <c r="O56" i="88"/>
  <c r="S33" i="81" s="1"/>
  <c r="N56" i="88"/>
  <c r="R33" i="81" s="1"/>
  <c r="M56" i="88"/>
  <c r="Q33" i="81" s="1"/>
  <c r="L56" i="88"/>
  <c r="P33" i="81" s="1"/>
  <c r="K56" i="88"/>
  <c r="O33" i="81" s="1"/>
  <c r="J56" i="88"/>
  <c r="N33" i="81" s="1"/>
  <c r="I56" i="88"/>
  <c r="M33" i="81" s="1"/>
  <c r="H56" i="88"/>
  <c r="L33" i="81" s="1"/>
  <c r="G56" i="88"/>
  <c r="K33" i="81" s="1"/>
  <c r="F56" i="88"/>
  <c r="J33" i="81" s="1"/>
  <c r="E56" i="88"/>
  <c r="I33" i="81" s="1"/>
  <c r="AC49" i="88"/>
  <c r="AB49" i="88"/>
  <c r="AA49" i="88"/>
  <c r="Z49" i="88"/>
  <c r="Y49" i="88"/>
  <c r="X49" i="88"/>
  <c r="W49" i="88"/>
  <c r="V49" i="88"/>
  <c r="U49" i="88"/>
  <c r="T49" i="88"/>
  <c r="S49" i="88"/>
  <c r="R49" i="88"/>
  <c r="Q49" i="88"/>
  <c r="P49" i="88"/>
  <c r="O49" i="88"/>
  <c r="N49" i="88"/>
  <c r="M49" i="88"/>
  <c r="L49" i="88"/>
  <c r="K49" i="88"/>
  <c r="J49" i="88"/>
  <c r="I49" i="88"/>
  <c r="H49" i="88"/>
  <c r="G49" i="88"/>
  <c r="F49" i="88"/>
  <c r="E49" i="88"/>
  <c r="AC55" i="88"/>
  <c r="AG32" i="81" s="1"/>
  <c r="AB55" i="88"/>
  <c r="AF32" i="81" s="1"/>
  <c r="AA55" i="88"/>
  <c r="AE32" i="81" s="1"/>
  <c r="Z55" i="88"/>
  <c r="AD32" i="81" s="1"/>
  <c r="Y55" i="88"/>
  <c r="AC32" i="81" s="1"/>
  <c r="X55" i="88"/>
  <c r="AB32" i="81" s="1"/>
  <c r="W55" i="88"/>
  <c r="AA32" i="81" s="1"/>
  <c r="V55" i="88"/>
  <c r="Z32" i="81" s="1"/>
  <c r="U55" i="88"/>
  <c r="Y32" i="81" s="1"/>
  <c r="R55" i="88"/>
  <c r="V32" i="81" s="1"/>
  <c r="Q55" i="88"/>
  <c r="U32" i="81" s="1"/>
  <c r="P55" i="88"/>
  <c r="T32" i="81" s="1"/>
  <c r="O55" i="88"/>
  <c r="S32" i="81" s="1"/>
  <c r="N55" i="88"/>
  <c r="R32" i="81" s="1"/>
  <c r="M55" i="88"/>
  <c r="Q32" i="81" s="1"/>
  <c r="L55" i="88"/>
  <c r="P32" i="81" s="1"/>
  <c r="K55" i="88"/>
  <c r="O32" i="81" s="1"/>
  <c r="J55" i="88"/>
  <c r="N32" i="81" s="1"/>
  <c r="I55" i="88"/>
  <c r="M32" i="81" s="1"/>
  <c r="G55" i="88"/>
  <c r="K32" i="81" s="1"/>
  <c r="F55" i="88"/>
  <c r="J32" i="81" s="1"/>
  <c r="AC54" i="88"/>
  <c r="AG31" i="81" s="1"/>
  <c r="AB54" i="88"/>
  <c r="AF31" i="81" s="1"/>
  <c r="AA54" i="88"/>
  <c r="AE31" i="81" s="1"/>
  <c r="Z54" i="88"/>
  <c r="AD31" i="81" s="1"/>
  <c r="Y54" i="88"/>
  <c r="AC31" i="81" s="1"/>
  <c r="X54" i="88"/>
  <c r="AB31" i="81" s="1"/>
  <c r="W54" i="88"/>
  <c r="AA31" i="81" s="1"/>
  <c r="V54" i="88"/>
  <c r="Z31" i="81" s="1"/>
  <c r="T54" i="88"/>
  <c r="X31" i="81" s="1"/>
  <c r="S54" i="88"/>
  <c r="W31" i="81" s="1"/>
  <c r="R54" i="88"/>
  <c r="V31" i="81" s="1"/>
  <c r="Q54" i="88"/>
  <c r="U31" i="81" s="1"/>
  <c r="P54" i="88"/>
  <c r="T31" i="81" s="1"/>
  <c r="O54" i="88"/>
  <c r="S31" i="81" s="1"/>
  <c r="N54" i="88"/>
  <c r="R31" i="81" s="1"/>
  <c r="M54" i="88"/>
  <c r="Q31" i="81" s="1"/>
  <c r="L54" i="88"/>
  <c r="P31" i="81" s="1"/>
  <c r="K54" i="88"/>
  <c r="O31" i="81" s="1"/>
  <c r="J54" i="88"/>
  <c r="N31" i="81" s="1"/>
  <c r="G54" i="88"/>
  <c r="K31" i="81" s="1"/>
  <c r="F54" i="88"/>
  <c r="J31" i="81" s="1"/>
  <c r="E54" i="88"/>
  <c r="I31" i="81" s="1"/>
  <c r="AA53" i="88"/>
  <c r="AE30" i="81" s="1"/>
  <c r="Z53" i="88"/>
  <c r="AD30" i="81" s="1"/>
  <c r="Y53" i="88"/>
  <c r="AC30" i="81" s="1"/>
  <c r="X53" i="88"/>
  <c r="AB30" i="81" s="1"/>
  <c r="W53" i="88"/>
  <c r="AA30" i="81" s="1"/>
  <c r="U53" i="88"/>
  <c r="Y30" i="81" s="1"/>
  <c r="T53" i="88"/>
  <c r="X30" i="81" s="1"/>
  <c r="S53" i="88"/>
  <c r="W30" i="81" s="1"/>
  <c r="R53" i="88"/>
  <c r="V30" i="81" s="1"/>
  <c r="Q53" i="88"/>
  <c r="U30" i="81" s="1"/>
  <c r="P53" i="88"/>
  <c r="T30" i="81" s="1"/>
  <c r="O53" i="88"/>
  <c r="S30" i="81" s="1"/>
  <c r="N53" i="88"/>
  <c r="R30" i="81" s="1"/>
  <c r="M53" i="88"/>
  <c r="Q30" i="81" s="1"/>
  <c r="L53" i="88"/>
  <c r="P30" i="81" s="1"/>
  <c r="K53" i="88"/>
  <c r="O30" i="81" s="1"/>
  <c r="J53" i="88"/>
  <c r="N30" i="81" s="1"/>
  <c r="I53" i="88"/>
  <c r="M30" i="81" s="1"/>
  <c r="H53" i="88"/>
  <c r="L30" i="81" s="1"/>
  <c r="G53" i="88"/>
  <c r="K30" i="81" s="1"/>
  <c r="F53" i="88"/>
  <c r="J30" i="81" s="1"/>
  <c r="AC52" i="88"/>
  <c r="AG28" i="81" s="1"/>
  <c r="AB52" i="88"/>
  <c r="AF28" i="81" s="1"/>
  <c r="AA52" i="88"/>
  <c r="AE28" i="81" s="1"/>
  <c r="Z52" i="88"/>
  <c r="AD28" i="81" s="1"/>
  <c r="Y52" i="88"/>
  <c r="AC28" i="81" s="1"/>
  <c r="X52" i="88"/>
  <c r="AB28" i="81" s="1"/>
  <c r="W52" i="88"/>
  <c r="AA28" i="81" s="1"/>
  <c r="V52" i="88"/>
  <c r="Z28" i="81" s="1"/>
  <c r="U52" i="88"/>
  <c r="Y28" i="81" s="1"/>
  <c r="T52" i="88"/>
  <c r="X28" i="81" s="1"/>
  <c r="S52" i="88"/>
  <c r="W28" i="81" s="1"/>
  <c r="J52" i="88"/>
  <c r="N28" i="81" s="1"/>
  <c r="F36" i="88"/>
  <c r="G36" i="88" s="1"/>
  <c r="H36" i="88" s="1"/>
  <c r="I36" i="88" s="1"/>
  <c r="J36" i="88" s="1"/>
  <c r="K36" i="88" s="1"/>
  <c r="L36" i="88" s="1"/>
  <c r="M36" i="88" s="1"/>
  <c r="N36" i="88" s="1"/>
  <c r="O36" i="88" s="1"/>
  <c r="P36" i="88" s="1"/>
  <c r="Q36" i="88" s="1"/>
  <c r="R36" i="88" s="1"/>
  <c r="S36" i="88" s="1"/>
  <c r="T36" i="88" s="1"/>
  <c r="U36" i="88" s="1"/>
  <c r="V36" i="88" s="1"/>
  <c r="W36" i="88" s="1"/>
  <c r="X36" i="88" s="1"/>
  <c r="Y36" i="88" s="1"/>
  <c r="Z36" i="88" s="1"/>
  <c r="AA36" i="88" s="1"/>
  <c r="AB36" i="88" s="1"/>
  <c r="AC36" i="88" s="1"/>
  <c r="AC30" i="88"/>
  <c r="AG33" i="68" s="1"/>
  <c r="AB30" i="88"/>
  <c r="AF33" i="68" s="1"/>
  <c r="AA30" i="88"/>
  <c r="AE33" i="68" s="1"/>
  <c r="Z30" i="88"/>
  <c r="AD33" i="68" s="1"/>
  <c r="Y30" i="88"/>
  <c r="AC33" i="68" s="1"/>
  <c r="X30" i="88"/>
  <c r="AB33" i="68" s="1"/>
  <c r="W30" i="88"/>
  <c r="AA33" i="68" s="1"/>
  <c r="V30" i="88"/>
  <c r="Z33" i="68" s="1"/>
  <c r="U30" i="88"/>
  <c r="Y33" i="68" s="1"/>
  <c r="T30" i="88"/>
  <c r="X33" i="68" s="1"/>
  <c r="S30" i="88"/>
  <c r="W33" i="68" s="1"/>
  <c r="R30" i="88"/>
  <c r="V33" i="68" s="1"/>
  <c r="Q30" i="88"/>
  <c r="U33" i="68" s="1"/>
  <c r="P30" i="88"/>
  <c r="T33" i="68" s="1"/>
  <c r="O30" i="88"/>
  <c r="S33" i="68" s="1"/>
  <c r="N30" i="88"/>
  <c r="R33" i="68" s="1"/>
  <c r="M30" i="88"/>
  <c r="Q33" i="68" s="1"/>
  <c r="L30" i="88"/>
  <c r="P33" i="68" s="1"/>
  <c r="K30" i="88"/>
  <c r="O33" i="68" s="1"/>
  <c r="J30" i="88"/>
  <c r="N33" i="68" s="1"/>
  <c r="I30" i="88"/>
  <c r="M33" i="68" s="1"/>
  <c r="H30" i="88"/>
  <c r="L33" i="68" s="1"/>
  <c r="G30" i="88"/>
  <c r="K33" i="68" s="1"/>
  <c r="F30" i="88"/>
  <c r="J33" i="68" s="1"/>
  <c r="E30" i="88"/>
  <c r="I33" i="68" s="1"/>
  <c r="AA29" i="88"/>
  <c r="AE32" i="68" s="1"/>
  <c r="I29" i="88"/>
  <c r="M32" i="68" s="1"/>
  <c r="G29" i="88"/>
  <c r="K32" i="68" s="1"/>
  <c r="AA28" i="88"/>
  <c r="AE31" i="68" s="1"/>
  <c r="Z28" i="88"/>
  <c r="AD31" i="68" s="1"/>
  <c r="Y28" i="88"/>
  <c r="AC31" i="68" s="1"/>
  <c r="X28" i="88"/>
  <c r="AB31" i="68" s="1"/>
  <c r="W28" i="88"/>
  <c r="AA31" i="68" s="1"/>
  <c r="I28" i="88"/>
  <c r="M31" i="68" s="1"/>
  <c r="G28" i="88"/>
  <c r="K31" i="68" s="1"/>
  <c r="Q27" i="88"/>
  <c r="U30" i="68" s="1"/>
  <c r="AC23" i="88"/>
  <c r="AB23" i="88"/>
  <c r="AA23" i="88"/>
  <c r="Z23" i="88"/>
  <c r="Y23" i="88"/>
  <c r="X23" i="88"/>
  <c r="W23" i="88"/>
  <c r="V23" i="88"/>
  <c r="U23" i="88"/>
  <c r="T23" i="88"/>
  <c r="S23" i="88"/>
  <c r="R23" i="88"/>
  <c r="Q23" i="88"/>
  <c r="P23" i="88"/>
  <c r="O23" i="88"/>
  <c r="N23" i="88"/>
  <c r="M23" i="88"/>
  <c r="L23" i="88"/>
  <c r="K23" i="88"/>
  <c r="J23" i="88"/>
  <c r="I23" i="88"/>
  <c r="H23" i="88"/>
  <c r="G23" i="88"/>
  <c r="F23" i="88"/>
  <c r="E23" i="88"/>
  <c r="AC29" i="88"/>
  <c r="AG32" i="68" s="1"/>
  <c r="AB29" i="88"/>
  <c r="AF32" i="68" s="1"/>
  <c r="Z29" i="88"/>
  <c r="AD32" i="68" s="1"/>
  <c r="Y29" i="88"/>
  <c r="AC32" i="68" s="1"/>
  <c r="X29" i="88"/>
  <c r="AB32" i="68" s="1"/>
  <c r="W29" i="88"/>
  <c r="AA32" i="68" s="1"/>
  <c r="V29" i="88"/>
  <c r="Z32" i="68" s="1"/>
  <c r="U29" i="88"/>
  <c r="Y32" i="68" s="1"/>
  <c r="T29" i="88"/>
  <c r="X32" i="68" s="1"/>
  <c r="S29" i="88"/>
  <c r="W32" i="68" s="1"/>
  <c r="R29" i="88"/>
  <c r="V32" i="68" s="1"/>
  <c r="Q29" i="88"/>
  <c r="U32" i="68" s="1"/>
  <c r="P29" i="88"/>
  <c r="T32" i="68" s="1"/>
  <c r="O29" i="88"/>
  <c r="S32" i="68" s="1"/>
  <c r="J81" i="88"/>
  <c r="N32" i="72" s="1"/>
  <c r="I81" i="88"/>
  <c r="M32" i="72" s="1"/>
  <c r="H81" i="88"/>
  <c r="L32" i="72" s="1"/>
  <c r="G81" i="88"/>
  <c r="K32" i="72" s="1"/>
  <c r="F29" i="88"/>
  <c r="J32" i="68" s="1"/>
  <c r="E81" i="88"/>
  <c r="I32" i="72" s="1"/>
  <c r="AC28" i="88"/>
  <c r="AG31" i="68" s="1"/>
  <c r="AB28" i="88"/>
  <c r="AF31" i="68" s="1"/>
  <c r="V28" i="88"/>
  <c r="Z31" i="68" s="1"/>
  <c r="U28" i="88"/>
  <c r="Y31" i="68" s="1"/>
  <c r="T28" i="88"/>
  <c r="X31" i="68" s="1"/>
  <c r="S28" i="88"/>
  <c r="W31" i="68" s="1"/>
  <c r="R28" i="88"/>
  <c r="V31" i="68" s="1"/>
  <c r="Q28" i="88"/>
  <c r="U31" i="68" s="1"/>
  <c r="P28" i="88"/>
  <c r="T31" i="68" s="1"/>
  <c r="O28" i="88"/>
  <c r="S31" i="68" s="1"/>
  <c r="N80" i="88"/>
  <c r="R31" i="72" s="1"/>
  <c r="M28" i="88"/>
  <c r="Q31" i="68" s="1"/>
  <c r="L80" i="88"/>
  <c r="P31" i="72" s="1"/>
  <c r="K28" i="88"/>
  <c r="O31" i="68" s="1"/>
  <c r="J28" i="88"/>
  <c r="N31" i="68" s="1"/>
  <c r="G80" i="88"/>
  <c r="K31" i="72" s="1"/>
  <c r="F28" i="88"/>
  <c r="J31" i="68" s="1"/>
  <c r="AC27" i="88"/>
  <c r="AG30" i="68" s="1"/>
  <c r="AB27" i="88"/>
  <c r="AF30" i="68" s="1"/>
  <c r="AA27" i="88"/>
  <c r="AE30" i="68" s="1"/>
  <c r="Z27" i="88"/>
  <c r="AD30" i="68" s="1"/>
  <c r="Y27" i="88"/>
  <c r="AC30" i="68" s="1"/>
  <c r="X27" i="88"/>
  <c r="AB30" i="68" s="1"/>
  <c r="W27" i="88"/>
  <c r="AA30" i="68" s="1"/>
  <c r="V27" i="88"/>
  <c r="Z30" i="68" s="1"/>
  <c r="U27" i="88"/>
  <c r="Y30" i="68" s="1"/>
  <c r="T27" i="88"/>
  <c r="X30" i="68" s="1"/>
  <c r="S27" i="88"/>
  <c r="W30" i="68" s="1"/>
  <c r="R27" i="88"/>
  <c r="V30" i="68" s="1"/>
  <c r="O27" i="88"/>
  <c r="S30" i="68" s="1"/>
  <c r="N79" i="88"/>
  <c r="R30" i="72" s="1"/>
  <c r="L79" i="88"/>
  <c r="P30" i="72" s="1"/>
  <c r="K79" i="88"/>
  <c r="O30" i="72" s="1"/>
  <c r="J79" i="88"/>
  <c r="N30" i="72" s="1"/>
  <c r="I79" i="88"/>
  <c r="M30" i="72" s="1"/>
  <c r="H79" i="88"/>
  <c r="L30" i="72" s="1"/>
  <c r="AC26" i="88"/>
  <c r="AA26" i="88"/>
  <c r="AE28" i="68" s="1"/>
  <c r="Z26" i="88"/>
  <c r="AD28" i="68" s="1"/>
  <c r="Y26" i="88"/>
  <c r="AC28" i="68" s="1"/>
  <c r="X26" i="88"/>
  <c r="AB28" i="68" s="1"/>
  <c r="V26" i="88"/>
  <c r="Z28" i="68" s="1"/>
  <c r="U26" i="88"/>
  <c r="Y28" i="68" s="1"/>
  <c r="T26" i="88"/>
  <c r="X28" i="68" s="1"/>
  <c r="S26" i="88"/>
  <c r="W28" i="68" s="1"/>
  <c r="R26" i="88"/>
  <c r="V28" i="68" s="1"/>
  <c r="Q26" i="88"/>
  <c r="U28" i="68" s="1"/>
  <c r="P26" i="88"/>
  <c r="T28" i="68" s="1"/>
  <c r="O26" i="88"/>
  <c r="S28" i="68" s="1"/>
  <c r="J26" i="88"/>
  <c r="N28" i="68" s="1"/>
  <c r="E78" i="88"/>
  <c r="I28" i="72" s="1"/>
  <c r="F10" i="88"/>
  <c r="G10" i="88" s="1"/>
  <c r="H10" i="88" s="1"/>
  <c r="I10" i="88" s="1"/>
  <c r="J10" i="88" s="1"/>
  <c r="K10" i="88" s="1"/>
  <c r="L10" i="88" s="1"/>
  <c r="M10" i="88" s="1"/>
  <c r="N10" i="88" s="1"/>
  <c r="O10" i="88" s="1"/>
  <c r="P10" i="88" s="1"/>
  <c r="Q10" i="88" s="1"/>
  <c r="R10" i="88" s="1"/>
  <c r="S10" i="88" s="1"/>
  <c r="T10" i="88" s="1"/>
  <c r="U10" i="88" s="1"/>
  <c r="V10" i="88" s="1"/>
  <c r="W10" i="88" s="1"/>
  <c r="X10" i="88" s="1"/>
  <c r="Y10" i="88" s="1"/>
  <c r="Z10" i="88" s="1"/>
  <c r="AA10" i="88" s="1"/>
  <c r="AB10" i="88" s="1"/>
  <c r="AC10" i="88" s="1"/>
  <c r="A2" i="88"/>
  <c r="A1" i="88"/>
  <c r="T46" i="87"/>
  <c r="S46" i="87"/>
  <c r="AA46" i="87"/>
  <c r="Z46" i="87"/>
  <c r="Y46" i="87"/>
  <c r="X46" i="87"/>
  <c r="W46" i="87"/>
  <c r="V46" i="87"/>
  <c r="N46" i="87"/>
  <c r="J46" i="87"/>
  <c r="F46" i="87"/>
  <c r="E46" i="87"/>
  <c r="F42" i="87"/>
  <c r="G42" i="87" s="1"/>
  <c r="H42" i="87" s="1"/>
  <c r="I42" i="87" s="1"/>
  <c r="J42" i="87" s="1"/>
  <c r="K42" i="87" s="1"/>
  <c r="L42" i="87" s="1"/>
  <c r="M42" i="87" s="1"/>
  <c r="N42" i="87" s="1"/>
  <c r="O42" i="87" s="1"/>
  <c r="P42" i="87" s="1"/>
  <c r="Q42" i="87" s="1"/>
  <c r="R42" i="87" s="1"/>
  <c r="S42" i="87" s="1"/>
  <c r="T42" i="87" s="1"/>
  <c r="U42" i="87" s="1"/>
  <c r="V42" i="87" s="1"/>
  <c r="W42" i="87" s="1"/>
  <c r="X42" i="87" s="1"/>
  <c r="Y42" i="87" s="1"/>
  <c r="Z42" i="87" s="1"/>
  <c r="AA42" i="87" s="1"/>
  <c r="AB42" i="87" s="1"/>
  <c r="AC42" i="87" s="1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K40" i="87"/>
  <c r="J40" i="87"/>
  <c r="F40" i="87"/>
  <c r="E40" i="87"/>
  <c r="F37" i="87"/>
  <c r="G37" i="87" s="1"/>
  <c r="H37" i="87" s="1"/>
  <c r="I37" i="87" s="1"/>
  <c r="J37" i="87" s="1"/>
  <c r="K37" i="87" s="1"/>
  <c r="L37" i="87" s="1"/>
  <c r="M37" i="87" s="1"/>
  <c r="N37" i="87" s="1"/>
  <c r="O37" i="87" s="1"/>
  <c r="P37" i="87" s="1"/>
  <c r="Q37" i="87" s="1"/>
  <c r="R37" i="87" s="1"/>
  <c r="S37" i="87" s="1"/>
  <c r="T37" i="87" s="1"/>
  <c r="U37" i="87" s="1"/>
  <c r="V37" i="87" s="1"/>
  <c r="W37" i="87" s="1"/>
  <c r="X37" i="87" s="1"/>
  <c r="Y37" i="87" s="1"/>
  <c r="Z37" i="87" s="1"/>
  <c r="AA37" i="87" s="1"/>
  <c r="AB37" i="87" s="1"/>
  <c r="AC37" i="87" s="1"/>
  <c r="AA30" i="87"/>
  <c r="Z30" i="87"/>
  <c r="Y30" i="87"/>
  <c r="X30" i="87"/>
  <c r="T30" i="87"/>
  <c r="S30" i="87"/>
  <c r="R30" i="87"/>
  <c r="Q30" i="87"/>
  <c r="P30" i="87"/>
  <c r="N30" i="87"/>
  <c r="J30" i="87"/>
  <c r="H30" i="87"/>
  <c r="G30" i="87"/>
  <c r="E30" i="87"/>
  <c r="AB46" i="87"/>
  <c r="W30" i="87"/>
  <c r="V30" i="87"/>
  <c r="U30" i="87"/>
  <c r="R46" i="87"/>
  <c r="Q46" i="87"/>
  <c r="P46" i="87"/>
  <c r="O30" i="87"/>
  <c r="I46" i="87"/>
  <c r="H46" i="87"/>
  <c r="F30" i="87"/>
  <c r="F26" i="87"/>
  <c r="G26" i="87" s="1"/>
  <c r="H26" i="87" s="1"/>
  <c r="I26" i="87" s="1"/>
  <c r="J26" i="87" s="1"/>
  <c r="K26" i="87" s="1"/>
  <c r="L26" i="87" s="1"/>
  <c r="M26" i="87" s="1"/>
  <c r="N26" i="87" s="1"/>
  <c r="O26" i="87" s="1"/>
  <c r="P26" i="87" s="1"/>
  <c r="Q26" i="87" s="1"/>
  <c r="R26" i="87" s="1"/>
  <c r="S26" i="87" s="1"/>
  <c r="T26" i="87" s="1"/>
  <c r="U26" i="87" s="1"/>
  <c r="V26" i="87" s="1"/>
  <c r="W26" i="87" s="1"/>
  <c r="X26" i="87" s="1"/>
  <c r="Y26" i="87" s="1"/>
  <c r="Z26" i="87" s="1"/>
  <c r="AA26" i="87" s="1"/>
  <c r="AB26" i="87" s="1"/>
  <c r="AC26" i="87" s="1"/>
  <c r="AC24" i="87"/>
  <c r="AB24" i="87"/>
  <c r="AA24" i="87"/>
  <c r="Z24" i="87"/>
  <c r="Y24" i="87"/>
  <c r="X24" i="87"/>
  <c r="W24" i="87"/>
  <c r="V24" i="87"/>
  <c r="U24" i="87"/>
  <c r="T24" i="87"/>
  <c r="S24" i="87"/>
  <c r="R24" i="87"/>
  <c r="Q24" i="87"/>
  <c r="P24" i="87"/>
  <c r="O24" i="87"/>
  <c r="N24" i="87"/>
  <c r="M24" i="87"/>
  <c r="L24" i="87"/>
  <c r="K24" i="87"/>
  <c r="J24" i="87"/>
  <c r="F24" i="87"/>
  <c r="E24" i="87"/>
  <c r="F21" i="87"/>
  <c r="G21" i="87" s="1"/>
  <c r="H21" i="87" s="1"/>
  <c r="I21" i="87" s="1"/>
  <c r="J21" i="87" s="1"/>
  <c r="K21" i="87" s="1"/>
  <c r="L21" i="87" s="1"/>
  <c r="M21" i="87" s="1"/>
  <c r="N21" i="87" s="1"/>
  <c r="O21" i="87" s="1"/>
  <c r="P21" i="87" s="1"/>
  <c r="Q21" i="87" s="1"/>
  <c r="R21" i="87" s="1"/>
  <c r="S21" i="87" s="1"/>
  <c r="T21" i="87" s="1"/>
  <c r="U21" i="87" s="1"/>
  <c r="V21" i="87" s="1"/>
  <c r="W21" i="87" s="1"/>
  <c r="X21" i="87" s="1"/>
  <c r="Y21" i="87" s="1"/>
  <c r="Z21" i="87" s="1"/>
  <c r="AA21" i="87" s="1"/>
  <c r="AB21" i="87" s="1"/>
  <c r="AC21" i="87" s="1"/>
  <c r="M15" i="81"/>
  <c r="AC15" i="87"/>
  <c r="AB15" i="87"/>
  <c r="AA15" i="87"/>
  <c r="Z15" i="87"/>
  <c r="Y15" i="87"/>
  <c r="X15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I15" i="87"/>
  <c r="H15" i="87"/>
  <c r="G15" i="87"/>
  <c r="F15" i="87"/>
  <c r="E15" i="87"/>
  <c r="F11" i="87"/>
  <c r="G11" i="87" s="1"/>
  <c r="H11" i="87" s="1"/>
  <c r="I11" i="87" s="1"/>
  <c r="J11" i="87" s="1"/>
  <c r="K11" i="87" s="1"/>
  <c r="L11" i="87" s="1"/>
  <c r="M11" i="87" s="1"/>
  <c r="N11" i="87" s="1"/>
  <c r="O11" i="87" s="1"/>
  <c r="P11" i="87" s="1"/>
  <c r="Q11" i="87" s="1"/>
  <c r="R11" i="87" s="1"/>
  <c r="S11" i="87" s="1"/>
  <c r="T11" i="87" s="1"/>
  <c r="U11" i="87" s="1"/>
  <c r="V11" i="87" s="1"/>
  <c r="W11" i="87" s="1"/>
  <c r="X11" i="87" s="1"/>
  <c r="Y11" i="87" s="1"/>
  <c r="Z11" i="87" s="1"/>
  <c r="AA11" i="87" s="1"/>
  <c r="AB11" i="87" s="1"/>
  <c r="AC11" i="87" s="1"/>
  <c r="A2" i="87"/>
  <c r="A1" i="87"/>
  <c r="AC28" i="72" l="1"/>
  <c r="Y83" i="88"/>
  <c r="L40" i="87"/>
  <c r="P14" i="72"/>
  <c r="I24" i="87"/>
  <c r="M14" i="81"/>
  <c r="I40" i="87"/>
  <c r="M15" i="72"/>
  <c r="K15" i="81"/>
  <c r="L15" i="81"/>
  <c r="AC31" i="88"/>
  <c r="AG28" i="68"/>
  <c r="AC68" i="88"/>
  <c r="L27" i="88"/>
  <c r="P30" i="68" s="1"/>
  <c r="H27" i="88"/>
  <c r="L30" i="68" s="1"/>
  <c r="I27" i="88"/>
  <c r="M30" i="68" s="1"/>
  <c r="V16" i="88"/>
  <c r="J27" i="88"/>
  <c r="N30" i="68" s="1"/>
  <c r="K27" i="88"/>
  <c r="O30" i="68" s="1"/>
  <c r="N27" i="88"/>
  <c r="R30" i="68" s="1"/>
  <c r="K16" i="88"/>
  <c r="K26" i="88"/>
  <c r="O28" i="68" s="1"/>
  <c r="F27" i="88"/>
  <c r="F79" i="88"/>
  <c r="J30" i="72" s="1"/>
  <c r="Q68" i="88"/>
  <c r="L16" i="88"/>
  <c r="L26" i="88"/>
  <c r="P28" i="68" s="1"/>
  <c r="G16" i="88"/>
  <c r="G79" i="88"/>
  <c r="K30" i="72" s="1"/>
  <c r="AA31" i="88"/>
  <c r="J42" i="88"/>
  <c r="M78" i="88"/>
  <c r="Q28" i="72" s="1"/>
  <c r="M26" i="88"/>
  <c r="Q28" i="68" s="1"/>
  <c r="L28" i="88"/>
  <c r="P31" i="68" s="1"/>
  <c r="N78" i="88"/>
  <c r="N26" i="88"/>
  <c r="N28" i="88"/>
  <c r="R31" i="68" s="1"/>
  <c r="E28" i="88"/>
  <c r="I31" i="68" s="1"/>
  <c r="E80" i="88"/>
  <c r="I31" i="72" s="1"/>
  <c r="O52" i="88"/>
  <c r="O42" i="88"/>
  <c r="F26" i="88"/>
  <c r="J28" i="68" s="1"/>
  <c r="K29" i="88"/>
  <c r="O32" i="68" s="1"/>
  <c r="K81" i="88"/>
  <c r="O32" i="72" s="1"/>
  <c r="M81" i="88"/>
  <c r="Q32" i="72" s="1"/>
  <c r="M29" i="88"/>
  <c r="Q32" i="68" s="1"/>
  <c r="N81" i="88"/>
  <c r="R32" i="72" s="1"/>
  <c r="N29" i="88"/>
  <c r="R32" i="68" s="1"/>
  <c r="E27" i="88"/>
  <c r="I30" i="68" s="1"/>
  <c r="E53" i="88"/>
  <c r="I30" i="81" s="1"/>
  <c r="E79" i="88"/>
  <c r="I30" i="72" s="1"/>
  <c r="U16" i="88"/>
  <c r="X83" i="88"/>
  <c r="Z57" i="88"/>
  <c r="T42" i="88"/>
  <c r="K52" i="88"/>
  <c r="K42" i="88"/>
  <c r="AA57" i="88"/>
  <c r="L52" i="88"/>
  <c r="L42" i="88"/>
  <c r="AB68" i="88"/>
  <c r="W16" i="88"/>
  <c r="J29" i="88"/>
  <c r="N32" i="68" s="1"/>
  <c r="M52" i="88"/>
  <c r="M42" i="88"/>
  <c r="X68" i="88"/>
  <c r="X16" i="88"/>
  <c r="S31" i="88"/>
  <c r="Y68" i="88"/>
  <c r="AC78" i="88"/>
  <c r="X57" i="88"/>
  <c r="Y42" i="88"/>
  <c r="Q16" i="88"/>
  <c r="F80" i="88"/>
  <c r="J31" i="72" s="1"/>
  <c r="Z42" i="88"/>
  <c r="T31" i="88"/>
  <c r="AA42" i="88"/>
  <c r="U31" i="88"/>
  <c r="P16" i="88"/>
  <c r="J57" i="88"/>
  <c r="S42" i="88"/>
  <c r="J16" i="88"/>
  <c r="O16" i="88"/>
  <c r="N42" i="88"/>
  <c r="AC53" i="88"/>
  <c r="AG30" i="81" s="1"/>
  <c r="AC42" i="88"/>
  <c r="J80" i="88"/>
  <c r="N31" i="72" s="1"/>
  <c r="Y57" i="88"/>
  <c r="Y16" i="88"/>
  <c r="H16" i="88"/>
  <c r="H26" i="88"/>
  <c r="L28" i="68" s="1"/>
  <c r="AB16" i="88"/>
  <c r="AB26" i="88"/>
  <c r="P83" i="88"/>
  <c r="V31" i="88"/>
  <c r="S16" i="88"/>
  <c r="W26" i="88"/>
  <c r="O68" i="88"/>
  <c r="AB30" i="87"/>
  <c r="T16" i="88"/>
  <c r="X31" i="88"/>
  <c r="P68" i="88"/>
  <c r="M80" i="88"/>
  <c r="Q31" i="72" s="1"/>
  <c r="E29" i="88"/>
  <c r="I32" i="68" s="1"/>
  <c r="E55" i="88"/>
  <c r="I32" i="81" s="1"/>
  <c r="M46" i="87"/>
  <c r="M30" i="87"/>
  <c r="AA68" i="88"/>
  <c r="AA79" i="88"/>
  <c r="O31" i="88"/>
  <c r="R16" i="88"/>
  <c r="Y31" i="88"/>
  <c r="T55" i="88"/>
  <c r="S78" i="88"/>
  <c r="S68" i="88"/>
  <c r="U68" i="88"/>
  <c r="O79" i="88"/>
  <c r="S30" i="72" s="1"/>
  <c r="Z68" i="88"/>
  <c r="Z79" i="88"/>
  <c r="S55" i="88"/>
  <c r="R78" i="88"/>
  <c r="R68" i="88"/>
  <c r="N52" i="88"/>
  <c r="T68" i="88"/>
  <c r="T78" i="88"/>
  <c r="P79" i="88"/>
  <c r="T30" i="72" s="1"/>
  <c r="U46" i="87"/>
  <c r="V68" i="88"/>
  <c r="V78" i="88"/>
  <c r="L46" i="87"/>
  <c r="L30" i="87"/>
  <c r="H55" i="88"/>
  <c r="L32" i="81" s="1"/>
  <c r="H29" i="88"/>
  <c r="L32" i="68" s="1"/>
  <c r="U54" i="88"/>
  <c r="U42" i="88"/>
  <c r="Z31" i="88"/>
  <c r="I26" i="88"/>
  <c r="I16" i="88"/>
  <c r="AB53" i="88"/>
  <c r="AB42" i="88"/>
  <c r="AC30" i="87"/>
  <c r="AC46" i="87"/>
  <c r="AC16" i="88"/>
  <c r="U83" i="88"/>
  <c r="Q79" i="88"/>
  <c r="R31" i="88"/>
  <c r="M27" i="88"/>
  <c r="Q30" i="68" s="1"/>
  <c r="M16" i="88"/>
  <c r="H28" i="88"/>
  <c r="L31" i="68" s="1"/>
  <c r="H80" i="88"/>
  <c r="L31" i="72" s="1"/>
  <c r="H54" i="88"/>
  <c r="L31" i="81" s="1"/>
  <c r="K46" i="87"/>
  <c r="K30" i="87"/>
  <c r="I54" i="88"/>
  <c r="M31" i="81" s="1"/>
  <c r="I80" i="88"/>
  <c r="M31" i="72" s="1"/>
  <c r="W68" i="88"/>
  <c r="W78" i="88"/>
  <c r="P42" i="88"/>
  <c r="P52" i="88"/>
  <c r="Q31" i="88"/>
  <c r="Q42" i="88"/>
  <c r="Q52" i="88"/>
  <c r="R42" i="88"/>
  <c r="R52" i="88"/>
  <c r="Z16" i="88"/>
  <c r="X42" i="88"/>
  <c r="G26" i="88"/>
  <c r="K28" i="68" s="1"/>
  <c r="L29" i="88"/>
  <c r="L81" i="88"/>
  <c r="P32" i="72" s="1"/>
  <c r="AA16" i="88"/>
  <c r="E16" i="88"/>
  <c r="W42" i="88"/>
  <c r="F16" i="88"/>
  <c r="I30" i="87"/>
  <c r="O46" i="87"/>
  <c r="E26" i="88"/>
  <c r="V42" i="88"/>
  <c r="G27" i="88"/>
  <c r="K30" i="68" s="1"/>
  <c r="W57" i="88"/>
  <c r="G46" i="87"/>
  <c r="N16" i="88"/>
  <c r="P27" i="88"/>
  <c r="T30" i="68" s="1"/>
  <c r="V53" i="88"/>
  <c r="Z30" i="81" s="1"/>
  <c r="AB79" i="88"/>
  <c r="AF30" i="72" s="1"/>
  <c r="O83" i="88" l="1"/>
  <c r="AC57" i="88"/>
  <c r="H24" i="87"/>
  <c r="L14" i="81"/>
  <c r="G40" i="87"/>
  <c r="K15" i="72"/>
  <c r="H40" i="87"/>
  <c r="L15" i="72"/>
  <c r="G24" i="87"/>
  <c r="K14" i="81"/>
  <c r="M40" i="87"/>
  <c r="Q14" i="72"/>
  <c r="N40" i="87"/>
  <c r="R14" i="72"/>
  <c r="AB57" i="88"/>
  <c r="AF30" i="81"/>
  <c r="S57" i="88"/>
  <c r="W32" i="81"/>
  <c r="AB31" i="88"/>
  <c r="AF28" i="68"/>
  <c r="K57" i="88"/>
  <c r="O28" i="81"/>
  <c r="K31" i="88"/>
  <c r="E83" i="88"/>
  <c r="Z83" i="88"/>
  <c r="AD30" i="72"/>
  <c r="N31" i="88"/>
  <c r="R28" i="68"/>
  <c r="E31" i="88"/>
  <c r="I28" i="68"/>
  <c r="V83" i="88"/>
  <c r="Z28" i="72"/>
  <c r="R57" i="88"/>
  <c r="V28" i="81"/>
  <c r="Q83" i="88"/>
  <c r="U30" i="72"/>
  <c r="T57" i="88"/>
  <c r="X32" i="81"/>
  <c r="AB83" i="88"/>
  <c r="M57" i="88"/>
  <c r="Q28" i="81"/>
  <c r="W83" i="88"/>
  <c r="AA28" i="72"/>
  <c r="W31" i="88"/>
  <c r="AA28" i="68"/>
  <c r="I31" i="88"/>
  <c r="M28" i="68"/>
  <c r="R83" i="88"/>
  <c r="V28" i="72"/>
  <c r="L57" i="88"/>
  <c r="P28" i="81"/>
  <c r="O57" i="88"/>
  <c r="S28" i="81"/>
  <c r="P31" i="88"/>
  <c r="F31" i="88"/>
  <c r="J30" i="68"/>
  <c r="L31" i="88"/>
  <c r="P32" i="68"/>
  <c r="U57" i="88"/>
  <c r="Y31" i="81"/>
  <c r="AA83" i="88"/>
  <c r="AE30" i="72"/>
  <c r="V57" i="88"/>
  <c r="AC83" i="88"/>
  <c r="AG28" i="72"/>
  <c r="J31" i="88"/>
  <c r="N83" i="88"/>
  <c r="R28" i="72"/>
  <c r="S83" i="88"/>
  <c r="W28" i="72"/>
  <c r="Q57" i="88"/>
  <c r="U28" i="81"/>
  <c r="T83" i="88"/>
  <c r="X28" i="72"/>
  <c r="P57" i="88"/>
  <c r="T28" i="81"/>
  <c r="N57" i="88"/>
  <c r="R28" i="81"/>
  <c r="N68" i="88"/>
  <c r="E68" i="88"/>
  <c r="F78" i="88"/>
  <c r="F68" i="88"/>
  <c r="G31" i="88"/>
  <c r="M31" i="88"/>
  <c r="K68" i="88"/>
  <c r="K78" i="88"/>
  <c r="L78" i="88"/>
  <c r="L68" i="88"/>
  <c r="M79" i="88"/>
  <c r="M68" i="88"/>
  <c r="H31" i="88"/>
  <c r="H68" i="88"/>
  <c r="H78" i="88"/>
  <c r="H52" i="88"/>
  <c r="H42" i="88"/>
  <c r="I42" i="88"/>
  <c r="I52" i="88"/>
  <c r="F52" i="88"/>
  <c r="F42" i="88"/>
  <c r="J78" i="88"/>
  <c r="J68" i="88"/>
  <c r="I68" i="88"/>
  <c r="I78" i="88"/>
  <c r="G68" i="88"/>
  <c r="G78" i="88"/>
  <c r="E42" i="88"/>
  <c r="E52" i="88"/>
  <c r="G52" i="88"/>
  <c r="G42" i="88"/>
  <c r="H83" i="88" l="1"/>
  <c r="L28" i="72"/>
  <c r="M83" i="88"/>
  <c r="Q30" i="72"/>
  <c r="I83" i="88"/>
  <c r="M28" i="72"/>
  <c r="J83" i="88"/>
  <c r="N28" i="72"/>
  <c r="F57" i="88"/>
  <c r="J28" i="81"/>
  <c r="G57" i="88"/>
  <c r="K28" i="81"/>
  <c r="L83" i="88"/>
  <c r="P28" i="72"/>
  <c r="K83" i="88"/>
  <c r="O28" i="72"/>
  <c r="E57" i="88"/>
  <c r="I28" i="81"/>
  <c r="G83" i="88"/>
  <c r="K28" i="72"/>
  <c r="F83" i="88"/>
  <c r="J28" i="72"/>
  <c r="I57" i="88"/>
  <c r="M28" i="81"/>
  <c r="H57" i="88"/>
  <c r="L28" i="81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4" i="72" l="1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<sst xmlns="http://schemas.openxmlformats.org/spreadsheetml/2006/main" count="979" uniqueCount="323">
  <si>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</si>
  <si>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</si>
  <si>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</si>
  <si>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</si>
  <si>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</si>
  <si>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</si>
  <si>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</si>
  <si>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</si>
  <si>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</si>
  <si>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</si>
  <si>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</si>
  <si>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</si>
  <si>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</si>
  <si>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</si>
  <si>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</si>
  <si>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</si>
  <si>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</si>
  <si>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</si>
  <si>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</si>
  <si>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</si>
  <si>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</si>
  <si>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</si>
  <si>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</si>
  <si>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</si>
  <si>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</si>
  <si>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</si>
  <si>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</si>
  <si>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</si>
  <si>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</si>
  <si>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</si>
  <si>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</si>
  <si>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</si>
  <si>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</si>
  <si>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</si>
  <si>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</si>
  <si>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</si>
  <si>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</si>
  <si>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</si>
  <si>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</si>
  <si>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</si>
  <si>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</si>
  <si>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</si>
  <si>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</si>
  <si>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</si>
  <si>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</si>
  <si>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</si>
  <si>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</si>
  <si>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</si>
  <si>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</si>
  <si>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</si>
  <si>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</si>
  <si>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</si>
  <si>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</si>
  <si>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</si>
  <si>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</si>
  <si>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</si>
  <si>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</si>
  <si>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</si>
  <si>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</si>
  <si>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</si>
  <si>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</si>
  <si>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</si>
  <si>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</si>
  <si>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</si>
  <si>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</si>
  <si>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</si>
  <si>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</si>
  <si>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</si>
  <si>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</si>
  <si>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</si>
  <si>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</si>
  <si>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</si>
  <si>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</si>
  <si>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</si>
  <si>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</si>
  <si>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</si>
  <si>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</si>
  <si>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</si>
  <si>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</si>
  <si>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</si>
  <si>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</si>
  <si>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</si>
  <si>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</si>
  <si>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</si>
  <si>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</si>
  <si>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</si>
  <si>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</si>
  <si>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</si>
  <si>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</si>
  <si>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</si>
  <si>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</si>
  <si>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</si>
  <si>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</si>
  <si>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</si>
  <si>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</si>
  <si>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</si>
  <si>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</si>
  <si>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</si>
  <si>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</si>
  <si>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</si>
  <si>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</si>
  <si>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</si>
  <si>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</si>
  <si>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</si>
  <si>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</si>
  <si>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</si>
  <si>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</si>
  <si>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</si>
  <si>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</si>
  <si>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</si>
  <si>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</si>
  <si>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</si>
  <si>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</si>
  <si>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</si>
  <si>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</si>
  <si>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</si>
  <si>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</si>
  <si>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</si>
  <si>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</si>
  <si>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</si>
  <si>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</si>
  <si>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</si>
  <si>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</si>
  <si>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</si>
  <si>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</si>
  <si>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</si>
  <si>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</si>
  <si>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</si>
  <si>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</si>
  <si>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</si>
  <si>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</si>
  <si>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</si>
  <si>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</si>
  <si>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</si>
  <si>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</si>
  <si>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</si>
  <si>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</si>
  <si>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</si>
  <si>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</si>
  <si>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</si>
  <si>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</si>
  <si>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</si>
  <si>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</si>
  <si>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</si>
  <si>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</si>
  <si>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</si>
  <si>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</si>
  <si>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</si>
  <si>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</si>
  <si>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</si>
  <si>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</si>
  <si>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</si>
  <si>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</si>
  <si>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</si>
  <si>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</si>
  <si>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</si>
  <si>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</si>
  <si>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</si>
  <si>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</si>
  <si>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</si>
  <si>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</si>
  <si>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</si>
  <si>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</si>
  <si>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</si>
  <si>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</si>
  <si>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</si>
  <si>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</si>
  <si>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</si>
  <si>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</si>
  <si>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</si>
  <si>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</si>
  <si>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</si>
  <si>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</si>
  <si>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</si>
  <si>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</si>
  <si>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</si>
  <si>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</si>
  <si>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</si>
  <si>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</si>
  <si>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</si>
  <si>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</si>
  <si>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</si>
  <si>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</si>
  <si>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</si>
  <si>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</si>
  <si>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</si>
  <si>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</si>
  <si>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</si>
  <si>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</si>
  <si>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</si>
  <si>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</si>
  <si>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</si>
  <si>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</si>
  <si>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</si>
  <si>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</si>
  <si>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</si>
  <si>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</si>
  <si>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</si>
  <si>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</si>
  <si>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</si>
  <si>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</si>
  <si>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</si>
  <si>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</si>
  <si>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</si>
  <si>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</si>
  <si>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</si>
  <si>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</si>
  <si>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</si>
  <si>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</si>
  <si>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</si>
  <si>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</si>
  <si>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</si>
  <si>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</si>
  <si>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</si>
  <si>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</si>
  <si>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</si>
  <si>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</si>
  <si>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</si>
  <si>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</si>
  <si>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</si>
  <si>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</si>
  <si>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</si>
  <si>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</si>
  <si>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</si>
  <si>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</si>
  <si>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</si>
  <si>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</si>
  <si>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</si>
  <si>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</si>
  <si>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</si>
  <si>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</si>
  <si>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</si>
  <si>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</si>
  <si>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</si>
  <si>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</si>
  <si>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</si>
  <si>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</si>
  <si>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</si>
  <si>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</si>
  <si>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</si>
  <si>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</si>
  <si>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</si>
  <si>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</si>
  <si>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</si>
  <si>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</si>
  <si>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</si>
  <si>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</si>
  <si>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</si>
  <si>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</si>
  <si>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SWBD online monitoring annual cost ($)</t>
  </si>
  <si>
    <t>Relay annual maintenance cost ($)</t>
  </si>
  <si>
    <t>Total opex cost ($)</t>
  </si>
  <si>
    <t>SWBD capex profile ($)</t>
  </si>
  <si>
    <t>Relay capex profile ($)</t>
  </si>
  <si>
    <t>Total capex ($)</t>
  </si>
  <si>
    <t>WORKINGS - RISKS</t>
  </si>
  <si>
    <t>SWBD risks</t>
  </si>
  <si>
    <t>Energy at Risk ($)</t>
  </si>
  <si>
    <t>Safety Risk</t>
  </si>
  <si>
    <t>Unplanned Replacement Risk</t>
  </si>
  <si>
    <t>Unplanned Fault Risk</t>
  </si>
  <si>
    <t>Total SWBD risks</t>
  </si>
  <si>
    <t>Relay risks</t>
  </si>
  <si>
    <t>Environment risk ($)</t>
  </si>
  <si>
    <t>Total relay risks</t>
  </si>
  <si>
    <t>Total SWBD and relay risk</t>
  </si>
  <si>
    <t>Total SWBD and relay risks</t>
  </si>
  <si>
    <t>Energy at Risk ($, Weighted)</t>
  </si>
  <si>
    <t>Input Data - Station Configuration</t>
  </si>
  <si>
    <t>Constants</t>
  </si>
  <si>
    <t>POF METHOD</t>
  </si>
  <si>
    <t>FIXED</t>
  </si>
  <si>
    <t>Modifier (x)</t>
  </si>
  <si>
    <t>Comment</t>
  </si>
  <si>
    <t>Substation:</t>
  </si>
  <si>
    <t>Major Failure CoC</t>
  </si>
  <si>
    <t>PoF (#1)</t>
  </si>
  <si>
    <t>Asset Type</t>
  </si>
  <si>
    <t>Indoor CB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</si>
  <si>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</si>
  <si>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</si>
  <si>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</si>
  <si>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</si>
  <si>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</si>
  <si>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</si>
  <si>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</si>
  <si>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</si>
  <si>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</si>
  <si>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</si>
  <si>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</si>
  <si>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</si>
  <si>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</si>
  <si>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</si>
  <si>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</si>
  <si>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</si>
  <si>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</si>
  <si>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</si>
  <si>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</si>
  <si>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</si>
  <si>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</si>
  <si>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</si>
  <si>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</si>
  <si>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Unplanned Enviromental Risk</t>
  </si>
  <si>
    <t>Load Transfers</t>
  </si>
  <si>
    <t>Unplanned Fire Risk</t>
  </si>
  <si>
    <t>Non-Network MW</t>
  </si>
  <si>
    <t>Option Capital Cost</t>
  </si>
  <si>
    <t>Total Life Cycle Cost</t>
  </si>
  <si>
    <t>Switchboard</t>
  </si>
  <si>
    <t>Relays</t>
  </si>
  <si>
    <t>Safety risk</t>
  </si>
  <si>
    <t>Unplanned fault</t>
  </si>
  <si>
    <t>Environmental risk</t>
  </si>
  <si>
    <t>Opex saving</t>
  </si>
  <si>
    <t>RD switchboard and relay</t>
  </si>
  <si>
    <t>RD switchboard and relay replacement</t>
  </si>
  <si>
    <t>Combined replacement of SWBD (i.e. all three buses) and relays completed in 2028-29</t>
  </si>
  <si>
    <t>Relay replacement completed in 2028-29 and SWBD replacement completed in 2033-34</t>
  </si>
  <si>
    <t>RD</t>
  </si>
  <si>
    <t>Riversdale</t>
  </si>
  <si>
    <t>Scenario #1: RD - Indoor CB</t>
  </si>
  <si>
    <t>Scenario #2: RD - Indoor CB</t>
  </si>
  <si>
    <t>Scenario #3: RD - Indoor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</si>
</sst>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#,##0.000_);\(#,##0.000\);\-\-_)"/>
    <numFmt numFmtId="198" formatCode="_-&quot;$&quot;* #,##0_-;\-&quot;$&quot;* #,##0_-;_-&quot;$&quot;* &quot;-&quot;??_-;_-@_-"/>
    <numFmt numFmtId="199" formatCode="_-* #,##0.0_-;\-* #,##0.0_-;_-* &quot;-&quot;??_-;_-@_-"/>
    <numFmt numFmtId="200" formatCode="?0"/>
    <numFmt numFmtId="201" formatCode="0.0"/>
  </numFmts>
  <fonts count="11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</font>
    <font>
      <sz val="10"/>
      <name val="Verdana"/>
      <family val="2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92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9" fillId="0" borderId="0" applyFill="0" applyBorder="0"/>
    <xf numFmtId="9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3" fillId="18" borderId="0" applyNumberFormat="0" applyBorder="0" applyAlignment="0" applyProtection="0"/>
    <xf numFmtId="0" fontId="104" fillId="19" borderId="0" applyNumberFormat="0" applyBorder="0" applyAlignment="0" applyProtection="0"/>
    <xf numFmtId="0" fontId="105" fillId="20" borderId="0" applyNumberFormat="0" applyBorder="0" applyAlignment="0" applyProtection="0"/>
    <xf numFmtId="0" fontId="106" fillId="21" borderId="20" applyNumberFormat="0" applyAlignment="0" applyProtection="0"/>
    <xf numFmtId="0" fontId="107" fillId="22" borderId="21" applyNumberFormat="0" applyAlignment="0" applyProtection="0"/>
    <xf numFmtId="0" fontId="108" fillId="22" borderId="20" applyNumberFormat="0" applyAlignment="0" applyProtection="0"/>
    <xf numFmtId="0" fontId="109" fillId="0" borderId="22" applyNumberFormat="0" applyFill="0" applyAlignment="0" applyProtection="0"/>
    <xf numFmtId="0" fontId="98" fillId="23" borderId="23" applyNumberFormat="0" applyAlignment="0" applyProtection="0"/>
    <xf numFmtId="0" fontId="110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1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1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11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11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11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11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24" borderId="24" applyNumberFormat="0" applyFont="0" applyAlignment="0" applyProtection="0"/>
    <xf numFmtId="0" fontId="112" fillId="0" borderId="0" applyNumberFormat="0" applyFill="0" applyBorder="0" applyAlignment="0" applyProtection="0"/>
    <xf numFmtId="44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</cellStyleXfs>
  <cellXfs count="410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197" fontId="15" fillId="0" borderId="0" xfId="18" applyNumberFormat="1"/>
    <xf numFmtId="0" fontId="24" fillId="49" borderId="0" xfId="18" applyFont="1" applyFill="1" applyAlignment="1">
      <alignment vertical="center"/>
    </xf>
    <xf numFmtId="197" fontId="24" fillId="49" borderId="0" xfId="18" applyNumberFormat="1" applyFont="1" applyFill="1" applyAlignment="1">
      <alignment vertical="center"/>
    </xf>
    <xf numFmtId="0" fontId="24" fillId="49" borderId="0" xfId="18" applyFont="1" applyFill="1" applyAlignment="1">
      <alignment horizontal="left" vertical="center"/>
    </xf>
    <xf numFmtId="0" fontId="34" fillId="8" borderId="0" xfId="18" applyFont="1" applyFill="1"/>
    <xf numFmtId="0" fontId="56" fillId="8" borderId="0" xfId="18" applyFont="1" applyFill="1"/>
    <xf numFmtId="0" fontId="96" fillId="8" borderId="0" xfId="0" applyFont="1" applyFill="1"/>
    <xf numFmtId="0" fontId="97" fillId="0" borderId="0" xfId="18" applyFont="1"/>
    <xf numFmtId="0" fontId="15" fillId="50" borderId="0" xfId="18" applyFill="1" applyAlignment="1">
      <alignment horizontal="right"/>
    </xf>
    <xf numFmtId="0" fontId="17" fillId="0" borderId="0" xfId="18" applyFont="1" applyAlignment="1">
      <alignment horizontal="right"/>
    </xf>
    <xf numFmtId="198" fontId="15" fillId="2" borderId="0" xfId="34" applyNumberFormat="1" applyFont="1" applyFill="1"/>
    <xf numFmtId="0" fontId="17" fillId="0" borderId="12" xfId="18" applyFont="1" applyBorder="1" applyAlignment="1">
      <alignment horizontal="right"/>
    </xf>
    <xf numFmtId="198" fontId="15" fillId="0" borderId="12" xfId="34" applyNumberFormat="1" applyFont="1" applyBorder="1"/>
    <xf numFmtId="0" fontId="15" fillId="8" borderId="0" xfId="18" applyFill="1"/>
    <xf numFmtId="198" fontId="15" fillId="0" borderId="0" xfId="34" applyNumberFormat="1" applyFont="1" applyFill="1"/>
    <xf numFmtId="198" fontId="15" fillId="0" borderId="0" xfId="34" applyNumberFormat="1" applyFont="1"/>
    <xf numFmtId="0" fontId="15" fillId="0" borderId="12" xfId="18" applyBorder="1" applyAlignment="1">
      <alignment horizontal="right"/>
    </xf>
    <xf numFmtId="198" fontId="15" fillId="0" borderId="12" xfId="18" applyNumberFormat="1" applyBorder="1"/>
    <xf numFmtId="0" fontId="15" fillId="0" borderId="12" xfId="18" applyBorder="1"/>
    <xf numFmtId="0" fontId="15" fillId="51" borderId="0" xfId="18" applyFill="1"/>
    <xf numFmtId="198" fontId="17" fillId="0" borderId="0" xfId="18" applyNumberFormat="1" applyFont="1"/>
    <xf numFmtId="6" fontId="15" fillId="0" borderId="0" xfId="18" applyNumberFormat="1"/>
    <xf numFmtId="6" fontId="15" fillId="51" borderId="0" xfId="18" applyNumberFormat="1" applyFill="1"/>
    <xf numFmtId="198" fontId="15" fillId="51" borderId="0" xfId="34" applyNumberFormat="1" applyFont="1" applyFill="1"/>
    <xf numFmtId="0" fontId="15" fillId="0" borderId="0" xfId="28" applyFont="1"/>
    <xf numFmtId="198" fontId="15" fillId="53" borderId="26" xfId="29" applyNumberFormat="1" applyFont="1" applyFill="1" applyBorder="1"/>
    <xf numFmtId="44" fontId="15" fillId="54" borderId="26" xfId="27" applyNumberFormat="1" applyFont="1" applyFill="1" applyBorder="1" applyAlignment="1" applyProtection="1">
      <alignment horizontal="left" vertical="center"/>
      <protection locked="0"/>
    </xf>
    <xf numFmtId="199" fontId="15" fillId="0" borderId="0" xfId="30" applyNumberFormat="1" applyFont="1"/>
    <xf numFmtId="199" fontId="15" fillId="2" borderId="26" xfId="30" applyNumberFormat="1" applyFont="1" applyFill="1" applyBorder="1"/>
    <xf numFmtId="10" fontId="15" fillId="2" borderId="26" xfId="30" applyNumberFormat="1" applyFont="1" applyFill="1" applyBorder="1"/>
    <xf numFmtId="198" fontId="15" fillId="0" borderId="0" xfId="34" applyNumberFormat="1" applyFont="1" applyFill="1" applyBorder="1"/>
    <xf numFmtId="44" fontId="34" fillId="0" borderId="0" xfId="26" applyNumberFormat="1" applyFont="1" applyAlignment="1">
      <alignment horizontal="left"/>
    </xf>
    <xf numFmtId="198" fontId="27" fillId="2" borderId="0" xfId="23" applyNumberFormat="1"/>
    <xf numFmtId="0" fontId="15" fillId="0" borderId="0" xfId="18"/>
    <xf numFmtId="0" fontId="15" fillId="0" borderId="0" xfId="0" applyFont="1"/>
    <xf numFmtId="167" fontId="27" fillId="2" borderId="8" xfId="18" applyNumberFormat="1" applyFont="1" applyFill="1" applyBorder="1" applyAlignment="1">
      <alignment horizontal="right" vertical="center"/>
    </xf>
    <xf numFmtId="198" fontId="15" fillId="2" borderId="0" xfId="18" applyNumberFormat="1" applyFill="1"/>
    <xf numFmtId="0" fontId="56" fillId="8" borderId="0" xfId="26" applyFont="1" applyFill="1" applyAlignment="1">
      <alignment horizontal="left" vertical="center"/>
    </xf>
    <xf numFmtId="0" fontId="56" fillId="8" borderId="0" xfId="26" applyFont="1" applyFill="1" applyAlignment="1">
      <alignment vertical="center"/>
    </xf>
    <xf numFmtId="0" fontId="15" fillId="0" borderId="0" xfId="28" applyFont="1"/>
    <xf numFmtId="0" fontId="56" fillId="52" borderId="0" xfId="26" applyFont="1" applyFill="1" applyAlignment="1">
      <alignment vertical="center"/>
    </xf>
    <xf numFmtId="9" fontId="34" fillId="53" borderId="26" xfId="27" applyFont="1" applyFill="1" applyBorder="1" applyAlignment="1" applyProtection="1">
      <alignment horizontal="center" vertical="center"/>
      <protection locked="0"/>
    </xf>
    <xf numFmtId="0" fontId="34" fillId="0" borderId="0" xfId="26" applyFont="1" applyAlignment="1">
      <alignment horizontal="left"/>
    </xf>
    <xf numFmtId="200" fontId="34" fillId="53" borderId="26" xfId="26" applyNumberFormat="1" applyFont="1" applyFill="1" applyBorder="1" applyAlignment="1" applyProtection="1">
      <alignment horizontal="left" vertical="center"/>
      <protection locked="0"/>
    </xf>
    <xf numFmtId="0" fontId="34" fillId="0" borderId="0" xfId="26" applyFont="1"/>
    <xf numFmtId="189" fontId="15" fillId="2" borderId="26" xfId="27" applyNumberFormat="1" applyFont="1" applyFill="1" applyBorder="1" applyAlignment="1" applyProtection="1">
      <alignment horizontal="center" vertical="center"/>
      <protection locked="0"/>
    </xf>
    <xf numFmtId="9" fontId="15" fillId="2" borderId="26" xfId="27" applyFont="1" applyFill="1" applyBorder="1" applyAlignment="1" applyProtection="1">
      <alignment horizontal="center" vertical="center"/>
      <protection locked="0"/>
    </xf>
    <xf numFmtId="9" fontId="15" fillId="54" borderId="26" xfId="27" applyFont="1" applyFill="1" applyBorder="1" applyAlignment="1" applyProtection="1">
      <alignment horizontal="left" vertical="center"/>
      <protection locked="0"/>
    </xf>
    <xf numFmtId="198" fontId="15" fillId="54" borderId="26" xfId="27" applyNumberFormat="1" applyFont="1" applyFill="1" applyBorder="1" applyAlignment="1" applyProtection="1">
      <alignment horizontal="left" vertical="center"/>
      <protection locked="0"/>
    </xf>
    <xf numFmtId="10" fontId="15" fillId="2" borderId="26" xfId="27" applyNumberFormat="1" applyFont="1" applyFill="1" applyBorder="1" applyAlignment="1" applyProtection="1">
      <alignment horizontal="center" vertical="center"/>
      <protection locked="0"/>
    </xf>
    <xf numFmtId="0" fontId="56" fillId="8" borderId="0" xfId="26" applyFont="1" applyFill="1" applyAlignment="1">
      <alignment horizontal="left" vertical="center" wrapText="1"/>
    </xf>
    <xf numFmtId="0" fontId="56" fillId="8" borderId="0" xfId="26" applyFont="1" applyFill="1" applyAlignment="1">
      <alignment horizontal="center" vertical="center"/>
    </xf>
    <xf numFmtId="0" fontId="56" fillId="55" borderId="0" xfId="26" applyFont="1" applyFill="1" applyAlignment="1">
      <alignment vertical="center"/>
    </xf>
    <xf numFmtId="9" fontId="15" fillId="0" borderId="0" xfId="26" applyNumberFormat="1" applyFont="1" applyAlignment="1">
      <alignment horizontal="center"/>
    </xf>
    <xf numFmtId="198" fontId="15" fillId="0" borderId="0" xfId="26" applyNumberFormat="1" applyFont="1" applyAlignment="1">
      <alignment horizontal="left"/>
    </xf>
    <xf numFmtId="201" fontId="15" fillId="0" borderId="0" xfId="26" applyNumberFormat="1" applyFont="1" applyAlignment="1">
      <alignment horizontal="center"/>
    </xf>
    <xf numFmtId="0" fontId="34" fillId="0" borderId="27" xfId="26" applyFont="1" applyBorder="1" applyAlignment="1">
      <alignment horizontal="left"/>
    </xf>
    <xf numFmtId="0" fontId="36" fillId="56" borderId="27" xfId="26" applyFont="1" applyFill="1" applyBorder="1" applyAlignment="1">
      <alignment horizontal="left"/>
    </xf>
    <xf numFmtId="198" fontId="36" fillId="56" borderId="27" xfId="26" applyNumberFormat="1" applyFont="1" applyFill="1" applyBorder="1" applyAlignment="1">
      <alignment horizontal="left"/>
    </xf>
    <xf numFmtId="0" fontId="15" fillId="0" borderId="0" xfId="26" applyFont="1" applyAlignment="1">
      <alignment horizontal="left"/>
    </xf>
    <xf numFmtId="0" fontId="36" fillId="57" borderId="0" xfId="26" applyFont="1" applyFill="1" applyAlignment="1">
      <alignment horizontal="left"/>
    </xf>
    <xf numFmtId="198" fontId="34" fillId="57" borderId="0" xfId="26" applyNumberFormat="1" applyFont="1" applyFill="1" applyAlignment="1">
      <alignment horizontal="left"/>
    </xf>
    <xf numFmtId="9" fontId="15" fillId="54" borderId="26" xfId="35" applyFont="1" applyFill="1" applyBorder="1" applyAlignment="1" applyProtection="1">
      <alignment horizontal="right" vertical="center"/>
      <protection locked="0"/>
    </xf>
    <xf numFmtId="198" fontId="15" fillId="0" borderId="0" xfId="18" applyNumberFormat="1"/>
    <xf numFmtId="0" fontId="15" fillId="0" borderId="0" xfId="0" applyFont="1" applyAlignment="1">
      <alignment horizontal="left" indent="4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0" fillId="10" borderId="0" xfId="0" applyFill="1"/>
    <xf numFmtId="14" fontId="59" fillId="10" borderId="0" xfId="0" applyNumberFormat="1" applyFont="1" applyFill="1"/>
    <xf numFmtId="0" fontId="15" fillId="10" borderId="0" xfId="0" applyFont="1" applyFill="1"/>
    <xf numFmtId="0" fontId="15" fillId="10" borderId="0" xfId="18" applyFill="1"/>
    <xf numFmtId="197" fontId="25" fillId="10" borderId="0" xfId="16" applyNumberFormat="1" applyFont="1" applyFill="1"/>
  </cellXfs>
  <cellStyles count="92">
    <cellStyle name="20% - Accent1 2" xfId="58" xr:uid="{27FDEE84-C25F-4B04-97BD-2A53BE157790}"/>
    <cellStyle name="20% - Accent2 2" xfId="62" xr:uid="{FCC73D84-3264-4CEC-A38D-192A3EDCF35E}"/>
    <cellStyle name="20% - Accent3 2" xfId="66" xr:uid="{04EC1C5E-F9D4-40E9-8CF1-6CB82FF6F344}"/>
    <cellStyle name="20% - Accent4 2" xfId="70" xr:uid="{CA6E2978-439B-4F25-B399-3913F0B68782}"/>
    <cellStyle name="20% - Accent5 2" xfId="74" xr:uid="{FA9B04AB-1C47-45E5-AB68-577AFBC4E23F}"/>
    <cellStyle name="20% - Accent6 2" xfId="78" xr:uid="{D64A97D6-9B04-4E55-B886-84B67A96C81F}"/>
    <cellStyle name="40% - Accent1 2" xfId="59" xr:uid="{5C485B75-DFE1-43D2-AC5E-0AC19275BBE5}"/>
    <cellStyle name="40% - Accent2 2" xfId="63" xr:uid="{36D63CA9-9CBB-40EB-A2CF-6B4D4892CFC8}"/>
    <cellStyle name="40% - Accent3 2" xfId="67" xr:uid="{7FE67735-E6EE-42AF-BE78-1A0F2EEBCB4C}"/>
    <cellStyle name="40% - Accent4 2" xfId="71" xr:uid="{CA38DFF1-06C2-44F0-9A5A-C548774629D7}"/>
    <cellStyle name="40% - Accent5 2" xfId="75" xr:uid="{811756FF-91F3-41A9-BF6D-4E40E302B78B}"/>
    <cellStyle name="40% - Accent6 2" xfId="79" xr:uid="{B90DD441-7821-4E2D-BBA5-09D58663061A}"/>
    <cellStyle name="60% - Accent1 2" xfId="60" xr:uid="{D782E704-FB1B-4C64-88F1-09D283902820}"/>
    <cellStyle name="60% - Accent2 2" xfId="64" xr:uid="{A2BC960E-29E4-40E0-B4E8-3BA1920A3A96}"/>
    <cellStyle name="60% - Accent3 2" xfId="68" xr:uid="{9E75B431-F30A-49AB-9DE8-2DAF1F9C857A}"/>
    <cellStyle name="60% - Accent4 2" xfId="72" xr:uid="{EC3268B2-95BC-4EB0-A610-0F2D98DE1DEA}"/>
    <cellStyle name="60% - Accent5 2" xfId="76" xr:uid="{A4C07B88-C246-4452-8A25-04353962710C}"/>
    <cellStyle name="60% - Accent6 2" xfId="80" xr:uid="{2909B405-F11F-49FA-9458-E18867D9E9D7}"/>
    <cellStyle name="Accent1 2" xfId="57" xr:uid="{71FE5FF5-EC24-45BF-B0E8-20FCB2E76718}"/>
    <cellStyle name="Accent2 2" xfId="61" xr:uid="{C2AC8B86-BDDD-4D2C-AEA0-C6297DD33C95}"/>
    <cellStyle name="Accent3 2" xfId="65" xr:uid="{C794517A-4C88-4AD8-A0BE-291AE979AA2D}"/>
    <cellStyle name="Accent4 2" xfId="69" xr:uid="{3D057098-38C2-440D-B8E2-B99EC2032669}"/>
    <cellStyle name="Accent5 2" xfId="73" xr:uid="{3CC1E2CB-2C8B-4719-BA66-5F87B908C392}"/>
    <cellStyle name="Accent6 2" xfId="77" xr:uid="{FD9B878D-148A-492E-B014-22C6FC4F0601}"/>
    <cellStyle name="Assumption" xfId="23" xr:uid="{E21B85CB-AE39-493C-90CF-A6033D394DF7}"/>
    <cellStyle name="Bad 2" xfId="48" xr:uid="{5DD8BED3-48FA-4190-B59C-CC8203AA0BF7}"/>
    <cellStyle name="Base_Input" xfId="12" xr:uid="{00000000-0005-0000-0000-000000000000}"/>
    <cellStyle name="Calculation 2" xfId="52" xr:uid="{F68A7A04-3744-4EC6-9CD4-31950D6E4C75}"/>
    <cellStyle name="Check Cell 2" xfId="54" xr:uid="{9C6C22A9-F494-4F94-AFA9-C9F51FD4327A}"/>
    <cellStyle name="Comma [0] 2" xfId="3" xr:uid="{00000000-0005-0000-0000-000002000000}"/>
    <cellStyle name="Comma 2" xfId="30" xr:uid="{50BDA386-AB13-404C-8C84-0EDF43721243}"/>
    <cellStyle name="Comma 2 2" xfId="89" xr:uid="{80061F79-EB90-4000-AFF4-E49214912727}"/>
    <cellStyle name="Comma 3" xfId="86" xr:uid="{FC8C937F-4E95-4033-B01F-B15D1117CED0}"/>
    <cellStyle name="Comma 4" xfId="91" xr:uid="{178931B2-E701-47F8-885B-5DFFC473C8D0}"/>
    <cellStyle name="Currency" xfId="34" builtinId="4"/>
    <cellStyle name="Currency 2" xfId="39" xr:uid="{E2D8D30C-EC43-435D-9413-6746B6241791}"/>
    <cellStyle name="Currency 2 2" xfId="29" xr:uid="{F29057D5-5718-441F-8CAD-00B1D320E1EF}"/>
    <cellStyle name="Currency 2 2 2" xfId="87" xr:uid="{D351A479-2017-457C-A825-0026F5A0C2C3}"/>
    <cellStyle name="Currency 3" xfId="85" xr:uid="{D3787227-E124-4C9B-BF59-FD082EB06900}"/>
    <cellStyle name="Currency 4" xfId="90" xr:uid="{B174AB27-9ACC-4932-8BD9-D81344BFA840}"/>
    <cellStyle name="Currency 5" xfId="84" xr:uid="{AC2AD5B2-F60C-49A4-8B4D-EC8C6C3BDC3D}"/>
    <cellStyle name="Empty_Cell" xfId="9" xr:uid="{00000000-0005-0000-0000-000004000000}"/>
    <cellStyle name="Explanatory Text" xfId="1" builtinId="53" customBuiltin="1"/>
    <cellStyle name="Explanatory Text 2" xfId="83" xr:uid="{37B8CED7-463D-4A2A-A7CC-D96BB21D71F8}"/>
    <cellStyle name="Fixed_input" xfId="24" xr:uid="{0B0B930C-107A-4F05-8A3E-C5F6EECE17A8}"/>
    <cellStyle name="Flag" xfId="4" xr:uid="{00000000-0005-0000-0000-000006000000}"/>
    <cellStyle name="Good 2" xfId="47" xr:uid="{4C1C9DA0-F7AB-40EB-8136-9329E63D7F89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Heading 1 2" xfId="43" xr:uid="{9D3B47A4-B1E6-4222-80BE-3CABCD2D32DC}"/>
    <cellStyle name="Heading 2 2" xfId="44" xr:uid="{0AEFF609-0FC4-4100-BC60-E612F8EE5BB2}"/>
    <cellStyle name="Heading 3 2" xfId="45" xr:uid="{C0EB4F11-FD63-4693-90DC-6766A087BBF1}"/>
    <cellStyle name="Heading 4 2" xfId="46" xr:uid="{0274EEB1-2FD9-40E4-86E9-3AFF6F92ABD7}"/>
    <cellStyle name="Input 2" xfId="50" xr:uid="{573D253A-EFB3-4E6A-9900-445B9508BF23}"/>
    <cellStyle name="Insheet" xfId="6" xr:uid="{00000000-0005-0000-0000-00000D000000}"/>
    <cellStyle name="Line_SubTotal" xfId="7" xr:uid="{00000000-0005-0000-0000-00000E000000}"/>
    <cellStyle name="Linked Cell 2" xfId="53" xr:uid="{40ED6877-D97A-403B-AC9B-18827F15CC23}"/>
    <cellStyle name="Neutral 2" xfId="49" xr:uid="{B9986E6E-CF11-461D-8B73-CC39A8D0115E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4" xfId="37" xr:uid="{6CA71292-F4F3-4AAE-952A-AFA9D18B9784}"/>
    <cellStyle name="Normal 5" xfId="40" xr:uid="{8F2E6D1E-E748-4C54-AD32-213520ECA8CC}"/>
    <cellStyle name="Normal 6" xfId="41" xr:uid="{AB90C847-155F-455F-9271-F340A723B55B}"/>
    <cellStyle name="Normal 7" xfId="81" xr:uid="{95F9945B-5D01-4793-9185-E9BD65C298CC}"/>
    <cellStyle name="Normal 8" xfId="28" xr:uid="{A72DEBFF-D704-40A2-B10B-0D568324BDB3}"/>
    <cellStyle name="Note 2" xfId="82" xr:uid="{D59A5D40-F850-4FC6-9608-8005B28F5D03}"/>
    <cellStyle name="Offsheet" xfId="10" xr:uid="{00000000-0005-0000-0000-000012000000}"/>
    <cellStyle name="Output 2" xfId="51" xr:uid="{0E9A3415-7530-44E7-BACB-1E79CE4348FE}"/>
    <cellStyle name="Percent" xfId="35" builtinId="5"/>
    <cellStyle name="Percent 2" xfId="19" xr:uid="{39961233-90E2-46DE-A48A-52E8009F685E}"/>
    <cellStyle name="Percent 2 2" xfId="27" xr:uid="{E4F6E093-BFA5-41AA-B689-F440D86C5D1D}"/>
    <cellStyle name="Percent 3" xfId="38" xr:uid="{FE74188D-AF9E-4C19-9282-64BF64354A5D}"/>
    <cellStyle name="Percent 4" xfId="42" xr:uid="{43B9ECE0-D17B-40F1-9C83-C98F76E92FDB}"/>
    <cellStyle name="Percent 5" xfId="88" xr:uid="{447D60ED-B0A9-4FDE-9025-AC5C7AF42363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Title" xfId="36" builtinId="15" customBuiltin="1"/>
    <cellStyle name="Total 2" xfId="56" xr:uid="{1025AFE6-D61B-4754-99DA-91DF60799FA8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  <cellStyle name="Warning Text 2" xfId="55" xr:uid="{F90834D8-E354-4386-A729-15ADFF9D81AA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003366"/>
      <color rgb="FF66FFFF"/>
      <color rgb="FF00215B"/>
      <color rgb="FF3333FF"/>
      <color rgb="FFFFFFCC"/>
      <color rgb="FFF2F2F2"/>
      <color rgb="FFFABFA8"/>
      <color rgb="FF882B3C"/>
      <color rgb="FFEE2A2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0.40178491531220112</c:v>
                </c:pt>
                <c:pt idx="1">
                  <c:v>0.40178491531220112</c:v>
                </c:pt>
                <c:pt idx="2">
                  <c:v>0.40178491531220112</c:v>
                </c:pt>
                <c:pt idx="3">
                  <c:v>0.40178491531220112</c:v>
                </c:pt>
                <c:pt idx="4">
                  <c:v>0.40178491531220112</c:v>
                </c:pt>
                <c:pt idx="5">
                  <c:v>0.40178491531220112</c:v>
                </c:pt>
                <c:pt idx="6">
                  <c:v>0.40178491531220112</c:v>
                </c:pt>
                <c:pt idx="7">
                  <c:v>0.40178491531220112</c:v>
                </c:pt>
                <c:pt idx="8">
                  <c:v>0.40178491531220112</c:v>
                </c:pt>
                <c:pt idx="9">
                  <c:v>0.40178491531220112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0.29740657819154737</c:v>
                </c:pt>
                <c:pt idx="1">
                  <c:v>0.305982371693166</c:v>
                </c:pt>
                <c:pt idx="2">
                  <c:v>0.3205491033404072</c:v>
                </c:pt>
                <c:pt idx="3">
                  <c:v>0.33405215351933926</c:v>
                </c:pt>
                <c:pt idx="4">
                  <c:v>0.34320369601214257</c:v>
                </c:pt>
                <c:pt idx="5">
                  <c:v>0.35562551778809187</c:v>
                </c:pt>
                <c:pt idx="6">
                  <c:v>0.37479177503443467</c:v>
                </c:pt>
                <c:pt idx="7">
                  <c:v>0.39619257117111262</c:v>
                </c:pt>
                <c:pt idx="8">
                  <c:v>0.41408531934506038</c:v>
                </c:pt>
                <c:pt idx="9">
                  <c:v>0.43243498075225711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69444444444442E-2"/>
          <c:y val="7.7035475234270415E-2"/>
          <c:w val="0.91102968750000002"/>
          <c:h val="0.80403514056224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0.20541728652276783</c:v>
                </c:pt>
                <c:pt idx="1">
                  <c:v>0.21047808119034173</c:v>
                </c:pt>
                <c:pt idx="2">
                  <c:v>0.22058601122335358</c:v>
                </c:pt>
                <c:pt idx="3">
                  <c:v>0.22933720500357913</c:v>
                </c:pt>
                <c:pt idx="4">
                  <c:v>0.23370505291404775</c:v>
                </c:pt>
                <c:pt idx="5">
                  <c:v>0.24044031807132851</c:v>
                </c:pt>
                <c:pt idx="6">
                  <c:v>0.25253959553155791</c:v>
                </c:pt>
                <c:pt idx="7">
                  <c:v>0.26578334514271296</c:v>
                </c:pt>
                <c:pt idx="8">
                  <c:v>0.2748025701733634</c:v>
                </c:pt>
                <c:pt idx="9">
                  <c:v>0.28288905687803345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</xdr:row>
      <xdr:rowOff>9525</xdr:rowOff>
    </xdr:from>
    <xdr:to>
      <xdr:col>10</xdr:col>
      <xdr:colOff>291725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537706</xdr:colOff>
      <xdr:row>38</xdr:row>
      <xdr:rowOff>100852</xdr:rowOff>
    </xdr:from>
    <xdr:to>
      <xdr:col>13</xdr:col>
      <xdr:colOff>0</xdr:colOff>
      <xdr:row>57</xdr:row>
      <xdr:rowOff>108087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06A84-B032-460E-8F5D-C9BAFF353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8" sqref="A28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09"/>
    </row>
    <row r="2" spans="1:19" ht="23.25" x14ac:dyDescent="0.35">
      <c r="A2" s="309"/>
      <c r="C2" s="310" t="s">
        <v>42</v>
      </c>
      <c r="D2" s="311"/>
      <c r="E2" s="311"/>
    </row>
    <row r="3" spans="1:19" ht="15.75" x14ac:dyDescent="0.25">
      <c r="A3" s="309"/>
      <c r="C3" s="312" t="s">
        <v>242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314</v>
      </c>
    </row>
    <row r="6" spans="1:19" x14ac:dyDescent="0.25">
      <c r="A6" s="309"/>
      <c r="C6" s="314" t="s">
        <v>243</v>
      </c>
      <c r="D6" s="327">
        <v>4.08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15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RD switchboard and relay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189</v>
      </c>
      <c r="H7" s="151" t="s">
        <v>190</v>
      </c>
      <c r="I7" s="151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95" t="str">
        <f>INDEX(Assumptions!$E$14:$E$18, MATCH(C9, Assumptions!$C$14:$C$18,0))</f>
        <v>No change to existing practices</v>
      </c>
      <c r="E9" s="396"/>
      <c r="F9" s="396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97" t="str">
        <f>INDEX(Assumptions!$E$14:$E$18, MATCH(C10, Assumptions!$C$14:$C$18,0))</f>
        <v>Combined replacement of SWBD (i.e. all three buses) and relays completed in 2028-29</v>
      </c>
      <c r="E10" s="398"/>
      <c r="F10" s="398"/>
      <c r="G10" s="103">
        <f>IF(Data!$C10, "", INDEX(Consol!$F$15:$F$82, MATCH($C10&amp;G$7, Consol!$D$15:$D$82,0))/mill_conv)</f>
        <v>-5.108478235142309</v>
      </c>
      <c r="H10" s="103">
        <f>IF(Data!$C10, "", INDEX(Consol!$F$15:$F$82, MATCH($C10&amp;H$7, Consol!$D$15:$D$82,0))/mill_conv)</f>
        <v>6.6553018744186501</v>
      </c>
      <c r="I10" s="103">
        <f>IF(Data!$C10, "", INDEX(Consol!$F$15:$F$82, MATCH($C10&amp;I$7, Consol!$D$15:$D$82,0))/mill_conv)</f>
        <v>1.5468236392763419</v>
      </c>
    </row>
    <row r="11" spans="1:13" s="7" customFormat="1" ht="12.75" x14ac:dyDescent="0.2">
      <c r="C11" s="91" t="str">
        <v>Option 3</v>
      </c>
      <c r="D11" s="397" t="str">
        <f>INDEX(Assumptions!$E$14:$E$18, MATCH(C11, Assumptions!$C$14:$C$18,0))</f>
        <v>Relay replacement completed in 2028-29 and SWBD replacement completed in 2033-34</v>
      </c>
      <c r="E11" s="398"/>
      <c r="F11" s="398"/>
      <c r="G11" s="103">
        <f>IF(Data!$C11, "", INDEX(Consol!$F$15:$F$82, MATCH($C11&amp;G$7, Consol!$D$15:$D$82,0))/mill_conv)</f>
        <v>-4.8168034968028</v>
      </c>
      <c r="H11" s="103">
        <f>IF(Data!$C11, "", INDEX(Consol!$F$15:$F$82, MATCH($C11&amp;H$7, Consol!$D$15:$D$82,0))/mill_conv)</f>
        <v>5.3289598117068824</v>
      </c>
      <c r="I11" s="103">
        <f>IF(Data!$C11, "", INDEX(Consol!$F$15:$F$82, MATCH($C11&amp;I$7, Consol!$D$15:$D$82,0))/mill_conv)</f>
        <v>0.5121563149040822</v>
      </c>
    </row>
    <row r="12" spans="1:13" s="7" customFormat="1" ht="12.75" x14ac:dyDescent="0.2">
      <c r="C12" s="91" t="str">
        <v>Option 4</v>
      </c>
      <c r="D12" s="397">
        <f>INDEX(Assumptions!$E$14:$E$18, MATCH(C12, Assumptions!$C$14:$C$18,0))</f>
        <v>0</v>
      </c>
      <c r="E12" s="398"/>
      <c r="F12" s="398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97">
        <f>INDEX(Assumptions!$E$14:$E$18, MATCH(C13, Assumptions!$C$14:$C$18,0))</f>
        <v>0</v>
      </c>
      <c r="E13" s="398"/>
      <c r="F13" s="398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94" t="str">
        <f>INDEX($D$9:$D$13,MATCH(G18, $I$9:$I$13,0))</f>
        <v>Combined replacement of SWBD (i.e. all three buses) and relays completed in 2028-29</v>
      </c>
      <c r="E18" s="394"/>
      <c r="F18" s="394"/>
      <c r="G18" s="104">
        <f>_xlfn.MAXIFS(I9:I13, IF(compliance, Data!$F$9:$F$13, Data!$C$9:$C$13),FALSE)</f>
        <v>1.5468236392763419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8">
        <f>output_dollars</f>
        <v>46203</v>
      </c>
      <c r="E29" s="184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5.3732692165532931</v>
      </c>
      <c r="H30" s="105">
        <f>-INDEX(Consol!$I$15:$Q$82,MATCH($C$26&amp;$C30,Consol!$D$15:$D$82,0), MATCH(H$29, Consol!$I$9:$Q$9,0))/mill_conv</f>
        <v>2.6866346082766466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5"/>
      <c r="L30" s="185">
        <f>SUM(F30:J30)</f>
        <v>8.0599038248299397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93" t="s">
        <v>239</v>
      </c>
      <c r="G37" s="363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</row>
    <row r="66" spans="3:13" s="8" customFormat="1" ht="12.75" x14ac:dyDescent="0.2">
      <c r="C66" s="256" t="s">
        <v>220</v>
      </c>
      <c r="D66" s="184">
        <f>output_dollars</f>
        <v>46203</v>
      </c>
      <c r="E66" s="184"/>
      <c r="F66" s="257" t="str">
        <f>Sensitivity_calcs!C89</f>
        <v>Option 1 (base case)</v>
      </c>
      <c r="G66" s="257" t="str">
        <f>Sensitivity_calcs!D89</f>
        <v>Option 2</v>
      </c>
      <c r="H66" s="257" t="str">
        <f>Sensitivity_calcs!E89</f>
        <v>Option 3</v>
      </c>
      <c r="I66" s="257" t="str">
        <f>Sensitivity_calcs!F89</f>
        <v>Option 4</v>
      </c>
      <c r="J66" s="257" t="str">
        <f>Sensitivity_calcs!G89</f>
        <v>Option 5</v>
      </c>
      <c r="K66" s="261"/>
      <c r="L66" s="286" t="s">
        <v>218</v>
      </c>
      <c r="M66" s="261"/>
    </row>
    <row r="67" spans="3:13" s="8" customFormat="1" ht="12.75" x14ac:dyDescent="0.2">
      <c r="C67" s="284" t="str">
        <f>Sensitivity_calcs!B90</f>
        <v>None</v>
      </c>
      <c r="D67" s="264"/>
      <c r="E67" s="264"/>
      <c r="F67" s="285">
        <f>Sensitivity_calcs!C90</f>
        <v>0</v>
      </c>
      <c r="G67" s="285">
        <f>Sensitivity_calcs!D90</f>
        <v>1.5468236392763417</v>
      </c>
      <c r="H67" s="285">
        <f>Sensitivity_calcs!E90</f>
        <v>0.51215631490408209</v>
      </c>
      <c r="I67" s="285" t="str">
        <f>Sensitivity_calcs!F90</f>
        <v/>
      </c>
      <c r="J67" s="285" t="str">
        <f>Sensitivity_calcs!G90</f>
        <v/>
      </c>
      <c r="K67" s="255"/>
      <c r="L67" s="287" t="str">
        <f>Sensitivity_calcs!K90</f>
        <v>Option 2</v>
      </c>
      <c r="M67" s="255"/>
    </row>
    <row r="68" spans="3:13" s="8" customFormat="1" ht="12.75" x14ac:dyDescent="0.2">
      <c r="C68" s="263" t="str">
        <f>Sensitivity_calcs!B91</f>
        <v>Capex 10% higher</v>
      </c>
      <c r="D68" s="263"/>
      <c r="E68" s="263"/>
      <c r="F68" s="277">
        <f>Sensitivity_calcs!C91</f>
        <v>0</v>
      </c>
      <c r="G68" s="272">
        <f>Sensitivity_calcs!D91</f>
        <v>1.0359758157621111</v>
      </c>
      <c r="H68" s="272">
        <f>Sensitivity_calcs!E91</f>
        <v>3.0475965223802488E-2</v>
      </c>
      <c r="I68" s="272" t="str">
        <f>Sensitivity_calcs!F91</f>
        <v/>
      </c>
      <c r="J68" s="272" t="str">
        <f>Sensitivity_calcs!G91</f>
        <v/>
      </c>
      <c r="K68" s="255"/>
      <c r="L68" s="280" t="str">
        <f>Sensitivity_calcs!K91</f>
        <v>Option 2</v>
      </c>
      <c r="M68" s="255"/>
    </row>
    <row r="69" spans="3:13" s="8" customFormat="1" ht="12.75" x14ac:dyDescent="0.2">
      <c r="C69" s="263" t="str">
        <f>Sensitivity_calcs!B92</f>
        <v>Capex 10% lower</v>
      </c>
      <c r="D69" s="263"/>
      <c r="E69" s="263"/>
      <c r="F69" s="278">
        <f>Sensitivity_calcs!C92</f>
        <v>0</v>
      </c>
      <c r="G69" s="273">
        <f>Sensitivity_calcs!D92</f>
        <v>2.057671462790573</v>
      </c>
      <c r="H69" s="273">
        <f>Sensitivity_calcs!E92</f>
        <v>0.99383666458436193</v>
      </c>
      <c r="I69" s="273" t="str">
        <f>Sensitivity_calcs!F92</f>
        <v/>
      </c>
      <c r="J69" s="273" t="str">
        <f>Sensitivity_calcs!G92</f>
        <v/>
      </c>
      <c r="K69" s="255"/>
      <c r="L69" s="280" t="str">
        <f>Sensitivity_calcs!K92</f>
        <v>Option 2</v>
      </c>
      <c r="M69" s="255"/>
    </row>
    <row r="70" spans="3:13" s="8" customFormat="1" ht="12.75" x14ac:dyDescent="0.2">
      <c r="C70" s="263" t="str">
        <f>Sensitivity_calcs!B93</f>
        <v>Total benefits 10% higher</v>
      </c>
      <c r="D70" s="263"/>
      <c r="E70" s="263"/>
      <c r="F70" s="278">
        <f>Sensitivity_calcs!C93</f>
        <v>0</v>
      </c>
      <c r="G70" s="273">
        <f>Sensitivity_calcs!D93</f>
        <v>2.212353826718207</v>
      </c>
      <c r="H70" s="273">
        <f>Sensitivity_calcs!E93</f>
        <v>1.0450522960747706</v>
      </c>
      <c r="I70" s="273" t="str">
        <f>Sensitivity_calcs!F93</f>
        <v/>
      </c>
      <c r="J70" s="273" t="str">
        <f>Sensitivity_calcs!G93</f>
        <v/>
      </c>
      <c r="K70" s="255"/>
      <c r="L70" s="280" t="str">
        <f>Sensitivity_calcs!K93</f>
        <v>Option 2</v>
      </c>
      <c r="M70" s="255"/>
    </row>
    <row r="71" spans="3:13" s="8" customFormat="1" ht="12.75" x14ac:dyDescent="0.2">
      <c r="C71" s="263" t="str">
        <f>Sensitivity_calcs!B94</f>
        <v>Total benefits 10% lower</v>
      </c>
      <c r="D71" s="263"/>
      <c r="E71" s="263"/>
      <c r="F71" s="278">
        <f>Sensitivity_calcs!C94</f>
        <v>0</v>
      </c>
      <c r="G71" s="273">
        <f>Sensitivity_calcs!D94</f>
        <v>0.8812934518344766</v>
      </c>
      <c r="H71" s="273">
        <f>Sensitivity_calcs!E94</f>
        <v>-2.0739666266606248E-2</v>
      </c>
      <c r="I71" s="273" t="str">
        <f>Sensitivity_calcs!F94</f>
        <v/>
      </c>
      <c r="J71" s="273" t="str">
        <f>Sensitivity_calcs!G94</f>
        <v/>
      </c>
      <c r="K71" s="255"/>
      <c r="L71" s="280" t="str">
        <f>Sensitivity_calcs!K94</f>
        <v>Option 2</v>
      </c>
      <c r="M71" s="255"/>
    </row>
    <row r="72" spans="3:13" s="8" customFormat="1" ht="12.75" x14ac:dyDescent="0.2">
      <c r="C72" s="263" t="str">
        <f>Sensitivity_calcs!B95</f>
        <v>Capex 10% higher &amp; Total benefits 10% lower</v>
      </c>
      <c r="D72" s="263"/>
      <c r="E72" s="263"/>
      <c r="F72" s="278">
        <f>Sensitivity_calcs!C95</f>
        <v>0</v>
      </c>
      <c r="G72" s="273">
        <f>Sensitivity_calcs!D95</f>
        <v>0.37044562832024569</v>
      </c>
      <c r="H72" s="273">
        <f>Sensitivity_calcs!E95</f>
        <v>-0.50242001594688612</v>
      </c>
      <c r="I72" s="273" t="str">
        <f>Sensitivity_calcs!F95</f>
        <v/>
      </c>
      <c r="J72" s="273" t="str">
        <f>Sensitivity_calcs!G95</f>
        <v/>
      </c>
      <c r="K72" s="255"/>
      <c r="L72" s="280" t="str">
        <f>Sensitivity_calcs!K95</f>
        <v>Option 2</v>
      </c>
      <c r="M72" s="255"/>
    </row>
    <row r="73" spans="3:13" s="8" customFormat="1" ht="12.75" x14ac:dyDescent="0.2">
      <c r="C73" s="263">
        <f>Sensitivity_calcs!B96</f>
        <v>0</v>
      </c>
      <c r="D73" s="263"/>
      <c r="E73" s="263"/>
      <c r="F73" s="278" t="str">
        <f>Sensitivity_calcs!C96</f>
        <v/>
      </c>
      <c r="G73" s="273" t="str">
        <f>Sensitivity_calcs!D96</f>
        <v/>
      </c>
      <c r="H73" s="273" t="str">
        <f>Sensitivity_calcs!E96</f>
        <v/>
      </c>
      <c r="I73" s="273" t="str">
        <f>Sensitivity_calcs!F96</f>
        <v/>
      </c>
      <c r="J73" s="273" t="str">
        <f>Sensitivity_calcs!G96</f>
        <v/>
      </c>
      <c r="K73" s="255"/>
      <c r="L73" s="280" t="str">
        <f>Sensitivity_calcs!K96</f>
        <v/>
      </c>
      <c r="M73" s="255"/>
    </row>
    <row r="74" spans="3:13" s="8" customFormat="1" ht="12.75" x14ac:dyDescent="0.2">
      <c r="C74" s="263">
        <f>Sensitivity_calcs!B97</f>
        <v>0</v>
      </c>
      <c r="D74" s="258"/>
      <c r="E74" s="258"/>
      <c r="F74" s="278" t="str">
        <f>Sensitivity_calcs!C97</f>
        <v/>
      </c>
      <c r="G74" s="273" t="str">
        <f>Sensitivity_calcs!D97</f>
        <v/>
      </c>
      <c r="H74" s="273" t="str">
        <f>Sensitivity_calcs!E97</f>
        <v/>
      </c>
      <c r="I74" s="273" t="str">
        <f>Sensitivity_calcs!F97</f>
        <v/>
      </c>
      <c r="J74" s="273" t="str">
        <f>Sensitivity_calcs!G97</f>
        <v/>
      </c>
      <c r="K74" s="265">
        <f>IF(C74=0,0, INDEX($F$66:$J$66, MATCH(MAX($F74:$I74),$F74:$I74,0)))</f>
        <v>0</v>
      </c>
      <c r="L74" s="280" t="str">
        <f>Sensitivity_calcs!K97</f>
        <v/>
      </c>
    </row>
    <row r="75" spans="3:13" s="8" customFormat="1" ht="12.75" x14ac:dyDescent="0.2">
      <c r="D75" s="263">
        <f>Sensitivity_calcs!B98</f>
        <v>0</v>
      </c>
      <c r="E75" s="263"/>
      <c r="F75" s="278" t="str">
        <f>Sensitivity_calcs!C98</f>
        <v/>
      </c>
      <c r="G75" s="273" t="str">
        <f>Sensitivity_calcs!D98</f>
        <v/>
      </c>
      <c r="H75" s="273" t="str">
        <f>Sensitivity_calcs!E98</f>
        <v/>
      </c>
      <c r="I75" s="273" t="str">
        <f>Sensitivity_calcs!F98</f>
        <v/>
      </c>
      <c r="J75" s="273" t="str">
        <f>Sensitivity_calcs!G98</f>
        <v/>
      </c>
      <c r="K75" s="255"/>
      <c r="L75" s="280" t="str">
        <f>Sensitivity_calcs!K98</f>
        <v/>
      </c>
      <c r="M75" s="255"/>
    </row>
    <row r="76" spans="3:13" s="8" customFormat="1" ht="12.75" x14ac:dyDescent="0.2">
      <c r="D76" s="263">
        <f>Sensitivity_calcs!B99</f>
        <v>0</v>
      </c>
      <c r="E76" s="263"/>
      <c r="F76" s="279"/>
      <c r="G76" s="105"/>
      <c r="H76" s="105"/>
      <c r="I76" s="105"/>
      <c r="J76" s="105"/>
      <c r="K76" s="255"/>
      <c r="L76" s="255"/>
    </row>
    <row r="77" spans="3:13" s="8" customFormat="1" ht="12.75" x14ac:dyDescent="0.2">
      <c r="F77" s="262"/>
      <c r="G77" s="105"/>
      <c r="H77" s="105"/>
      <c r="I77" s="105"/>
      <c r="J77" s="105"/>
    </row>
    <row r="78" spans="3:13" s="8" customFormat="1" ht="12.75" x14ac:dyDescent="0.2">
      <c r="F78" s="262"/>
      <c r="G78" s="262"/>
      <c r="H78" s="262"/>
      <c r="I78" s="262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3"/>
      <c r="E81" s="243"/>
      <c r="F81" s="243"/>
    </row>
    <row r="82" spans="4:6" s="8" customFormat="1" ht="12.75" x14ac:dyDescent="0.2">
      <c r="D82" s="243"/>
      <c r="E82" s="243"/>
      <c r="F82" s="243"/>
    </row>
    <row r="83" spans="4:6" s="8" customFormat="1" ht="12.75" hidden="1" x14ac:dyDescent="0.2">
      <c r="D83" s="243"/>
      <c r="E83" s="243"/>
      <c r="F83" s="243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RD switchboard and relay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02" t="s">
        <v>315</v>
      </c>
      <c r="F8" s="402"/>
      <c r="G8" s="402"/>
      <c r="H8" s="402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03" t="s">
        <v>58</v>
      </c>
      <c r="F14" s="403"/>
      <c r="G14" s="403"/>
      <c r="H14" s="403"/>
      <c r="I14" s="403"/>
      <c r="J14" s="403"/>
      <c r="K14" s="403"/>
      <c r="L14"/>
    </row>
    <row r="15" spans="1:16" s="1" customFormat="1" ht="12.75" customHeight="1" x14ac:dyDescent="0.2">
      <c r="C15" s="61" t="str">
        <v>Option 2</v>
      </c>
      <c r="D15" s="61"/>
      <c r="E15" s="404" t="s">
        <v>316</v>
      </c>
      <c r="F15" s="404"/>
      <c r="G15" s="404"/>
      <c r="H15" s="404"/>
      <c r="I15" s="404"/>
      <c r="J15" s="404"/>
      <c r="K15" s="404"/>
      <c r="L15"/>
    </row>
    <row r="16" spans="1:16" s="1" customFormat="1" ht="12.75" customHeight="1" x14ac:dyDescent="0.2">
      <c r="C16" s="61" t="str">
        <v>Option 3</v>
      </c>
      <c r="D16" s="61"/>
      <c r="E16" s="404" t="s">
        <v>317</v>
      </c>
      <c r="F16" s="404"/>
      <c r="G16" s="404"/>
      <c r="H16" s="404"/>
      <c r="I16" s="404"/>
      <c r="J16" s="404"/>
      <c r="K16" s="404"/>
      <c r="L16"/>
    </row>
    <row r="17" spans="1:16" s="1" customFormat="1" ht="12.75" customHeight="1" x14ac:dyDescent="0.2">
      <c r="C17" s="61" t="str">
        <v>Option 4</v>
      </c>
      <c r="D17" s="61"/>
      <c r="E17" s="404"/>
      <c r="F17" s="404"/>
      <c r="G17" s="404"/>
      <c r="H17" s="404"/>
      <c r="I17" s="404"/>
      <c r="J17" s="404"/>
      <c r="K17" s="404"/>
      <c r="L17"/>
    </row>
    <row r="18" spans="1:16" s="1" customFormat="1" ht="12.75" customHeight="1" x14ac:dyDescent="0.2">
      <c r="C18" s="61" t="str">
        <v>Option 5</v>
      </c>
      <c r="D18" s="61"/>
      <c r="E18" s="404"/>
      <c r="F18" s="404"/>
      <c r="G18" s="404"/>
      <c r="H18" s="404"/>
      <c r="I18" s="404"/>
      <c r="J18" s="404"/>
      <c r="K18" s="404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223</v>
      </c>
      <c r="D20"/>
      <c r="E20" s="290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5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1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2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3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0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2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245</v>
      </c>
      <c r="D41" s="239" t="s">
        <v>246</v>
      </c>
      <c r="E41" s="323" t="s">
        <v>318</v>
      </c>
      <c r="F41" s="324"/>
      <c r="G41" s="325" t="s">
        <v>319</v>
      </c>
      <c r="H41" s="131">
        <v>34344.183402891664</v>
      </c>
      <c r="I41" s="326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5">
        <v>5400000</v>
      </c>
      <c r="H50" s="69">
        <v>45107</v>
      </c>
    </row>
    <row r="52" spans="3:8" x14ac:dyDescent="0.2">
      <c r="C52" s="8" t="s">
        <v>165</v>
      </c>
      <c r="G52" s="163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6" t="s">
        <v>68</v>
      </c>
      <c r="H69" s="156" t="s">
        <v>166</v>
      </c>
      <c r="I69" s="156" t="s">
        <v>180</v>
      </c>
      <c r="J69" s="155" t="s">
        <v>184</v>
      </c>
      <c r="K69" s="156"/>
      <c r="L69" s="156"/>
      <c r="M69" s="156"/>
    </row>
    <row r="70" spans="2:16" x14ac:dyDescent="0.2">
      <c r="C70" s="8" t="s">
        <v>167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399">
        <v>0</v>
      </c>
      <c r="K70" s="400"/>
      <c r="L70" s="400"/>
      <c r="M70" s="401"/>
    </row>
    <row r="71" spans="2:16" x14ac:dyDescent="0.2">
      <c r="C71" s="8" t="s">
        <v>168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399">
        <v>0</v>
      </c>
      <c r="K71" s="400"/>
      <c r="L71" s="400"/>
      <c r="M71" s="401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3">
        <v>0</v>
      </c>
      <c r="H78" s="69">
        <f>input_dollars</f>
        <v>45291</v>
      </c>
    </row>
    <row r="79" spans="2:16" x14ac:dyDescent="0.2">
      <c r="C79" s="8" t="s">
        <v>170</v>
      </c>
      <c r="G79" s="153">
        <v>0</v>
      </c>
      <c r="H79" s="69">
        <f>input_dollars</f>
        <v>45291</v>
      </c>
    </row>
    <row r="81" spans="1:16" x14ac:dyDescent="0.2">
      <c r="C81" s="8" t="s">
        <v>171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9"/>
      <c r="E110" s="298"/>
      <c r="F110" s="297"/>
      <c r="G110" s="297" t="s">
        <v>17</v>
      </c>
      <c r="H110" s="297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AA11" activePane="bottomRight" state="frozen"/>
      <selection activeCell="S27" sqref="S27"/>
      <selection pane="topRight" activeCell="S27" sqref="S27"/>
      <selection pane="bottomLeft" activeCell="S27" sqref="S27"/>
      <selection pane="bottomRight" activeCell="A2" sqref="A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RD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2" t="s">
        <v>142</v>
      </c>
      <c r="B3" s="5"/>
      <c r="C3" s="134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0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59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7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7"/>
      <c r="E25" s="111"/>
      <c r="F25" s="111"/>
      <c r="G25" s="207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34344.183402891664</v>
      </c>
      <c r="F28" s="237" t="str">
        <f>IF(AND(SUM(I27:AG27)&lt;&gt;0, E28=0), "!", "")</f>
        <v/>
      </c>
      <c r="G28" s="206">
        <f>input_dollars</f>
        <v>45291</v>
      </c>
      <c r="H28"/>
      <c r="I28" s="167">
        <f>Workings_risks!E26</f>
        <v>205417.28652276783</v>
      </c>
      <c r="J28" s="167">
        <f>Workings_risks!F26</f>
        <v>210478.08119034173</v>
      </c>
      <c r="K28" s="167">
        <f>Workings_risks!G26</f>
        <v>220586.01122335359</v>
      </c>
      <c r="L28" s="167">
        <f>Workings_risks!H26</f>
        <v>229337.20500357912</v>
      </c>
      <c r="M28" s="167">
        <f>Workings_risks!I26</f>
        <v>233705.05291404776</v>
      </c>
      <c r="N28" s="167">
        <f>Workings_risks!J26</f>
        <v>240440.31807132851</v>
      </c>
      <c r="O28" s="167">
        <f>Workings_risks!K26</f>
        <v>252539.59553155792</v>
      </c>
      <c r="P28" s="167">
        <f>Workings_risks!L26</f>
        <v>265783.34514271293</v>
      </c>
      <c r="Q28" s="167">
        <f>Workings_risks!M26</f>
        <v>274802.57017336338</v>
      </c>
      <c r="R28" s="167">
        <f>Workings_risks!N26</f>
        <v>282889.05687803344</v>
      </c>
      <c r="S28" s="167">
        <f>Workings_risks!O26</f>
        <v>293241.36051750934</v>
      </c>
      <c r="T28" s="167">
        <f>Workings_risks!P26</f>
        <v>306593.45508716546</v>
      </c>
      <c r="U28" s="167">
        <f>Workings_risks!Q26</f>
        <v>323929.67300039745</v>
      </c>
      <c r="V28" s="167">
        <f>Workings_risks!R26</f>
        <v>346571.76452980563</v>
      </c>
      <c r="W28" s="167">
        <f>Workings_risks!S26</f>
        <v>376296.48615760601</v>
      </c>
      <c r="X28" s="167">
        <f>Workings_risks!T26</f>
        <v>415494.46919867303</v>
      </c>
      <c r="Y28" s="167">
        <f>Workings_risks!U26</f>
        <v>467384.91561321553</v>
      </c>
      <c r="Z28" s="167">
        <f>Workings_risks!V26</f>
        <v>536305.80541280913</v>
      </c>
      <c r="AA28" s="167">
        <f>Workings_risks!W26</f>
        <v>543388.85020668712</v>
      </c>
      <c r="AB28" s="167">
        <f>Workings_risks!X26</f>
        <v>549063.12361349561</v>
      </c>
      <c r="AC28" s="167">
        <f>Workings_risks!Y26</f>
        <v>554604.2287828197</v>
      </c>
      <c r="AD28" s="167">
        <f>Workings_risks!Z26</f>
        <v>560701.86315429443</v>
      </c>
      <c r="AE28" s="167">
        <f>Workings_risks!AA26</f>
        <v>567551.69413073547</v>
      </c>
      <c r="AF28" s="167">
        <f>Workings_risks!AB26</f>
        <v>575277.48817611882</v>
      </c>
      <c r="AG28" s="167">
        <f>Workings_risks!AC26</f>
        <v>584029.82565227558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Workings_risks!D27</f>
        <v>Safety risk</v>
      </c>
      <c r="D30" s="204" t="s">
        <v>208</v>
      </c>
      <c r="G30" s="206">
        <f>input_dollars</f>
        <v>45291</v>
      </c>
      <c r="H30" s="148"/>
      <c r="I30" s="32">
        <f>Workings_risks!E27</f>
        <v>1803.6078964259273</v>
      </c>
      <c r="J30" s="32">
        <f>Workings_risks!F27</f>
        <v>1981.225234662772</v>
      </c>
      <c r="K30" s="32">
        <f>Workings_risks!G27</f>
        <v>2196.3814172929101</v>
      </c>
      <c r="L30" s="32">
        <f>Workings_risks!H27</f>
        <v>2461.1180190231062</v>
      </c>
      <c r="M30" s="32">
        <f>Workings_risks!I27</f>
        <v>2786.7557976276103</v>
      </c>
      <c r="N30" s="32">
        <f>Workings_risks!J27</f>
        <v>3191.2053480167697</v>
      </c>
      <c r="O30" s="32">
        <f>Workings_risks!K27</f>
        <v>3698.2584152807412</v>
      </c>
      <c r="P30" s="32">
        <f>Workings_risks!L27</f>
        <v>4340.2814842555026</v>
      </c>
      <c r="Q30" s="32">
        <f>Workings_risks!M27</f>
        <v>5159.5581510259262</v>
      </c>
      <c r="R30" s="32">
        <f>Workings_risks!N27</f>
        <v>6212.437222720986</v>
      </c>
      <c r="S30" s="32">
        <f>Workings_risks!O27</f>
        <v>7577.8651107362384</v>
      </c>
      <c r="T30" s="32">
        <f>Workings_risks!P27</f>
        <v>9357.9421382088567</v>
      </c>
      <c r="U30" s="32">
        <f>Workings_risks!Q27</f>
        <v>11689.403993040207</v>
      </c>
      <c r="V30" s="32">
        <f>Workings_risks!R27</f>
        <v>14758.219445133409</v>
      </c>
      <c r="W30" s="32">
        <f>Workings_risks!S27</f>
        <v>18815.241392501823</v>
      </c>
      <c r="X30" s="32">
        <f>Workings_risks!T27</f>
        <v>24199.204916537012</v>
      </c>
      <c r="Y30" s="32">
        <f>Workings_risks!U27</f>
        <v>31367.951602976304</v>
      </c>
      <c r="Z30" s="32">
        <f>Workings_risks!V27</f>
        <v>40940.841423950696</v>
      </c>
      <c r="AA30" s="32">
        <f>Workings_risks!W27</f>
        <v>48372.090780109007</v>
      </c>
      <c r="AB30" s="32">
        <f>Workings_risks!X27</f>
        <v>57924.755477976039</v>
      </c>
      <c r="AC30" s="32">
        <f>Workings_risks!Y27</f>
        <v>59916.623816143619</v>
      </c>
      <c r="AD30" s="32">
        <f>Workings_risks!Z27</f>
        <v>60650.821081564194</v>
      </c>
      <c r="AE30" s="32">
        <f>Workings_risks!AA27</f>
        <v>61513.039927606602</v>
      </c>
      <c r="AF30" s="32">
        <f>Workings_risks!AB27</f>
        <v>62538.697967084372</v>
      </c>
      <c r="AG30" s="32">
        <f>Workings_risks!AC27</f>
        <v>63776.185856062162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Workings_risks!D28</f>
        <v>Unplanned replacement</v>
      </c>
      <c r="D31" s="205"/>
      <c r="E31"/>
      <c r="G31" s="206">
        <f>input_dollars</f>
        <v>45291</v>
      </c>
      <c r="H31" s="148"/>
      <c r="I31" s="32">
        <f>Workings_risks!E28</f>
        <v>59437.891966064541</v>
      </c>
      <c r="J31" s="32">
        <f>Workings_risks!F28</f>
        <v>61885.191171872226</v>
      </c>
      <c r="K31" s="32">
        <f>Workings_risks!G28</f>
        <v>64626.393438480838</v>
      </c>
      <c r="L31" s="32">
        <f>Workings_risks!H28</f>
        <v>67712.918639274576</v>
      </c>
      <c r="M31" s="32">
        <f>Workings_risks!I28</f>
        <v>71204.421807472128</v>
      </c>
      <c r="N31" s="32">
        <f>Workings_risks!J28</f>
        <v>75178.488746118528</v>
      </c>
      <c r="O31" s="32">
        <f>Workings_risks!K28</f>
        <v>79733.423728413152</v>
      </c>
      <c r="P31" s="32">
        <f>Workings_risks!L28</f>
        <v>85000.02938829764</v>
      </c>
      <c r="Q31" s="32">
        <f>Workings_risks!M28</f>
        <v>91139.726279091614</v>
      </c>
      <c r="R31" s="32">
        <f>Workings_risks!N28</f>
        <v>98359.940770399538</v>
      </c>
      <c r="S31" s="32">
        <f>Workings_risks!O28</f>
        <v>106937.86756420739</v>
      </c>
      <c r="T31" s="32">
        <f>Workings_risks!P28</f>
        <v>117233.47261118105</v>
      </c>
      <c r="U31" s="32">
        <f>Workings_risks!Q28</f>
        <v>129720.743058236</v>
      </c>
      <c r="V31" s="32">
        <f>Workings_risks!R28</f>
        <v>145028.92242106056</v>
      </c>
      <c r="W31" s="32">
        <f>Workings_risks!S28</f>
        <v>163994.17562138184</v>
      </c>
      <c r="X31" s="32">
        <f>Workings_risks!T28</f>
        <v>187731.0856084539</v>
      </c>
      <c r="Y31" s="32">
        <f>Workings_risks!U28</f>
        <v>217729.30361620634</v>
      </c>
      <c r="Z31" s="32">
        <f>Workings_risks!V28</f>
        <v>255984.26996292186</v>
      </c>
      <c r="AA31" s="32">
        <f>Workings_risks!W28</f>
        <v>273946.75501330348</v>
      </c>
      <c r="AB31" s="32">
        <f>Workings_risks!X28</f>
        <v>294377.56336551125</v>
      </c>
      <c r="AC31" s="32">
        <f>Workings_risks!Y28</f>
        <v>308339.0011182453</v>
      </c>
      <c r="AD31" s="32">
        <f>Workings_risks!Z28</f>
        <v>322260.4324046683</v>
      </c>
      <c r="AE31" s="32">
        <f>Workings_risks!AA28</f>
        <v>337645.89164981246</v>
      </c>
      <c r="AF31" s="32">
        <f>Workings_risks!AB28</f>
        <v>354674.76661377825</v>
      </c>
      <c r="AG31" s="32">
        <f>Workings_risks!AC28</f>
        <v>373556.62540979404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Workings_risks!D29</f>
        <v>Unplanned fault</v>
      </c>
      <c r="D32" s="204" t="s">
        <v>208</v>
      </c>
      <c r="E32"/>
      <c r="G32" s="206">
        <f>input_dollars</f>
        <v>45291</v>
      </c>
      <c r="H32"/>
      <c r="I32" s="32">
        <f>Workings_risks!E29</f>
        <v>431.8</v>
      </c>
      <c r="J32" s="32">
        <f>Workings_risks!F29</f>
        <v>431.8</v>
      </c>
      <c r="K32" s="32">
        <f>Workings_risks!G29</f>
        <v>431.8</v>
      </c>
      <c r="L32" s="32">
        <f>Workings_risks!H29</f>
        <v>431.8</v>
      </c>
      <c r="M32" s="32">
        <f>Workings_risks!I29</f>
        <v>431.8</v>
      </c>
      <c r="N32" s="32">
        <f>Workings_risks!J29</f>
        <v>431.8</v>
      </c>
      <c r="O32" s="32">
        <f>Workings_risks!K29</f>
        <v>431.8</v>
      </c>
      <c r="P32" s="32">
        <f>Workings_risks!L29</f>
        <v>431.8</v>
      </c>
      <c r="Q32" s="32">
        <f>Workings_risks!M29</f>
        <v>431.8</v>
      </c>
      <c r="R32" s="32">
        <f>Workings_risks!N29</f>
        <v>431.8</v>
      </c>
      <c r="S32" s="32">
        <f>Workings_risks!O29</f>
        <v>431.8</v>
      </c>
      <c r="T32" s="32">
        <f>Workings_risks!P29</f>
        <v>431.8</v>
      </c>
      <c r="U32" s="32">
        <f>Workings_risks!Q29</f>
        <v>431.8</v>
      </c>
      <c r="V32" s="32">
        <f>Workings_risks!R29</f>
        <v>431.8</v>
      </c>
      <c r="W32" s="32">
        <f>Workings_risks!S29</f>
        <v>431.8</v>
      </c>
      <c r="X32" s="32">
        <f>Workings_risks!T29</f>
        <v>431.8</v>
      </c>
      <c r="Y32" s="32">
        <f>Workings_risks!U29</f>
        <v>431.8</v>
      </c>
      <c r="Z32" s="32">
        <f>Workings_risks!V29</f>
        <v>431.8</v>
      </c>
      <c r="AA32" s="32">
        <f>Workings_risks!W29</f>
        <v>431.8</v>
      </c>
      <c r="AB32" s="32">
        <f>Workings_risks!X29</f>
        <v>431.8</v>
      </c>
      <c r="AC32" s="32">
        <f>Workings_risks!Y29</f>
        <v>431.8</v>
      </c>
      <c r="AD32" s="32">
        <f>Workings_risks!Z29</f>
        <v>431.8</v>
      </c>
      <c r="AE32" s="32">
        <f>Workings_risks!AA29</f>
        <v>431.8</v>
      </c>
      <c r="AF32" s="32">
        <f>Workings_risks!AB29</f>
        <v>431.8</v>
      </c>
      <c r="AG32" s="32">
        <f>Workings_risks!AC29</f>
        <v>431.8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Workings_risks!D30</f>
        <v>Environmental risk</v>
      </c>
      <c r="D33" s="218"/>
      <c r="E33"/>
      <c r="G33" s="206">
        <f>input_dollars</f>
        <v>45291</v>
      </c>
      <c r="H33"/>
      <c r="I33" s="32">
        <f>Workings_risks!E30</f>
        <v>142.04786429366874</v>
      </c>
      <c r="J33" s="32">
        <f>Workings_risks!F30</f>
        <v>162.05688977686194</v>
      </c>
      <c r="K33" s="32">
        <f>Workings_risks!G30</f>
        <v>186.60488911690064</v>
      </c>
      <c r="L33" s="32">
        <f>Workings_risks!H30</f>
        <v>217.22212426541458</v>
      </c>
      <c r="M33" s="32">
        <f>Workings_risks!I30</f>
        <v>255.28879814521</v>
      </c>
      <c r="N33" s="32">
        <f>Workings_risks!J30</f>
        <v>303.04962863108716</v>
      </c>
      <c r="O33" s="32">
        <f>Workings_risks!K30</f>
        <v>363.49267616355439</v>
      </c>
      <c r="P33" s="32">
        <f>Workings_risks!L30</f>
        <v>440.65243654294875</v>
      </c>
      <c r="Q33" s="32">
        <f>Workings_risks!M30</f>
        <v>539.85959221974724</v>
      </c>
      <c r="R33" s="32">
        <f>Workings_risks!N30</f>
        <v>668.24130995474434</v>
      </c>
      <c r="S33" s="32">
        <f>Workings_risks!O30</f>
        <v>835.80777619884975</v>
      </c>
      <c r="T33" s="32">
        <f>Workings_risks!P30</f>
        <v>1055.4625636373351</v>
      </c>
      <c r="U33" s="32">
        <f>Workings_risks!Q30</f>
        <v>1344.493469789496</v>
      </c>
      <c r="V33" s="32">
        <f>Workings_risks!R30</f>
        <v>1726.4580478235898</v>
      </c>
      <c r="W33" s="32">
        <f>Workings_risks!S30</f>
        <v>2233.1573961048298</v>
      </c>
      <c r="X33" s="32">
        <f>Workings_risks!T30</f>
        <v>2907.5641026313419</v>
      </c>
      <c r="Y33" s="32">
        <f>Workings_risks!U30</f>
        <v>3807.7996029957094</v>
      </c>
      <c r="Z33" s="32">
        <f>Workings_risks!V30</f>
        <v>5012.5395471661086</v>
      </c>
      <c r="AA33" s="32">
        <f>Workings_risks!W30</f>
        <v>6036.4744799308692</v>
      </c>
      <c r="AB33" s="32">
        <f>Workings_risks!X30</f>
        <v>7361.2575325664602</v>
      </c>
      <c r="AC33" s="32">
        <f>Workings_risks!Y30</f>
        <v>7619.443486380269</v>
      </c>
      <c r="AD33" s="32">
        <f>Workings_risks!Z30</f>
        <v>7698.0702648855768</v>
      </c>
      <c r="AE33" s="32">
        <f>Workings_risks!AA30</f>
        <v>7791.9557189536999</v>
      </c>
      <c r="AF33" s="32">
        <f>Workings_risks!AB30</f>
        <v>7905.713001897956</v>
      </c>
      <c r="AG33" s="32">
        <f>Workings_risks!AC30</f>
        <v>8045.7167728301974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7"/>
      <c r="F36" s="3"/>
      <c r="G36" s="208"/>
      <c r="H36" s="107"/>
      <c r="I36" s="106">
        <f>SUM(I28:I34)</f>
        <v>267232.63424955198</v>
      </c>
      <c r="J36" s="106">
        <f t="shared" ref="J36:AB36" si="3">SUM(J28:J34)</f>
        <v>274938.35448665352</v>
      </c>
      <c r="K36" s="106">
        <f t="shared" si="3"/>
        <v>288027.19096824422</v>
      </c>
      <c r="L36" s="106">
        <f t="shared" si="3"/>
        <v>300160.26378614217</v>
      </c>
      <c r="M36" s="106">
        <f t="shared" si="3"/>
        <v>308383.31931729265</v>
      </c>
      <c r="N36" s="106">
        <f t="shared" si="3"/>
        <v>319544.8617940949</v>
      </c>
      <c r="O36" s="106">
        <f t="shared" si="3"/>
        <v>336766.57035141537</v>
      </c>
      <c r="P36" s="106">
        <f t="shared" si="3"/>
        <v>355996.10845180904</v>
      </c>
      <c r="Q36" s="106">
        <f t="shared" si="3"/>
        <v>372073.51419570064</v>
      </c>
      <c r="R36" s="106">
        <f t="shared" si="3"/>
        <v>388561.47618110868</v>
      </c>
      <c r="S36" s="106">
        <f t="shared" si="3"/>
        <v>409024.7009686518</v>
      </c>
      <c r="T36" s="106">
        <f t="shared" si="3"/>
        <v>434672.13240019267</v>
      </c>
      <c r="U36" s="106">
        <f t="shared" si="3"/>
        <v>467116.11352146318</v>
      </c>
      <c r="V36" s="106">
        <f t="shared" si="3"/>
        <v>508517.16444382316</v>
      </c>
      <c r="W36" s="106">
        <f t="shared" si="3"/>
        <v>561770.86056759465</v>
      </c>
      <c r="X36" s="106">
        <f t="shared" si="3"/>
        <v>630764.12382629537</v>
      </c>
      <c r="Y36" s="106">
        <f t="shared" si="3"/>
        <v>720721.7704353939</v>
      </c>
      <c r="Z36" s="106">
        <f t="shared" si="3"/>
        <v>838675.25634684786</v>
      </c>
      <c r="AA36" s="106">
        <f t="shared" si="3"/>
        <v>872175.97048003052</v>
      </c>
      <c r="AB36" s="106">
        <f t="shared" si="3"/>
        <v>909158.4999895494</v>
      </c>
      <c r="AC36" s="106">
        <f>SUM(AC28:AC34)</f>
        <v>930911.09720358893</v>
      </c>
      <c r="AD36" s="106">
        <f>SUM(AD28:AD34)</f>
        <v>951742.98690541252</v>
      </c>
      <c r="AE36" s="106">
        <f>SUM(AE28:AE34)</f>
        <v>974934.38142710831</v>
      </c>
      <c r="AF36" s="106">
        <f>SUM(AF28:AF34)</f>
        <v>1000828.4657588793</v>
      </c>
      <c r="AG36" s="106">
        <f>SUM(AG28:AG34)</f>
        <v>1029840.153690962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2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2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156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RD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Combined replacement of SWBD (i.e. all three buses) and relays completed in 2028-29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308</v>
      </c>
      <c r="D14"/>
      <c r="E14" s="147">
        <v>50</v>
      </c>
      <c r="G14" s="206">
        <f>input_dollars</f>
        <v>45291</v>
      </c>
      <c r="H14" s="148"/>
      <c r="I14" s="32">
        <f>Workings_costs!E22</f>
        <v>0</v>
      </c>
      <c r="J14" s="32">
        <f>Workings_costs!F22</f>
        <v>2896868.4472340425</v>
      </c>
      <c r="K14" s="32">
        <f>Workings_costs!G22</f>
        <v>1448434.2236170212</v>
      </c>
      <c r="L14" s="32">
        <f>Workings_costs!H22</f>
        <v>0</v>
      </c>
      <c r="M14" s="32">
        <f>Workings_costs!I22</f>
        <v>0</v>
      </c>
      <c r="N14" s="32">
        <f>Workings_costs!J22</f>
        <v>0</v>
      </c>
      <c r="O14" s="32">
        <f>Workings_costs!K22</f>
        <v>0</v>
      </c>
      <c r="P14" s="32">
        <f>Workings_costs!L22</f>
        <v>0</v>
      </c>
      <c r="Q14" s="32">
        <f>Workings_costs!M22</f>
        <v>0</v>
      </c>
      <c r="R14" s="32">
        <f>Workings_costs!N22</f>
        <v>0</v>
      </c>
      <c r="S14" s="32">
        <f>Workings_costs!O22</f>
        <v>0</v>
      </c>
      <c r="T14" s="32">
        <f>Workings_costs!P22</f>
        <v>0</v>
      </c>
      <c r="U14" s="32">
        <f>Workings_costs!Q22</f>
        <v>0</v>
      </c>
      <c r="V14" s="32">
        <f>Workings_costs!R22</f>
        <v>0</v>
      </c>
      <c r="W14" s="32">
        <f>Workings_costs!S22</f>
        <v>0</v>
      </c>
      <c r="X14" s="32">
        <f>Workings_costs!T22</f>
        <v>0</v>
      </c>
      <c r="Y14" s="32">
        <f>Workings_costs!U22</f>
        <v>0</v>
      </c>
      <c r="Z14" s="32">
        <f>Workings_costs!V22</f>
        <v>0</v>
      </c>
      <c r="AA14" s="32">
        <f>Workings_costs!W22</f>
        <v>0</v>
      </c>
      <c r="AB14" s="32">
        <f>Workings_costs!X22</f>
        <v>0</v>
      </c>
      <c r="AC14" s="32">
        <f>Workings_costs!Y22</f>
        <v>0</v>
      </c>
      <c r="AD14" s="32">
        <f>Workings_costs!Z22</f>
        <v>0</v>
      </c>
      <c r="AE14" s="32">
        <f>Workings_costs!AA22</f>
        <v>0</v>
      </c>
      <c r="AF14" s="32">
        <f>Workings_costs!AB22</f>
        <v>0</v>
      </c>
      <c r="AG14" s="32">
        <f>Workings_costs!AC22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309</v>
      </c>
      <c r="D15"/>
      <c r="E15" s="147">
        <v>25</v>
      </c>
      <c r="G15" s="206">
        <f>input_dollars</f>
        <v>45291</v>
      </c>
      <c r="H15" s="2"/>
      <c r="I15" s="32">
        <f>Workings_costs!E23</f>
        <v>0</v>
      </c>
      <c r="J15" s="32">
        <f>Workings_costs!F23</f>
        <v>1931245.6314893619</v>
      </c>
      <c r="K15" s="32">
        <f>Workings_costs!G23</f>
        <v>965622.81574468093</v>
      </c>
      <c r="L15" s="32">
        <f>Workings_costs!H23</f>
        <v>0</v>
      </c>
      <c r="M15" s="32">
        <f>Workings_costs!I23</f>
        <v>0</v>
      </c>
      <c r="N15" s="32">
        <f>Workings_costs!J23</f>
        <v>0</v>
      </c>
      <c r="O15" s="32">
        <f>Workings_costs!K23</f>
        <v>0</v>
      </c>
      <c r="P15" s="32">
        <f>Workings_costs!L23</f>
        <v>0</v>
      </c>
      <c r="Q15" s="32">
        <f>Workings_costs!M23</f>
        <v>0</v>
      </c>
      <c r="R15" s="32">
        <f>Workings_costs!N23</f>
        <v>0</v>
      </c>
      <c r="S15" s="32">
        <f>Workings_costs!O23</f>
        <v>0</v>
      </c>
      <c r="T15" s="32">
        <f>Workings_costs!P23</f>
        <v>0</v>
      </c>
      <c r="U15" s="32">
        <f>Workings_costs!Q23</f>
        <v>0</v>
      </c>
      <c r="V15" s="32">
        <f>Workings_costs!R23</f>
        <v>0</v>
      </c>
      <c r="W15" s="32">
        <f>Workings_costs!S23</f>
        <v>0</v>
      </c>
      <c r="X15" s="32">
        <f>Workings_costs!T23</f>
        <v>0</v>
      </c>
      <c r="Y15" s="32">
        <f>Workings_costs!U23</f>
        <v>0</v>
      </c>
      <c r="Z15" s="32">
        <f>Workings_costs!V23</f>
        <v>0</v>
      </c>
      <c r="AA15" s="32">
        <f>Workings_costs!W23</f>
        <v>0</v>
      </c>
      <c r="AB15" s="32">
        <f>Workings_costs!X23</f>
        <v>0</v>
      </c>
      <c r="AC15" s="32">
        <f>Workings_costs!Y23</f>
        <v>0</v>
      </c>
      <c r="AD15" s="32">
        <f>Workings_costs!Z23</f>
        <v>0</v>
      </c>
      <c r="AE15" s="32">
        <f>Workings_costs!AA23</f>
        <v>0</v>
      </c>
      <c r="AF15" s="32">
        <f>Workings_costs!AB23</f>
        <v>0</v>
      </c>
      <c r="AG15" s="32">
        <f>Workings_costs!AC23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4828114.0787234046</v>
      </c>
      <c r="K17" s="106">
        <f t="shared" si="0"/>
        <v>2414057.0393617023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34344.183402891664</v>
      </c>
      <c r="F28" s="237" t="str">
        <f>IF(AND(SUM(I27:AG27)&lt;&gt;0, E28=0), "!", "")</f>
        <v/>
      </c>
      <c r="G28" s="206">
        <f>input_dollars</f>
        <v>45291</v>
      </c>
      <c r="H28"/>
      <c r="I28" s="167">
        <f>Workings_risks!E52</f>
        <v>205417.28652276783</v>
      </c>
      <c r="J28" s="167">
        <f>Workings_risks!F52</f>
        <v>210478.08119034173</v>
      </c>
      <c r="K28" s="167">
        <f>Workings_risks!G52</f>
        <v>220586.01122335359</v>
      </c>
      <c r="L28" s="167">
        <f>Workings_risks!H52</f>
        <v>13710.949805228898</v>
      </c>
      <c r="M28" s="167">
        <f>Workings_risks!I52</f>
        <v>13941.748403402384</v>
      </c>
      <c r="N28" s="167">
        <f>Workings_risks!J52</f>
        <v>14288.531665067314</v>
      </c>
      <c r="O28" s="167">
        <f>Workings_risks!K52</f>
        <v>14916.695181958919</v>
      </c>
      <c r="P28" s="167">
        <f>Workings_risks!L52</f>
        <v>15567.694619896483</v>
      </c>
      <c r="Q28" s="167">
        <f>Workings_risks!M52</f>
        <v>15913.391840020657</v>
      </c>
      <c r="R28" s="167">
        <f>Workings_risks!N52</f>
        <v>16123.770622787839</v>
      </c>
      <c r="S28" s="167">
        <f>Workings_risks!O52</f>
        <v>16354.739830812974</v>
      </c>
      <c r="T28" s="167">
        <f>Workings_risks!P52</f>
        <v>16608.383443415678</v>
      </c>
      <c r="U28" s="167">
        <f>Workings_risks!Q52</f>
        <v>16887.002493576096</v>
      </c>
      <c r="V28" s="167">
        <f>Workings_risks!R52</f>
        <v>17193.138587255191</v>
      </c>
      <c r="W28" s="167">
        <f>Workings_risks!S52</f>
        <v>17529.600196038238</v>
      </c>
      <c r="X28" s="167">
        <f>Workings_risks!T52</f>
        <v>17899.49211912719</v>
      </c>
      <c r="Y28" s="167">
        <f>Workings_risks!U52</f>
        <v>18306.248588470542</v>
      </c>
      <c r="Z28" s="167">
        <f>Workings_risks!V52</f>
        <v>18753.670589400317</v>
      </c>
      <c r="AA28" s="167">
        <f>Workings_risks!W52</f>
        <v>19245.968095189106</v>
      </c>
      <c r="AB28" s="167">
        <f>Workings_risks!X52</f>
        <v>19787.808076364698</v>
      </c>
      <c r="AC28" s="167">
        <f>Workings_risks!Y52</f>
        <v>20389.326001816778</v>
      </c>
      <c r="AD28" s="167">
        <f>Workings_risks!Z52</f>
        <v>21056.169872946783</v>
      </c>
      <c r="AE28" s="167">
        <f>Workings_risks!AA52</f>
        <v>21789.723542399941</v>
      </c>
      <c r="AF28" s="167">
        <f>Workings_risks!AB52</f>
        <v>22600.937308988989</v>
      </c>
      <c r="AG28" s="167">
        <f>Workings_risks!AC52</f>
        <v>23499.436337456078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Workings_risks!D53</f>
        <v>Safety risk</v>
      </c>
      <c r="D30" s="204" t="s">
        <v>208</v>
      </c>
      <c r="G30" s="206">
        <f>input_dollars</f>
        <v>45291</v>
      </c>
      <c r="H30" s="148"/>
      <c r="I30" s="32">
        <f>Workings_risks!E53</f>
        <v>1803.6078964259273</v>
      </c>
      <c r="J30" s="32">
        <f>Workings_risks!F53</f>
        <v>1981.225234662772</v>
      </c>
      <c r="K30" s="32">
        <f>Workings_risks!G53</f>
        <v>2196.3814172929101</v>
      </c>
      <c r="L30" s="32">
        <f>Workings_risks!H53</f>
        <v>1067.0979713879969</v>
      </c>
      <c r="M30" s="32">
        <f>Workings_risks!I53</f>
        <v>1134.0440108628911</v>
      </c>
      <c r="N30" s="32">
        <f>Workings_risks!J53</f>
        <v>1209.6627998246117</v>
      </c>
      <c r="O30" s="32">
        <f>Workings_risks!K53</f>
        <v>1296.8093488707395</v>
      </c>
      <c r="P30" s="32">
        <f>Workings_risks!L53</f>
        <v>1399.5671072936843</v>
      </c>
      <c r="Q30" s="32">
        <f>Workings_risks!M53</f>
        <v>1518.6664708597161</v>
      </c>
      <c r="R30" s="32">
        <f>Workings_risks!N53</f>
        <v>1657.8934180893084</v>
      </c>
      <c r="S30" s="32">
        <f>Workings_risks!O53</f>
        <v>1822.1638329238765</v>
      </c>
      <c r="T30" s="32">
        <f>Workings_risks!P53</f>
        <v>2017.9015114545</v>
      </c>
      <c r="U30" s="32">
        <f>Workings_risks!Q53</f>
        <v>2253.5483410343909</v>
      </c>
      <c r="V30" s="32">
        <f>Workings_risks!R53</f>
        <v>2540.2537018919143</v>
      </c>
      <c r="W30" s="32">
        <f>Workings_risks!S53</f>
        <v>2892.8070341732468</v>
      </c>
      <c r="X30" s="32">
        <f>Workings_risks!T53</f>
        <v>3330.9005018608655</v>
      </c>
      <c r="Y30" s="32">
        <f>Workings_risks!U53</f>
        <v>3880.8399765737663</v>
      </c>
      <c r="Z30" s="32">
        <f>Workings_risks!V53</f>
        <v>4577.8651677265298</v>
      </c>
      <c r="AA30" s="32">
        <f>Workings_risks!W53</f>
        <v>5469.29774305916</v>
      </c>
      <c r="AB30" s="32">
        <f>Workings_risks!X53</f>
        <v>6618.8153087659912</v>
      </c>
      <c r="AC30" s="32">
        <f>Workings_risks!Y53</f>
        <v>8181.6599424452488</v>
      </c>
      <c r="AD30" s="32">
        <f>Workings_risks!Z53</f>
        <v>10272.240509782927</v>
      </c>
      <c r="AE30" s="32">
        <f>Workings_risks!AA53</f>
        <v>11263.79980517498</v>
      </c>
      <c r="AF30" s="32">
        <f>Workings_risks!AB53</f>
        <v>12484.244743233714</v>
      </c>
      <c r="AG30" s="32">
        <f>Workings_risks!AC53</f>
        <v>13586.975108595609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Workings_risks!D54</f>
        <v>Unplanned replacement</v>
      </c>
      <c r="D31" s="205"/>
      <c r="E31"/>
      <c r="G31" s="206">
        <f>input_dollars</f>
        <v>45291</v>
      </c>
      <c r="H31" s="148"/>
      <c r="I31" s="32">
        <f>Workings_risks!E54</f>
        <v>59437.891966064541</v>
      </c>
      <c r="J31" s="32">
        <f>Workings_risks!F54</f>
        <v>61885.191171872226</v>
      </c>
      <c r="K31" s="32">
        <f>Workings_risks!G54</f>
        <v>64626.393438480838</v>
      </c>
      <c r="L31" s="32">
        <f>Workings_risks!H54</f>
        <v>17833.638659012679</v>
      </c>
      <c r="M31" s="32">
        <f>Workings_risks!I54</f>
        <v>19243.62937706061</v>
      </c>
      <c r="N31" s="32">
        <f>Workings_risks!J54</f>
        <v>20793.521455757698</v>
      </c>
      <c r="O31" s="32">
        <f>Workings_risks!K54</f>
        <v>22499.854305865985</v>
      </c>
      <c r="P31" s="32">
        <f>Workings_risks!L54</f>
        <v>24381.983501013969</v>
      </c>
      <c r="Q31" s="32">
        <f>Workings_risks!M54</f>
        <v>26457.886113032746</v>
      </c>
      <c r="R31" s="32">
        <f>Workings_risks!N54</f>
        <v>28750.66466783523</v>
      </c>
      <c r="S31" s="32">
        <f>Workings_risks!O54</f>
        <v>31287.043085796049</v>
      </c>
      <c r="T31" s="32">
        <f>Workings_risks!P54</f>
        <v>34098.179775508783</v>
      </c>
      <c r="U31" s="32">
        <f>Workings_risks!Q54</f>
        <v>37220.719790506148</v>
      </c>
      <c r="V31" s="32">
        <f>Workings_risks!R54</f>
        <v>40698.165823073228</v>
      </c>
      <c r="W31" s="32">
        <f>Workings_risks!S54</f>
        <v>44582.675708700859</v>
      </c>
      <c r="X31" s="32">
        <f>Workings_risks!T54</f>
        <v>48937.431936858076</v>
      </c>
      <c r="Y31" s="32">
        <f>Workings_risks!U54</f>
        <v>53839.77996160186</v>
      </c>
      <c r="Z31" s="32">
        <f>Workings_risks!V54</f>
        <v>59385.401708586978</v>
      </c>
      <c r="AA31" s="32">
        <f>Workings_risks!W54</f>
        <v>65693.885148969115</v>
      </c>
      <c r="AB31" s="32">
        <f>Workings_risks!X54</f>
        <v>72916.179082821211</v>
      </c>
      <c r="AC31" s="32">
        <f>Workings_risks!Y54</f>
        <v>81313.238486742513</v>
      </c>
      <c r="AD31" s="32">
        <f>Workings_risks!Z54</f>
        <v>91130.728314918073</v>
      </c>
      <c r="AE31" s="32">
        <f>Workings_risks!AA54</f>
        <v>99396.53923873794</v>
      </c>
      <c r="AF31" s="32">
        <f>Workings_risks!AB54</f>
        <v>108579.58660616653</v>
      </c>
      <c r="AG31" s="32">
        <f>Workings_risks!AC54</f>
        <v>118459.06210290038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Workings_risks!D55</f>
        <v>Unplanned fault</v>
      </c>
      <c r="D32" s="204" t="s">
        <v>208</v>
      </c>
      <c r="E32"/>
      <c r="G32" s="206">
        <f>input_dollars</f>
        <v>45291</v>
      </c>
      <c r="H32"/>
      <c r="I32" s="32">
        <f>Workings_risks!E55</f>
        <v>431.8</v>
      </c>
      <c r="J32" s="32">
        <f>Workings_risks!F55</f>
        <v>431.8</v>
      </c>
      <c r="K32" s="32">
        <f>Workings_risks!G55</f>
        <v>431.8</v>
      </c>
      <c r="L32" s="32">
        <f>Workings_risks!H55</f>
        <v>50.79999999999999</v>
      </c>
      <c r="M32" s="32">
        <f>Workings_risks!I55</f>
        <v>50.79999999999999</v>
      </c>
      <c r="N32" s="32">
        <f>Workings_risks!J55</f>
        <v>50.79999999999999</v>
      </c>
      <c r="O32" s="32">
        <f>Workings_risks!K55</f>
        <v>50.79999999999999</v>
      </c>
      <c r="P32" s="32">
        <f>Workings_risks!L55</f>
        <v>50.79999999999999</v>
      </c>
      <c r="Q32" s="32">
        <f>Workings_risks!M55</f>
        <v>50.79999999999999</v>
      </c>
      <c r="R32" s="32">
        <f>Workings_risks!N55</f>
        <v>50.79999999999999</v>
      </c>
      <c r="S32" s="32">
        <f>Workings_risks!O55</f>
        <v>50.79999999999999</v>
      </c>
      <c r="T32" s="32">
        <f>Workings_risks!P55</f>
        <v>50.79999999999999</v>
      </c>
      <c r="U32" s="32">
        <f>Workings_risks!Q55</f>
        <v>50.79999999999999</v>
      </c>
      <c r="V32" s="32">
        <f>Workings_risks!R55</f>
        <v>50.79999999999999</v>
      </c>
      <c r="W32" s="32">
        <f>Workings_risks!S55</f>
        <v>50.79999999999999</v>
      </c>
      <c r="X32" s="32">
        <f>Workings_risks!T55</f>
        <v>50.79999999999999</v>
      </c>
      <c r="Y32" s="32">
        <f>Workings_risks!U55</f>
        <v>50.79999999999999</v>
      </c>
      <c r="Z32" s="32">
        <f>Workings_risks!V55</f>
        <v>50.79999999999999</v>
      </c>
      <c r="AA32" s="32">
        <f>Workings_risks!W55</f>
        <v>50.79999999999999</v>
      </c>
      <c r="AB32" s="32">
        <f>Workings_risks!X55</f>
        <v>50.79999999999999</v>
      </c>
      <c r="AC32" s="32">
        <f>Workings_risks!Y55</f>
        <v>50.79999999999999</v>
      </c>
      <c r="AD32" s="32">
        <f>Workings_risks!Z55</f>
        <v>50.79999999999999</v>
      </c>
      <c r="AE32" s="32">
        <f>Workings_risks!AA55</f>
        <v>50.79999999999999</v>
      </c>
      <c r="AF32" s="32">
        <f>Workings_risks!AB55</f>
        <v>50.79999999999999</v>
      </c>
      <c r="AG32" s="32">
        <f>Workings_risks!AC55</f>
        <v>50.79999999999999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Workings_risks!D56</f>
        <v>Environmental risk</v>
      </c>
      <c r="D33" s="218"/>
      <c r="E33"/>
      <c r="G33" s="206">
        <f>input_dollars</f>
        <v>45291</v>
      </c>
      <c r="H33"/>
      <c r="I33" s="32">
        <f>Workings_risks!E56</f>
        <v>142.04786429366874</v>
      </c>
      <c r="J33" s="32">
        <f>Workings_risks!F56</f>
        <v>162.05688977686194</v>
      </c>
      <c r="K33" s="32">
        <f>Workings_risks!G56</f>
        <v>186.60488911690064</v>
      </c>
      <c r="L33" s="32">
        <f>Workings_risks!H56</f>
        <v>122.83774064103434</v>
      </c>
      <c r="M33" s="32">
        <f>Workings_risks!I56</f>
        <v>130.24343850278612</v>
      </c>
      <c r="N33" s="32">
        <f>Workings_risks!J56</f>
        <v>138.6759740958957</v>
      </c>
      <c r="O33" s="32">
        <f>Workings_risks!K56</f>
        <v>148.51821002388198</v>
      </c>
      <c r="P33" s="32">
        <f>Workings_risks!L56</f>
        <v>160.32414922321337</v>
      </c>
      <c r="Q33" s="32">
        <f>Workings_risks!M56</f>
        <v>174.17296686042167</v>
      </c>
      <c r="R33" s="32">
        <f>Workings_risks!N56</f>
        <v>190.57206625740201</v>
      </c>
      <c r="S33" s="32">
        <f>Workings_risks!O56</f>
        <v>210.18539585190723</v>
      </c>
      <c r="T33" s="32">
        <f>Workings_risks!P56</f>
        <v>233.88643875946369</v>
      </c>
      <c r="U33" s="32">
        <f>Workings_risks!Q56</f>
        <v>262.8297988659786</v>
      </c>
      <c r="V33" s="32">
        <f>Workings_risks!R56</f>
        <v>298.5480107575662</v>
      </c>
      <c r="W33" s="32">
        <f>Workings_risks!S56</f>
        <v>343.08258105590016</v>
      </c>
      <c r="X33" s="32">
        <f>Workings_risks!T56</f>
        <v>399.1615079862641</v>
      </c>
      <c r="Y33" s="32">
        <f>Workings_risks!U56</f>
        <v>470.43993532654861</v>
      </c>
      <c r="Z33" s="32">
        <f>Workings_risks!V56</f>
        <v>561.82660028966109</v>
      </c>
      <c r="AA33" s="32">
        <f>Workings_risks!W56</f>
        <v>679.92691047143285</v>
      </c>
      <c r="AB33" s="32">
        <f>Workings_risks!X56</f>
        <v>833.64462102911079</v>
      </c>
      <c r="AC33" s="32">
        <f>Workings_risks!Y56</f>
        <v>1044.7723055063409</v>
      </c>
      <c r="AD33" s="32">
        <f>Workings_risks!Z56</f>
        <v>1329.3477767818699</v>
      </c>
      <c r="AE33" s="32">
        <f>Workings_risks!AA56</f>
        <v>1458.0439763198535</v>
      </c>
      <c r="AF33" s="32">
        <f>Workings_risks!AB56</f>
        <v>1617.8796211570836</v>
      </c>
      <c r="AG33" s="32">
        <f>Workings_risks!AC56</f>
        <v>1759.8816525302157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7"/>
      <c r="F36" s="3"/>
      <c r="G36" s="208"/>
      <c r="H36" s="107"/>
      <c r="I36" s="169">
        <f>SUM(I28:I34)</f>
        <v>267232.63424955198</v>
      </c>
      <c r="J36" s="169">
        <f t="shared" ref="J36:AG36" si="2">SUM(J28:J34)</f>
        <v>274938.35448665352</v>
      </c>
      <c r="K36" s="169">
        <f t="shared" si="2"/>
        <v>288027.19096824422</v>
      </c>
      <c r="L36" s="169">
        <f t="shared" si="2"/>
        <v>32785.324176270609</v>
      </c>
      <c r="M36" s="169">
        <f t="shared" si="2"/>
        <v>34500.465229828675</v>
      </c>
      <c r="N36" s="169">
        <f t="shared" si="2"/>
        <v>36481.19189474552</v>
      </c>
      <c r="O36" s="169">
        <f t="shared" si="2"/>
        <v>38912.677046719531</v>
      </c>
      <c r="P36" s="169">
        <f t="shared" si="2"/>
        <v>41560.369377427349</v>
      </c>
      <c r="Q36" s="169">
        <f t="shared" si="2"/>
        <v>44114.917390773546</v>
      </c>
      <c r="R36" s="169">
        <f t="shared" si="2"/>
        <v>46773.70077496978</v>
      </c>
      <c r="S36" s="169">
        <f t="shared" si="2"/>
        <v>49724.93214538481</v>
      </c>
      <c r="T36" s="169">
        <f t="shared" si="2"/>
        <v>53009.151169138429</v>
      </c>
      <c r="U36" s="169">
        <f t="shared" si="2"/>
        <v>56674.900423982617</v>
      </c>
      <c r="V36" s="169">
        <f t="shared" si="2"/>
        <v>60780.906122977896</v>
      </c>
      <c r="W36" s="169">
        <f t="shared" si="2"/>
        <v>65398.965519968246</v>
      </c>
      <c r="X36" s="169">
        <f t="shared" si="2"/>
        <v>70617.786065832406</v>
      </c>
      <c r="Y36" s="169">
        <f t="shared" si="2"/>
        <v>76548.108461972719</v>
      </c>
      <c r="Z36" s="169">
        <f t="shared" si="2"/>
        <v>83329.564066003484</v>
      </c>
      <c r="AA36" s="169">
        <f t="shared" si="2"/>
        <v>91139.877897688813</v>
      </c>
      <c r="AB36" s="169">
        <f t="shared" si="2"/>
        <v>100207.24708898102</v>
      </c>
      <c r="AC36" s="169">
        <f t="shared" si="2"/>
        <v>110979.79673651089</v>
      </c>
      <c r="AD36" s="169">
        <f t="shared" si="2"/>
        <v>123839.28647442965</v>
      </c>
      <c r="AE36" s="169">
        <f t="shared" si="2"/>
        <v>133958.90656263271</v>
      </c>
      <c r="AF36" s="169">
        <f t="shared" si="2"/>
        <v>145333.44827954628</v>
      </c>
      <c r="AG36" s="169">
        <f t="shared" si="2"/>
        <v>157356.1552014823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0</v>
      </c>
      <c r="G45" s="206" t="s">
        <v>40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  <c r="S45" s="321">
        <v>0</v>
      </c>
      <c r="T45" s="321">
        <v>0</v>
      </c>
      <c r="U45" s="321">
        <v>0</v>
      </c>
      <c r="V45" s="321">
        <v>0</v>
      </c>
      <c r="W45" s="321">
        <v>0</v>
      </c>
      <c r="X45" s="321">
        <v>0</v>
      </c>
      <c r="Y45" s="321">
        <v>0</v>
      </c>
      <c r="Z45" s="321">
        <v>0</v>
      </c>
      <c r="AA45" s="321">
        <v>0</v>
      </c>
      <c r="AB45" s="321">
        <v>0</v>
      </c>
      <c r="AC45" s="321">
        <v>0</v>
      </c>
      <c r="AD45" s="321">
        <v>0</v>
      </c>
      <c r="AE45" s="321">
        <v>0</v>
      </c>
      <c r="AF45" s="321">
        <v>0</v>
      </c>
      <c r="AG45" s="321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0</v>
      </c>
      <c r="G46" s="206" t="s">
        <v>40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  <c r="S46" s="321">
        <v>0</v>
      </c>
      <c r="T46" s="321">
        <v>0</v>
      </c>
      <c r="U46" s="321">
        <v>0</v>
      </c>
      <c r="V46" s="321">
        <v>0</v>
      </c>
      <c r="W46" s="321">
        <v>0</v>
      </c>
      <c r="X46" s="321">
        <v>0</v>
      </c>
      <c r="Y46" s="321">
        <v>0</v>
      </c>
      <c r="Z46" s="321">
        <v>0</v>
      </c>
      <c r="AA46" s="321">
        <v>0</v>
      </c>
      <c r="AB46" s="321">
        <v>0</v>
      </c>
      <c r="AC46" s="321">
        <v>0</v>
      </c>
      <c r="AD46" s="321">
        <v>0</v>
      </c>
      <c r="AE46" s="321">
        <v>0</v>
      </c>
      <c r="AF46" s="321">
        <v>0</v>
      </c>
      <c r="AG46" s="321">
        <v>0</v>
      </c>
    </row>
    <row r="47" spans="1:16372" x14ac:dyDescent="0.2">
      <c r="C47" s="1" t="s">
        <v>5</v>
      </c>
      <c r="D47" s="204" t="s">
        <v>63</v>
      </c>
      <c r="E47" s="113">
        <f>Assumptions!G96</f>
        <v>4220.9953699573898</v>
      </c>
      <c r="G47" s="206" t="s">
        <v>40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205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  <c r="R48" s="321">
        <v>0</v>
      </c>
      <c r="S48" s="321">
        <v>0</v>
      </c>
      <c r="T48" s="321">
        <v>0</v>
      </c>
      <c r="U48" s="321">
        <v>0</v>
      </c>
      <c r="V48" s="321">
        <v>0</v>
      </c>
      <c r="W48" s="321">
        <v>0</v>
      </c>
      <c r="X48" s="321">
        <v>0</v>
      </c>
      <c r="Y48" s="321">
        <v>0</v>
      </c>
      <c r="Z48" s="321">
        <v>0</v>
      </c>
      <c r="AA48" s="321">
        <v>0</v>
      </c>
      <c r="AB48" s="321">
        <v>0</v>
      </c>
      <c r="AC48" s="321">
        <v>0</v>
      </c>
      <c r="AD48" s="321">
        <v>0</v>
      </c>
      <c r="AE48" s="321">
        <v>0</v>
      </c>
      <c r="AF48" s="321">
        <v>0</v>
      </c>
      <c r="AG48" s="321">
        <v>0</v>
      </c>
    </row>
    <row r="49" spans="1:43" x14ac:dyDescent="0.2">
      <c r="C49" s="1" t="s">
        <v>9</v>
      </c>
      <c r="D49" s="204" t="s">
        <v>206</v>
      </c>
      <c r="E49" s="112">
        <f>Assumptions!G98</f>
        <v>0.54769380678923496</v>
      </c>
      <c r="G49" s="206" t="s">
        <v>207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21">
        <v>0</v>
      </c>
      <c r="T49" s="321">
        <v>0</v>
      </c>
      <c r="U49" s="321">
        <v>0</v>
      </c>
      <c r="V49" s="321">
        <v>0</v>
      </c>
      <c r="W49" s="321">
        <v>0</v>
      </c>
      <c r="X49" s="321">
        <v>0</v>
      </c>
      <c r="Y49" s="321">
        <v>0</v>
      </c>
      <c r="Z49" s="321">
        <v>0</v>
      </c>
      <c r="AA49" s="321">
        <v>0</v>
      </c>
      <c r="AB49" s="321">
        <v>0</v>
      </c>
      <c r="AC49" s="321">
        <v>0</v>
      </c>
      <c r="AD49" s="321">
        <v>0</v>
      </c>
      <c r="AE49" s="321">
        <v>0</v>
      </c>
      <c r="AF49" s="321">
        <v>0</v>
      </c>
      <c r="AG49" s="321">
        <v>0</v>
      </c>
    </row>
    <row r="50" spans="1:43" x14ac:dyDescent="0.2">
      <c r="C50" s="1" t="s">
        <v>10</v>
      </c>
      <c r="D50" s="204" t="s">
        <v>206</v>
      </c>
      <c r="E50" s="112">
        <f>Assumptions!G99</f>
        <v>0.54769380678923496</v>
      </c>
      <c r="G50" s="206" t="s">
        <v>207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  <c r="R50" s="321">
        <v>0</v>
      </c>
      <c r="S50" s="321">
        <v>0</v>
      </c>
      <c r="T50" s="321">
        <v>0</v>
      </c>
      <c r="U50" s="321">
        <v>0</v>
      </c>
      <c r="V50" s="321">
        <v>0</v>
      </c>
      <c r="W50" s="321">
        <v>0</v>
      </c>
      <c r="X50" s="321">
        <v>0</v>
      </c>
      <c r="Y50" s="321">
        <v>0</v>
      </c>
      <c r="Z50" s="321">
        <v>0</v>
      </c>
      <c r="AA50" s="321">
        <v>0</v>
      </c>
      <c r="AB50" s="321">
        <v>0</v>
      </c>
      <c r="AC50" s="321">
        <v>0</v>
      </c>
      <c r="AD50" s="321">
        <v>0</v>
      </c>
      <c r="AE50" s="321">
        <v>0</v>
      </c>
      <c r="AF50" s="321">
        <v>0</v>
      </c>
      <c r="AG50" s="321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313</v>
      </c>
      <c r="D54" s="204"/>
      <c r="G54" s="206">
        <f>input_dollars</f>
        <v>45291</v>
      </c>
      <c r="I54" s="32">
        <f>Workings_costs!E31</f>
        <v>0</v>
      </c>
      <c r="J54" s="364">
        <f>Workings_costs!F31</f>
        <v>0</v>
      </c>
      <c r="K54" s="364">
        <f>Workings_costs!G31</f>
        <v>0</v>
      </c>
      <c r="L54" s="364">
        <f>Workings_costs!H31</f>
        <v>50000</v>
      </c>
      <c r="M54" s="364">
        <f>Workings_costs!I31</f>
        <v>50000</v>
      </c>
      <c r="N54" s="364">
        <f>Workings_costs!J31</f>
        <v>50000</v>
      </c>
      <c r="O54" s="364">
        <f>Workings_costs!K31</f>
        <v>50000</v>
      </c>
      <c r="P54" s="364">
        <f>Workings_costs!L31</f>
        <v>50000</v>
      </c>
      <c r="Q54" s="364">
        <f>Workings_costs!M31</f>
        <v>50000</v>
      </c>
      <c r="R54" s="364">
        <f>Workings_costs!N31</f>
        <v>50000</v>
      </c>
      <c r="S54" s="364">
        <f>Workings_costs!O31</f>
        <v>50000</v>
      </c>
      <c r="T54" s="364">
        <f>Workings_costs!P31</f>
        <v>50000</v>
      </c>
      <c r="U54" s="364">
        <f>Workings_costs!Q31</f>
        <v>50000</v>
      </c>
      <c r="V54" s="364">
        <f>Workings_costs!R31</f>
        <v>50000</v>
      </c>
      <c r="W54" s="364">
        <f>Workings_costs!S31</f>
        <v>50000</v>
      </c>
      <c r="X54" s="364">
        <f>Workings_costs!T31</f>
        <v>50000</v>
      </c>
      <c r="Y54" s="364">
        <f>Workings_costs!U31</f>
        <v>50000</v>
      </c>
      <c r="Z54" s="364">
        <f>Workings_costs!V31</f>
        <v>50000</v>
      </c>
      <c r="AA54" s="364">
        <f>Workings_costs!W31</f>
        <v>50000</v>
      </c>
      <c r="AB54" s="364">
        <f>Workings_costs!X31</f>
        <v>50000</v>
      </c>
      <c r="AC54" s="364">
        <f>Workings_costs!Y31</f>
        <v>50000</v>
      </c>
      <c r="AD54" s="364">
        <f>Workings_costs!Z31</f>
        <v>50000</v>
      </c>
      <c r="AE54" s="364">
        <f>Workings_costs!AA31</f>
        <v>50000</v>
      </c>
      <c r="AF54" s="364">
        <f>Workings_costs!AB31</f>
        <v>50000</v>
      </c>
      <c r="AG54" s="364">
        <f>Workings_costs!AC31</f>
        <v>50000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50000</v>
      </c>
      <c r="M57" s="169" cm="1">
        <f t="array" ref="M57">SUMPRODUCT((M$45:M$52)*($E$45:$E$52))+SUM(M54:M55)+M42</f>
        <v>50000</v>
      </c>
      <c r="N57" s="169" cm="1">
        <f t="array" ref="N57">SUMPRODUCT((N$45:N$52)*($E$45:$E$52))+SUM(N54:N55)+N42</f>
        <v>50000</v>
      </c>
      <c r="O57" s="169" cm="1">
        <f t="array" ref="O57">SUMPRODUCT((O$45:O$52)*($E$45:$E$52))+SUM(O54:O55)+O42</f>
        <v>50000</v>
      </c>
      <c r="P57" s="169" cm="1">
        <f t="array" ref="P57">SUMPRODUCT((P$45:P$52)*($E$45:$E$52))+SUM(P54:P55)+P42</f>
        <v>50000</v>
      </c>
      <c r="Q57" s="169" cm="1">
        <f t="array" ref="Q57">SUMPRODUCT((Q$45:Q$52)*($E$45:$E$52))+SUM(Q54:Q55)+Q42</f>
        <v>50000</v>
      </c>
      <c r="R57" s="169" cm="1">
        <f t="array" ref="R57">SUMPRODUCT((R$45:R$52)*($E$45:$E$52))+SUM(R54:R55)+R42</f>
        <v>50000</v>
      </c>
      <c r="S57" s="169" cm="1">
        <f t="array" ref="S57">SUMPRODUCT((S$45:S$52)*($E$45:$E$52))+SUM(S54:S55)+S42</f>
        <v>50000</v>
      </c>
      <c r="T57" s="169" cm="1">
        <f t="array" ref="T57">SUMPRODUCT((T$45:T$52)*($E$45:$E$52))+SUM(T54:T55)+T42</f>
        <v>50000</v>
      </c>
      <c r="U57" s="169" cm="1">
        <f t="array" ref="U57">SUMPRODUCT((U$45:U$52)*($E$45:$E$52))+SUM(U54:U55)+U42</f>
        <v>50000</v>
      </c>
      <c r="V57" s="169" cm="1">
        <f t="array" ref="V57">SUMPRODUCT((V$45:V$52)*($E$45:$E$52))+SUM(V54:V55)+V42</f>
        <v>50000</v>
      </c>
      <c r="W57" s="169" cm="1">
        <f t="array" ref="W57">SUMPRODUCT((W$45:W$52)*($E$45:$E$52))+SUM(W54:W55)+W42</f>
        <v>50000</v>
      </c>
      <c r="X57" s="169" cm="1">
        <f t="array" ref="X57">SUMPRODUCT((X$45:X$52)*($E$45:$E$52))+SUM(X54:X55)+X42</f>
        <v>50000</v>
      </c>
      <c r="Y57" s="169" cm="1">
        <f t="array" ref="Y57">SUMPRODUCT((Y$45:Y$52)*($E$45:$E$52))+SUM(Y54:Y55)+Y42</f>
        <v>50000</v>
      </c>
      <c r="Z57" s="169" cm="1">
        <f t="array" ref="Z57">SUMPRODUCT((Z$45:Z$52)*($E$45:$E$52))+SUM(Z54:Z55)+Z42</f>
        <v>50000</v>
      </c>
      <c r="AA57" s="169" cm="1">
        <f t="array" ref="AA57">SUMPRODUCT((AA$45:AA$52)*($E$45:$E$52))+SUM(AA54:AA55)+AA42</f>
        <v>50000</v>
      </c>
      <c r="AB57" s="169" cm="1">
        <f t="array" ref="AB57">SUMPRODUCT((AB$45:AB$52)*($E$45:$E$52))+SUM(AB54:AB55)+AB42</f>
        <v>50000</v>
      </c>
      <c r="AC57" s="169" cm="1">
        <f t="array" ref="AC57">SUMPRODUCT((AC$45:AC$52)*($E$45:$E$52))+SUM(AC54:AC55)+AC42</f>
        <v>50000</v>
      </c>
      <c r="AD57" s="169" cm="1">
        <f t="array" ref="AD57">SUMPRODUCT((AD$45:AD$52)*($E$45:$E$52))+SUM(AD54:AD55)+AD42</f>
        <v>50000</v>
      </c>
      <c r="AE57" s="169" cm="1">
        <f t="array" ref="AE57">SUMPRODUCT((AE$45:AE$52)*($E$45:$E$52))+SUM(AE54:AE55)+AE42</f>
        <v>50000</v>
      </c>
      <c r="AF57" s="169" cm="1">
        <f t="array" ref="AF57">SUMPRODUCT((AF$45:AF$52)*($E$45:$E$52))+SUM(AF54:AF55)+AF42</f>
        <v>50000</v>
      </c>
      <c r="AG57" s="169" cm="1">
        <f t="array" ref="AG57">SUMPRODUCT((AG$45:AG$52)*($E$45:$E$52))+SUM(AG54:AG55)+AG42</f>
        <v>50000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267374.93960987154</v>
      </c>
      <c r="M64" s="132">
        <f>(1-INDEX(Data!$C$9:$C$13, MATCH($A$3, options,0)))*('Option1 (base case)'!M36-M36)</f>
        <v>273882.85408746399</v>
      </c>
      <c r="N64" s="132">
        <f>(1-INDEX(Data!$C$9:$C$13, MATCH($A$3, options,0)))*('Option1 (base case)'!N36-N36)</f>
        <v>283063.66989934939</v>
      </c>
      <c r="O64" s="132">
        <f>(1-INDEX(Data!$C$9:$C$13, MATCH($A$3, options,0)))*('Option1 (base case)'!O36-O36)</f>
        <v>297853.89330469584</v>
      </c>
      <c r="P64" s="132">
        <f>(1-INDEX(Data!$C$9:$C$13, MATCH($A$3, options,0)))*('Option1 (base case)'!P36-P36)</f>
        <v>314435.73907438171</v>
      </c>
      <c r="Q64" s="132">
        <f>(1-INDEX(Data!$C$9:$C$13, MATCH($A$3, options,0)))*('Option1 (base case)'!Q36-Q36)</f>
        <v>327958.5968049271</v>
      </c>
      <c r="R64" s="132">
        <f>(1-INDEX(Data!$C$9:$C$13, MATCH($A$3, options,0)))*('Option1 (base case)'!R36-R36)</f>
        <v>341787.77540613891</v>
      </c>
      <c r="S64" s="132">
        <f>(1-INDEX(Data!$C$9:$C$13, MATCH($A$3, options,0)))*('Option1 (base case)'!S36-S36)</f>
        <v>359299.76882326696</v>
      </c>
      <c r="T64" s="132">
        <f>(1-INDEX(Data!$C$9:$C$13, MATCH($A$3, options,0)))*('Option1 (base case)'!T36-T36)</f>
        <v>381662.98123105423</v>
      </c>
      <c r="U64" s="132">
        <f>(1-INDEX(Data!$C$9:$C$13, MATCH($A$3, options,0)))*('Option1 (base case)'!U36-U36)</f>
        <v>410441.21309748059</v>
      </c>
      <c r="V64" s="132">
        <f>(1-INDEX(Data!$C$9:$C$13, MATCH($A$3, options,0)))*('Option1 (base case)'!V36-V36)</f>
        <v>447736.25832084526</v>
      </c>
      <c r="W64" s="132">
        <f>(1-INDEX(Data!$C$9:$C$13, MATCH($A$3, options,0)))*('Option1 (base case)'!W36-W36)</f>
        <v>496371.8950476264</v>
      </c>
      <c r="X64" s="132">
        <f>(1-INDEX(Data!$C$9:$C$13, MATCH($A$3, options,0)))*('Option1 (base case)'!X36-X36)</f>
        <v>560146.33776046301</v>
      </c>
      <c r="Y64" s="132">
        <f>(1-INDEX(Data!$C$9:$C$13, MATCH($A$3, options,0)))*('Option1 (base case)'!Y36-Y36)</f>
        <v>644173.66197342123</v>
      </c>
      <c r="Z64" s="132">
        <f>(1-INDEX(Data!$C$9:$C$13, MATCH($A$3, options,0)))*('Option1 (base case)'!Z36-Z36)</f>
        <v>755345.69228084432</v>
      </c>
      <c r="AA64" s="132">
        <f>(1-INDEX(Data!$C$9:$C$13, MATCH($A$3, options,0)))*('Option1 (base case)'!AA36-AA36)</f>
        <v>781036.09258234175</v>
      </c>
      <c r="AB64" s="132">
        <f>(1-INDEX(Data!$C$9:$C$13, MATCH($A$3, options,0)))*('Option1 (base case)'!AB36-AB36)</f>
        <v>808951.25290056842</v>
      </c>
      <c r="AC64" s="132">
        <f>(1-INDEX(Data!$C$9:$C$13, MATCH($A$3, options,0)))*('Option1 (base case)'!AC36-AC36)</f>
        <v>819931.30046707799</v>
      </c>
      <c r="AD64" s="132">
        <f>(1-INDEX(Data!$C$9:$C$13, MATCH($A$3, options,0)))*('Option1 (base case)'!AD36-AD36)</f>
        <v>827903.70043098286</v>
      </c>
      <c r="AE64" s="132">
        <f>(1-INDEX(Data!$C$9:$C$13, MATCH($A$3, options,0)))*('Option1 (base case)'!AE36-AE36)</f>
        <v>840975.47486447566</v>
      </c>
      <c r="AF64" s="132">
        <f>(1-INDEX(Data!$C$9:$C$13, MATCH($A$3, options,0)))*('Option1 (base case)'!AF36-AF36)</f>
        <v>855495.0174793331</v>
      </c>
      <c r="AG64" s="132">
        <f>(1-INDEX(Data!$C$9:$C$13, MATCH($A$3, options,0)))*('Option1 (base case)'!AG36-AG36)</f>
        <v>872483.99848947977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Switchboard</v>
      </c>
      <c r="D67" s="38"/>
      <c r="F67" s="97"/>
      <c r="G67" s="209">
        <f>input_dollars</f>
        <v>45291</v>
      </c>
      <c r="H67" s="31"/>
      <c r="I67" s="119">
        <f t="shared" ref="I67:AG67" si="4">-I14</f>
        <v>0</v>
      </c>
      <c r="J67" s="119">
        <f t="shared" si="4"/>
        <v>-2896868.4472340425</v>
      </c>
      <c r="K67" s="119">
        <f t="shared" si="4"/>
        <v>-1448434.2236170212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 t="str">
        <f>C15</f>
        <v>Relays</v>
      </c>
      <c r="D68" s="38"/>
      <c r="F68" s="97"/>
      <c r="G68" s="209">
        <f>input_dollars</f>
        <v>45291</v>
      </c>
      <c r="H68" s="31"/>
      <c r="I68" s="119">
        <f t="shared" ref="I68:AG68" si="5">-I15</f>
        <v>0</v>
      </c>
      <c r="J68" s="119">
        <f t="shared" si="5"/>
        <v>-1931245.6314893619</v>
      </c>
      <c r="K68" s="119">
        <f t="shared" si="5"/>
        <v>-965622.81574468093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156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Switchboard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-2896868.4472340425</v>
      </c>
      <c r="K72" s="119" cm="1">
        <f t="array" ref="K72">SUMPRODUCT(($I67:K67))-SUMPRODUCT(($I67:K67)*($I$6:K$6&lt;=(K$6-$E14)))</f>
        <v>-4345302.6708510639</v>
      </c>
      <c r="L72" s="119" cm="1">
        <f t="array" ref="L72">SUMPRODUCT(($I67:L67))-SUMPRODUCT(($I67:L67)*($I$6:L$6&lt;=(L$6-$E14)))</f>
        <v>-4345302.6708510639</v>
      </c>
      <c r="M72" s="119" cm="1">
        <f t="array" ref="M72">SUMPRODUCT(($I67:M67))-SUMPRODUCT(($I67:M67)*($I$6:M$6&lt;=(M$6-$E14)))</f>
        <v>-4345302.6708510639</v>
      </c>
      <c r="N72" s="119" cm="1">
        <f t="array" ref="N72">SUMPRODUCT(($I67:N67))-SUMPRODUCT(($I67:N67)*($I$6:N$6&lt;=(N$6-$E14)))</f>
        <v>-4345302.6708510639</v>
      </c>
      <c r="O72" s="119" cm="1">
        <f t="array" ref="O72">SUMPRODUCT(($I67:O67))-SUMPRODUCT(($I67:O67)*($I$6:O$6&lt;=(O$6-$E14)))</f>
        <v>-4345302.6708510639</v>
      </c>
      <c r="P72" s="119" cm="1">
        <f t="array" ref="P72">SUMPRODUCT(($I67:P67))-SUMPRODUCT(($I67:P67)*($I$6:P$6&lt;=(P$6-$E14)))</f>
        <v>-4345302.6708510639</v>
      </c>
      <c r="Q72" s="119" cm="1">
        <f t="array" ref="Q72">SUMPRODUCT(($I67:Q67))-SUMPRODUCT(($I67:Q67)*($I$6:Q$6&lt;=(Q$6-$E14)))</f>
        <v>-4345302.6708510639</v>
      </c>
      <c r="R72" s="119" cm="1">
        <f t="array" ref="R72">SUMPRODUCT(($I67:R67))-SUMPRODUCT(($I67:R67)*($I$6:R$6&lt;=(R$6-$E14)))</f>
        <v>-4345302.6708510639</v>
      </c>
      <c r="S72" s="119" cm="1">
        <f t="array" ref="S72">SUMPRODUCT(($I67:S67))-SUMPRODUCT(($I67:S67)*($I$6:S$6&lt;=(S$6-$E14)))</f>
        <v>-4345302.6708510639</v>
      </c>
      <c r="T72" s="119" cm="1">
        <f t="array" ref="T72">SUMPRODUCT(($I67:T67))-SUMPRODUCT(($I67:T67)*($I$6:T$6&lt;=(T$6-$E14)))</f>
        <v>-4345302.6708510639</v>
      </c>
      <c r="U72" s="119" cm="1">
        <f t="array" ref="U72">SUMPRODUCT(($I67:U67))-SUMPRODUCT(($I67:U67)*($I$6:U$6&lt;=(U$6-$E14)))</f>
        <v>-4345302.6708510639</v>
      </c>
      <c r="V72" s="119" cm="1">
        <f t="array" ref="V72">SUMPRODUCT(($I67:V67))-SUMPRODUCT(($I67:V67)*($I$6:V$6&lt;=(V$6-$E14)))</f>
        <v>-4345302.6708510639</v>
      </c>
      <c r="W72" s="119" cm="1">
        <f t="array" ref="W72">SUMPRODUCT(($I67:W67))-SUMPRODUCT(($I67:W67)*($I$6:W$6&lt;=(W$6-$E14)))</f>
        <v>-4345302.6708510639</v>
      </c>
      <c r="X72" s="119" cm="1">
        <f t="array" ref="X72">SUMPRODUCT(($I67:X67))-SUMPRODUCT(($I67:X67)*($I$6:X$6&lt;=(X$6-$E14)))</f>
        <v>-4345302.6708510639</v>
      </c>
      <c r="Y72" s="119" cm="1">
        <f t="array" ref="Y72">SUMPRODUCT(($I67:Y67))-SUMPRODUCT(($I67:Y67)*($I$6:Y$6&lt;=(Y$6-$E14)))</f>
        <v>-4345302.6708510639</v>
      </c>
      <c r="Z72" s="119" cm="1">
        <f t="array" ref="Z72">SUMPRODUCT(($I67:Z67))-SUMPRODUCT(($I67:Z67)*($I$6:Z$6&lt;=(Z$6-$E14)))</f>
        <v>-4345302.6708510639</v>
      </c>
      <c r="AA72" s="119" cm="1">
        <f t="array" ref="AA72">SUMPRODUCT(($I67:AA67))-SUMPRODUCT(($I67:AA67)*($I$6:AA$6&lt;=(AA$6-$E14)))</f>
        <v>-4345302.6708510639</v>
      </c>
      <c r="AB72" s="119" cm="1">
        <f t="array" ref="AB72">SUMPRODUCT(($I67:AB67))-SUMPRODUCT(($I67:AB67)*($I$6:AB$6&lt;=(AB$6-$E14)))</f>
        <v>-4345302.6708510639</v>
      </c>
      <c r="AC72" s="119" cm="1">
        <f t="array" ref="AC72">SUMPRODUCT(($I67:AC67))-SUMPRODUCT(($I67:AC67)*($I$6:AC$6&lt;=(AC$6-$E14)))</f>
        <v>-4345302.6708510639</v>
      </c>
      <c r="AD72" s="119" cm="1">
        <f t="array" ref="AD72">SUMPRODUCT(($I67:AD67))-SUMPRODUCT(($I67:AD67)*($I$6:AD$6&lt;=(AD$6-$E14)))</f>
        <v>-4345302.6708510639</v>
      </c>
      <c r="AE72" s="119" cm="1">
        <f t="array" ref="AE72">SUMPRODUCT(($I67:AE67))-SUMPRODUCT(($I67:AE67)*($I$6:AE$6&lt;=(AE$6-$E14)))</f>
        <v>-4345302.6708510639</v>
      </c>
      <c r="AF72" s="119" cm="1">
        <f t="array" ref="AF72">SUMPRODUCT(($I67:AF67))-SUMPRODUCT(($I67:AF67)*($I$6:AF$6&lt;=(AF$6-$E14)))</f>
        <v>-4345302.6708510639</v>
      </c>
      <c r="AG72" s="119" cm="1">
        <f t="array" ref="AG72">SUMPRODUCT(($I67:AG67))-SUMPRODUCT(($I67:AG67)*($I$6:AG$6&lt;=(AG$6-$E14)))</f>
        <v>-4345302.6708510639</v>
      </c>
    </row>
    <row r="73" spans="1:33" x14ac:dyDescent="0.2">
      <c r="A73" s="8"/>
      <c r="B73" s="8"/>
      <c r="C73" s="4" t="str">
        <f>C15</f>
        <v>Relays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-1931245.6314893619</v>
      </c>
      <c r="K73" s="119" cm="1">
        <f t="array" ref="K73">SUMPRODUCT(($I68:K68))-SUMPRODUCT(($I68:K68)*($I$6:K$6&lt;=(K$6-$E15)))</f>
        <v>-2896868.4472340429</v>
      </c>
      <c r="L73" s="119" cm="1">
        <f t="array" ref="L73">SUMPRODUCT(($I68:L68))-SUMPRODUCT(($I68:L68)*($I$6:L$6&lt;=(L$6-$E15)))</f>
        <v>-2896868.4472340429</v>
      </c>
      <c r="M73" s="119" cm="1">
        <f t="array" ref="M73">SUMPRODUCT(($I68:M68))-SUMPRODUCT(($I68:M68)*($I$6:M$6&lt;=(M$6-$E15)))</f>
        <v>-2896868.4472340429</v>
      </c>
      <c r="N73" s="119" cm="1">
        <f t="array" ref="N73">SUMPRODUCT(($I68:N68))-SUMPRODUCT(($I68:N68)*($I$6:N$6&lt;=(N$6-$E15)))</f>
        <v>-2896868.4472340429</v>
      </c>
      <c r="O73" s="119" cm="1">
        <f t="array" ref="O73">SUMPRODUCT(($I68:O68))-SUMPRODUCT(($I68:O68)*($I$6:O$6&lt;=(O$6-$E15)))</f>
        <v>-2896868.4472340429</v>
      </c>
      <c r="P73" s="119" cm="1">
        <f t="array" ref="P73">SUMPRODUCT(($I68:P68))-SUMPRODUCT(($I68:P68)*($I$6:P$6&lt;=(P$6-$E15)))</f>
        <v>-2896868.4472340429</v>
      </c>
      <c r="Q73" s="119" cm="1">
        <f t="array" ref="Q73">SUMPRODUCT(($I68:Q68))-SUMPRODUCT(($I68:Q68)*($I$6:Q$6&lt;=(Q$6-$E15)))</f>
        <v>-2896868.4472340429</v>
      </c>
      <c r="R73" s="119" cm="1">
        <f t="array" ref="R73">SUMPRODUCT(($I68:R68))-SUMPRODUCT(($I68:R68)*($I$6:R$6&lt;=(R$6-$E15)))</f>
        <v>-2896868.4472340429</v>
      </c>
      <c r="S73" s="119" cm="1">
        <f t="array" ref="S73">SUMPRODUCT(($I68:S68))-SUMPRODUCT(($I68:S68)*($I$6:S$6&lt;=(S$6-$E15)))</f>
        <v>-2896868.4472340429</v>
      </c>
      <c r="T73" s="119" cm="1">
        <f t="array" ref="T73">SUMPRODUCT(($I68:T68))-SUMPRODUCT(($I68:T68)*($I$6:T$6&lt;=(T$6-$E15)))</f>
        <v>-2896868.4472340429</v>
      </c>
      <c r="U73" s="119" cm="1">
        <f t="array" ref="U73">SUMPRODUCT(($I68:U68))-SUMPRODUCT(($I68:U68)*($I$6:U$6&lt;=(U$6-$E15)))</f>
        <v>-2896868.4472340429</v>
      </c>
      <c r="V73" s="119" cm="1">
        <f t="array" ref="V73">SUMPRODUCT(($I68:V68))-SUMPRODUCT(($I68:V68)*($I$6:V$6&lt;=(V$6-$E15)))</f>
        <v>-2896868.4472340429</v>
      </c>
      <c r="W73" s="119" cm="1">
        <f t="array" ref="W73">SUMPRODUCT(($I68:W68))-SUMPRODUCT(($I68:W68)*($I$6:W$6&lt;=(W$6-$E15)))</f>
        <v>-2896868.4472340429</v>
      </c>
      <c r="X73" s="119" cm="1">
        <f t="array" ref="X73">SUMPRODUCT(($I68:X68))-SUMPRODUCT(($I68:X68)*($I$6:X$6&lt;=(X$6-$E15)))</f>
        <v>-2896868.4472340429</v>
      </c>
      <c r="Y73" s="119" cm="1">
        <f t="array" ref="Y73">SUMPRODUCT(($I68:Y68))-SUMPRODUCT(($I68:Y68)*($I$6:Y$6&lt;=(Y$6-$E15)))</f>
        <v>-2896868.4472340429</v>
      </c>
      <c r="Z73" s="119" cm="1">
        <f t="array" ref="Z73">SUMPRODUCT(($I68:Z68))-SUMPRODUCT(($I68:Z68)*($I$6:Z$6&lt;=(Z$6-$E15)))</f>
        <v>-2896868.4472340429</v>
      </c>
      <c r="AA73" s="119" cm="1">
        <f t="array" ref="AA73">SUMPRODUCT(($I68:AA68))-SUMPRODUCT(($I68:AA68)*($I$6:AA$6&lt;=(AA$6-$E15)))</f>
        <v>-2896868.4472340429</v>
      </c>
      <c r="AB73" s="119" cm="1">
        <f t="array" ref="AB73">SUMPRODUCT(($I68:AB68))-SUMPRODUCT(($I68:AB68)*($I$6:AB$6&lt;=(AB$6-$E15)))</f>
        <v>-2896868.4472340429</v>
      </c>
      <c r="AC73" s="119" cm="1">
        <f t="array" ref="AC73">SUMPRODUCT(($I68:AC68))-SUMPRODUCT(($I68:AC68)*($I$6:AC$6&lt;=(AC$6-$E15)))</f>
        <v>-2896868.4472340429</v>
      </c>
      <c r="AD73" s="119" cm="1">
        <f t="array" ref="AD73">SUMPRODUCT(($I68:AD68))-SUMPRODUCT(($I68:AD68)*($I$6:AD$6&lt;=(AD$6-$E15)))</f>
        <v>-2896868.4472340429</v>
      </c>
      <c r="AE73" s="119" cm="1">
        <f t="array" ref="AE73">SUMPRODUCT(($I68:AE68))-SUMPRODUCT(($I68:AE68)*($I$6:AE$6&lt;=(AE$6-$E15)))</f>
        <v>-2896868.4472340429</v>
      </c>
      <c r="AF73" s="119" cm="1">
        <f t="array" ref="AF73">SUMPRODUCT(($I68:AF68))-SUMPRODUCT(($I68:AF68)*($I$6:AF$6&lt;=(AF$6-$E15)))</f>
        <v>-2896868.4472340429</v>
      </c>
      <c r="AG73" s="119" cm="1">
        <f t="array" ref="AG73">SUMPRODUCT(($I68:AG68))-SUMPRODUCT(($I68:AG68)*($I$6:AG$6&lt;=(AG$6-$E15)))</f>
        <v>-2896868.4472340429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Switchboard</v>
      </c>
      <c r="D77" s="38"/>
      <c r="F77" s="97"/>
      <c r="G77" s="209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-123504.24803187298</v>
      </c>
      <c r="L77" s="119">
        <f t="shared" si="7"/>
        <v>-185256.37204780951</v>
      </c>
      <c r="M77" s="119">
        <f t="shared" si="7"/>
        <v>-185256.37204780951</v>
      </c>
      <c r="N77" s="119">
        <f t="shared" si="7"/>
        <v>-185256.37204780951</v>
      </c>
      <c r="O77" s="119">
        <f t="shared" si="7"/>
        <v>-185256.37204780951</v>
      </c>
      <c r="P77" s="119">
        <f t="shared" si="7"/>
        <v>-185256.37204780951</v>
      </c>
      <c r="Q77" s="119">
        <f t="shared" si="7"/>
        <v>-185256.37204780951</v>
      </c>
      <c r="R77" s="119">
        <f t="shared" si="7"/>
        <v>-185256.37204780951</v>
      </c>
      <c r="S77" s="119">
        <f t="shared" si="7"/>
        <v>-185256.37204780951</v>
      </c>
      <c r="T77" s="119">
        <f t="shared" si="7"/>
        <v>-185256.37204780951</v>
      </c>
      <c r="U77" s="119">
        <f t="shared" si="7"/>
        <v>-185256.37204780951</v>
      </c>
      <c r="V77" s="119">
        <f t="shared" si="7"/>
        <v>-185256.37204780951</v>
      </c>
      <c r="W77" s="119">
        <f t="shared" si="7"/>
        <v>-185256.37204780951</v>
      </c>
      <c r="X77" s="119">
        <f t="shared" si="7"/>
        <v>-185256.37204780951</v>
      </c>
      <c r="Y77" s="119">
        <f t="shared" si="7"/>
        <v>-185256.37204780951</v>
      </c>
      <c r="Z77" s="119">
        <f t="shared" si="7"/>
        <v>-185256.37204780951</v>
      </c>
      <c r="AA77" s="119">
        <f t="shared" si="7"/>
        <v>-185256.37204780951</v>
      </c>
      <c r="AB77" s="119">
        <f t="shared" si="7"/>
        <v>-185256.37204780951</v>
      </c>
      <c r="AC77" s="119">
        <f t="shared" si="7"/>
        <v>-185256.37204780951</v>
      </c>
      <c r="AD77" s="119">
        <f t="shared" si="7"/>
        <v>-185256.37204780951</v>
      </c>
      <c r="AE77" s="119">
        <f t="shared" si="7"/>
        <v>-185256.37204780951</v>
      </c>
      <c r="AF77" s="119">
        <f t="shared" si="7"/>
        <v>-185256.37204780951</v>
      </c>
      <c r="AG77" s="119">
        <f t="shared" si="7"/>
        <v>-185256.37204780951</v>
      </c>
    </row>
    <row r="78" spans="1:33" x14ac:dyDescent="0.2">
      <c r="A78" s="8"/>
      <c r="B78" s="8"/>
      <c r="C78" s="4" t="str">
        <f>$C$76&amp;" - "&amp;C15</f>
        <v>Annualised capex - Relays</v>
      </c>
      <c r="D78" s="38"/>
      <c r="F78" s="97"/>
      <c r="G78" s="209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-117176.46583240927</v>
      </c>
      <c r="L78" s="119">
        <f t="shared" si="8"/>
        <v>-175764.69874861391</v>
      </c>
      <c r="M78" s="119">
        <f t="shared" si="8"/>
        <v>-175764.69874861391</v>
      </c>
      <c r="N78" s="119">
        <f t="shared" si="8"/>
        <v>-175764.69874861391</v>
      </c>
      <c r="O78" s="119">
        <f t="shared" si="8"/>
        <v>-175764.69874861391</v>
      </c>
      <c r="P78" s="119">
        <f t="shared" si="8"/>
        <v>-175764.69874861391</v>
      </c>
      <c r="Q78" s="119">
        <f t="shared" si="8"/>
        <v>-175764.69874861391</v>
      </c>
      <c r="R78" s="119">
        <f t="shared" si="8"/>
        <v>-175764.69874861391</v>
      </c>
      <c r="S78" s="119">
        <f t="shared" si="8"/>
        <v>-175764.69874861391</v>
      </c>
      <c r="T78" s="119">
        <f t="shared" si="8"/>
        <v>-175764.69874861391</v>
      </c>
      <c r="U78" s="119">
        <f t="shared" si="8"/>
        <v>-175764.69874861391</v>
      </c>
      <c r="V78" s="119">
        <f t="shared" si="8"/>
        <v>-175764.69874861391</v>
      </c>
      <c r="W78" s="119">
        <f t="shared" si="8"/>
        <v>-175764.69874861391</v>
      </c>
      <c r="X78" s="119">
        <f t="shared" si="8"/>
        <v>-175764.69874861391</v>
      </c>
      <c r="Y78" s="119">
        <f t="shared" si="8"/>
        <v>-175764.69874861391</v>
      </c>
      <c r="Z78" s="119">
        <f t="shared" si="8"/>
        <v>-175764.69874861391</v>
      </c>
      <c r="AA78" s="119">
        <f t="shared" si="8"/>
        <v>-175764.69874861391</v>
      </c>
      <c r="AB78" s="119">
        <f t="shared" si="8"/>
        <v>-175764.69874861391</v>
      </c>
      <c r="AC78" s="119">
        <f t="shared" si="8"/>
        <v>-175764.69874861391</v>
      </c>
      <c r="AD78" s="119">
        <f t="shared" si="8"/>
        <v>-175764.69874861391</v>
      </c>
      <c r="AE78" s="119">
        <f t="shared" si="8"/>
        <v>-175764.69874861391</v>
      </c>
      <c r="AF78" s="119">
        <f t="shared" si="8"/>
        <v>-175764.69874861391</v>
      </c>
      <c r="AG78" s="119">
        <f t="shared" si="8"/>
        <v>-175764.69874861391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0</v>
      </c>
      <c r="K80" s="175">
        <f t="shared" si="10"/>
        <v>-240680.71386428224</v>
      </c>
      <c r="L80" s="175">
        <f t="shared" si="10"/>
        <v>-361021.07079642342</v>
      </c>
      <c r="M80" s="175">
        <f t="shared" si="10"/>
        <v>-361021.07079642342</v>
      </c>
      <c r="N80" s="175">
        <f t="shared" si="10"/>
        <v>-361021.07079642342</v>
      </c>
      <c r="O80" s="175">
        <f t="shared" si="10"/>
        <v>-361021.07079642342</v>
      </c>
      <c r="P80" s="175">
        <f t="shared" si="10"/>
        <v>-361021.07079642342</v>
      </c>
      <c r="Q80" s="175">
        <f t="shared" si="10"/>
        <v>-361021.07079642342</v>
      </c>
      <c r="R80" s="175">
        <f t="shared" si="10"/>
        <v>-361021.07079642342</v>
      </c>
      <c r="S80" s="175">
        <f t="shared" si="10"/>
        <v>-361021.07079642342</v>
      </c>
      <c r="T80" s="175">
        <f t="shared" si="10"/>
        <v>-361021.07079642342</v>
      </c>
      <c r="U80" s="175">
        <f t="shared" si="10"/>
        <v>-361021.07079642342</v>
      </c>
      <c r="V80" s="175">
        <f t="shared" si="10"/>
        <v>-361021.07079642342</v>
      </c>
      <c r="W80" s="175">
        <f t="shared" si="10"/>
        <v>-361021.07079642342</v>
      </c>
      <c r="X80" s="175">
        <f t="shared" si="10"/>
        <v>-361021.07079642342</v>
      </c>
      <c r="Y80" s="175">
        <f t="shared" si="10"/>
        <v>-361021.07079642342</v>
      </c>
      <c r="Z80" s="175">
        <f t="shared" si="10"/>
        <v>-361021.07079642342</v>
      </c>
      <c r="AA80" s="175">
        <f t="shared" si="10"/>
        <v>-361021.07079642342</v>
      </c>
      <c r="AB80" s="175">
        <f t="shared" si="10"/>
        <v>-361021.07079642342</v>
      </c>
      <c r="AC80" s="175">
        <f>SUM(AC77:AC79)</f>
        <v>-361021.07079642342</v>
      </c>
      <c r="AD80" s="175">
        <f>SUM(AD77:AD79)</f>
        <v>-361021.07079642342</v>
      </c>
      <c r="AE80" s="175">
        <f>SUM(AE77:AE79)</f>
        <v>-361021.07079642342</v>
      </c>
      <c r="AF80" s="175">
        <f>SUM(AF77:AF79)</f>
        <v>-361021.07079642342</v>
      </c>
      <c r="AG80" s="175">
        <f>SUM(AG77:AG79)</f>
        <v>-361021.07079642342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-240680.71386428224</v>
      </c>
      <c r="L82" s="119">
        <f t="shared" si="12"/>
        <v>-361021.07079642342</v>
      </c>
      <c r="M82" s="119">
        <f t="shared" si="12"/>
        <v>-361021.07079642342</v>
      </c>
      <c r="N82" s="119">
        <f t="shared" si="12"/>
        <v>-361021.07079642342</v>
      </c>
      <c r="O82" s="119">
        <f t="shared" si="12"/>
        <v>-361021.07079642342</v>
      </c>
      <c r="P82" s="119">
        <f t="shared" si="12"/>
        <v>-361021.07079642342</v>
      </c>
      <c r="Q82" s="119">
        <f t="shared" si="12"/>
        <v>-361021.07079642342</v>
      </c>
      <c r="R82" s="119">
        <f t="shared" si="12"/>
        <v>-361021.07079642342</v>
      </c>
      <c r="S82" s="119">
        <f t="shared" si="12"/>
        <v>-361021.07079642342</v>
      </c>
      <c r="T82" s="119">
        <f t="shared" si="12"/>
        <v>-361021.07079642342</v>
      </c>
      <c r="U82" s="119">
        <f t="shared" si="12"/>
        <v>-361021.07079642342</v>
      </c>
      <c r="V82" s="119">
        <f t="shared" si="12"/>
        <v>-361021.07079642342</v>
      </c>
      <c r="W82" s="119">
        <f t="shared" si="12"/>
        <v>-361021.07079642342</v>
      </c>
      <c r="X82" s="119">
        <f t="shared" si="12"/>
        <v>-361021.07079642342</v>
      </c>
      <c r="Y82" s="119">
        <f t="shared" si="12"/>
        <v>-361021.07079642342</v>
      </c>
      <c r="Z82" s="119">
        <f t="shared" si="12"/>
        <v>-361021.07079642342</v>
      </c>
      <c r="AA82" s="119">
        <f t="shared" si="12"/>
        <v>-361021.07079642342</v>
      </c>
      <c r="AB82" s="119">
        <f t="shared" si="12"/>
        <v>-361021.07079642342</v>
      </c>
      <c r="AC82" s="119">
        <f>AC80</f>
        <v>-361021.07079642342</v>
      </c>
      <c r="AD82" s="119">
        <f>AD80</f>
        <v>-361021.07079642342</v>
      </c>
      <c r="AE82" s="119">
        <f>AE80</f>
        <v>-361021.07079642342</v>
      </c>
      <c r="AF82" s="119">
        <f>AF80</f>
        <v>-361021.07079642342</v>
      </c>
      <c r="AG82" s="119">
        <f>AG80</f>
        <v>-361021.07079642342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140</v>
      </c>
      <c r="D84" s="38"/>
      <c r="F84" s="97"/>
      <c r="G84" s="209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267374.93960987154</v>
      </c>
      <c r="M84" s="31">
        <f t="shared" si="14"/>
        <v>273882.85408746399</v>
      </c>
      <c r="N84" s="31">
        <f t="shared" si="14"/>
        <v>283063.66989934939</v>
      </c>
      <c r="O84" s="31">
        <f t="shared" si="14"/>
        <v>297853.89330469584</v>
      </c>
      <c r="P84" s="31">
        <f t="shared" si="14"/>
        <v>314435.73907438171</v>
      </c>
      <c r="Q84" s="31">
        <f t="shared" si="14"/>
        <v>327958.5968049271</v>
      </c>
      <c r="R84" s="31">
        <f t="shared" si="14"/>
        <v>341787.77540613891</v>
      </c>
      <c r="S84" s="31">
        <f t="shared" si="14"/>
        <v>359299.76882326696</v>
      </c>
      <c r="T84" s="31">
        <f t="shared" si="14"/>
        <v>381662.98123105423</v>
      </c>
      <c r="U84" s="31">
        <f t="shared" si="14"/>
        <v>410441.21309748059</v>
      </c>
      <c r="V84" s="31">
        <f t="shared" si="14"/>
        <v>447736.25832084526</v>
      </c>
      <c r="W84" s="31">
        <f t="shared" si="14"/>
        <v>496371.8950476264</v>
      </c>
      <c r="X84" s="31">
        <f t="shared" si="14"/>
        <v>560146.33776046301</v>
      </c>
      <c r="Y84" s="31">
        <f t="shared" si="14"/>
        <v>644173.66197342123</v>
      </c>
      <c r="Z84" s="31">
        <f t="shared" si="14"/>
        <v>755345.69228084432</v>
      </c>
      <c r="AA84" s="31">
        <f t="shared" si="14"/>
        <v>781036.09258234175</v>
      </c>
      <c r="AB84" s="31">
        <f t="shared" si="14"/>
        <v>808951.25290056842</v>
      </c>
      <c r="AC84" s="31">
        <f>AC64</f>
        <v>819931.30046707799</v>
      </c>
      <c r="AD84" s="31">
        <f>AD64</f>
        <v>827903.70043098286</v>
      </c>
      <c r="AE84" s="31">
        <f>AE64</f>
        <v>840975.47486447566</v>
      </c>
      <c r="AF84" s="31">
        <f>AF64</f>
        <v>855495.0174793331</v>
      </c>
      <c r="AG84" s="31">
        <f>AG64</f>
        <v>872483.99848947977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50000</v>
      </c>
      <c r="M85" s="31">
        <f t="shared" si="15"/>
        <v>50000</v>
      </c>
      <c r="N85" s="31">
        <f t="shared" si="15"/>
        <v>50000</v>
      </c>
      <c r="O85" s="31">
        <f t="shared" si="15"/>
        <v>50000</v>
      </c>
      <c r="P85" s="31">
        <f t="shared" si="15"/>
        <v>50000</v>
      </c>
      <c r="Q85" s="31">
        <f t="shared" si="15"/>
        <v>50000</v>
      </c>
      <c r="R85" s="31">
        <f t="shared" si="15"/>
        <v>50000</v>
      </c>
      <c r="S85" s="31">
        <f t="shared" si="15"/>
        <v>50000</v>
      </c>
      <c r="T85" s="31">
        <f t="shared" si="15"/>
        <v>50000</v>
      </c>
      <c r="U85" s="31">
        <f t="shared" si="15"/>
        <v>50000</v>
      </c>
      <c r="V85" s="31">
        <f t="shared" si="15"/>
        <v>50000</v>
      </c>
      <c r="W85" s="31">
        <f t="shared" si="15"/>
        <v>50000</v>
      </c>
      <c r="X85" s="31">
        <f t="shared" si="15"/>
        <v>50000</v>
      </c>
      <c r="Y85" s="31">
        <f t="shared" si="15"/>
        <v>50000</v>
      </c>
      <c r="Z85" s="31">
        <f t="shared" si="15"/>
        <v>50000</v>
      </c>
      <c r="AA85" s="31">
        <f t="shared" si="15"/>
        <v>50000</v>
      </c>
      <c r="AB85" s="31">
        <f t="shared" si="15"/>
        <v>50000</v>
      </c>
      <c r="AC85" s="31">
        <f t="shared" si="15"/>
        <v>50000</v>
      </c>
      <c r="AD85" s="31">
        <f t="shared" si="15"/>
        <v>50000</v>
      </c>
      <c r="AE85" s="31">
        <f t="shared" si="15"/>
        <v>50000</v>
      </c>
      <c r="AF85" s="31">
        <f t="shared" si="15"/>
        <v>50000</v>
      </c>
      <c r="AG85" s="31">
        <f t="shared" si="15"/>
        <v>50000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0</v>
      </c>
      <c r="K87" s="178">
        <f t="shared" si="16"/>
        <v>-240680.71386428224</v>
      </c>
      <c r="L87" s="178">
        <f t="shared" si="16"/>
        <v>-43646.13118655188</v>
      </c>
      <c r="M87" s="178">
        <f t="shared" si="16"/>
        <v>-37138.21670895943</v>
      </c>
      <c r="N87" s="178">
        <f t="shared" si="16"/>
        <v>-27957.400897074025</v>
      </c>
      <c r="O87" s="178">
        <f t="shared" si="16"/>
        <v>-13167.177491727576</v>
      </c>
      <c r="P87" s="178">
        <f t="shared" si="16"/>
        <v>3414.6682779582916</v>
      </c>
      <c r="Q87" s="178">
        <f t="shared" si="16"/>
        <v>16937.526008503686</v>
      </c>
      <c r="R87" s="178">
        <f t="shared" si="16"/>
        <v>30766.704609715496</v>
      </c>
      <c r="S87" s="178">
        <f t="shared" si="16"/>
        <v>48278.698026843544</v>
      </c>
      <c r="T87" s="178">
        <f t="shared" si="16"/>
        <v>70641.910434630816</v>
      </c>
      <c r="U87" s="178">
        <f t="shared" si="16"/>
        <v>99420.142301057174</v>
      </c>
      <c r="V87" s="178">
        <f t="shared" si="16"/>
        <v>136715.18752442184</v>
      </c>
      <c r="W87" s="178">
        <f t="shared" si="16"/>
        <v>185350.82425120298</v>
      </c>
      <c r="X87" s="178">
        <f t="shared" si="16"/>
        <v>249125.26696403959</v>
      </c>
      <c r="Y87" s="178">
        <f t="shared" si="16"/>
        <v>333152.59117699781</v>
      </c>
      <c r="Z87" s="178">
        <f t="shared" si="16"/>
        <v>444324.6214844209</v>
      </c>
      <c r="AA87" s="178">
        <f t="shared" si="16"/>
        <v>470015.02178591833</v>
      </c>
      <c r="AB87" s="178">
        <f t="shared" si="16"/>
        <v>497930.182104145</v>
      </c>
      <c r="AC87" s="178">
        <f>SUM(AC82:AC86)</f>
        <v>508910.22967065457</v>
      </c>
      <c r="AD87" s="178">
        <f>SUM(AD82:AD86)</f>
        <v>516882.62963455945</v>
      </c>
      <c r="AE87" s="178">
        <f>SUM(AE82:AE86)</f>
        <v>529954.4040680523</v>
      </c>
      <c r="AF87" s="178">
        <f>SUM(AF82:AF86)</f>
        <v>544473.94668290974</v>
      </c>
      <c r="AG87" s="178">
        <f>SUM(AG82:AG86)</f>
        <v>561462.92769305641</v>
      </c>
    </row>
    <row r="88" spans="1:33" x14ac:dyDescent="0.2">
      <c r="A88" s="8"/>
      <c r="B88" s="8"/>
      <c r="C88" s="75"/>
      <c r="D88" s="138"/>
      <c r="F88" s="141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2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-240680.71386428224</v>
      </c>
      <c r="L106" s="31">
        <f t="shared" si="17"/>
        <v>-43646.13118655188</v>
      </c>
      <c r="M106" s="31">
        <f t="shared" si="17"/>
        <v>-37138.21670895943</v>
      </c>
      <c r="N106" s="31">
        <f t="shared" si="17"/>
        <v>-27957.400897074025</v>
      </c>
      <c r="O106" s="31">
        <f t="shared" si="17"/>
        <v>-13167.177491727576</v>
      </c>
      <c r="P106" s="31">
        <f t="shared" si="17"/>
        <v>3414.6682779582916</v>
      </c>
      <c r="Q106" s="31">
        <f t="shared" si="17"/>
        <v>16937.526008503686</v>
      </c>
      <c r="R106" s="31">
        <f t="shared" si="17"/>
        <v>30766.704609715496</v>
      </c>
      <c r="S106" s="31">
        <f t="shared" si="17"/>
        <v>48278.698026843544</v>
      </c>
      <c r="T106" s="31">
        <f t="shared" si="17"/>
        <v>70641.910434630816</v>
      </c>
      <c r="U106" s="31">
        <f t="shared" si="17"/>
        <v>99420.142301057174</v>
      </c>
      <c r="V106" s="31">
        <f t="shared" si="17"/>
        <v>136715.18752442184</v>
      </c>
      <c r="W106" s="31">
        <f t="shared" si="17"/>
        <v>185350.82425120298</v>
      </c>
      <c r="X106" s="31">
        <f t="shared" si="17"/>
        <v>249125.26696403959</v>
      </c>
      <c r="Y106" s="31">
        <f t="shared" si="17"/>
        <v>333152.59117699781</v>
      </c>
      <c r="Z106" s="31">
        <f t="shared" si="17"/>
        <v>444324.6214844209</v>
      </c>
      <c r="AA106" s="31">
        <f t="shared" si="17"/>
        <v>470015.02178591833</v>
      </c>
      <c r="AB106" s="31">
        <f t="shared" si="17"/>
        <v>497930.182104145</v>
      </c>
      <c r="AC106" s="31">
        <f t="shared" si="17"/>
        <v>508910.22967065457</v>
      </c>
      <c r="AD106" s="31">
        <f t="shared" si="17"/>
        <v>516882.62963455945</v>
      </c>
      <c r="AE106" s="31">
        <f t="shared" si="17"/>
        <v>529954.4040680523</v>
      </c>
      <c r="AF106" s="31">
        <f t="shared" si="17"/>
        <v>544473.94668290974</v>
      </c>
      <c r="AG106" s="31">
        <f t="shared" si="17"/>
        <v>561462.92769305641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-240680.71386428224</v>
      </c>
      <c r="L107" s="31">
        <f t="shared" si="18"/>
        <v>-361021.07079642342</v>
      </c>
      <c r="M107" s="31">
        <f t="shared" si="18"/>
        <v>-361021.07079642342</v>
      </c>
      <c r="N107" s="31">
        <f t="shared" si="18"/>
        <v>-361021.07079642342</v>
      </c>
      <c r="O107" s="31">
        <f t="shared" si="18"/>
        <v>-361021.07079642342</v>
      </c>
      <c r="P107" s="31">
        <f t="shared" si="18"/>
        <v>-361021.07079642342</v>
      </c>
      <c r="Q107" s="31">
        <f t="shared" si="18"/>
        <v>-361021.07079642342</v>
      </c>
      <c r="R107" s="31">
        <f t="shared" si="18"/>
        <v>-361021.07079642342</v>
      </c>
      <c r="S107" s="31">
        <f t="shared" si="18"/>
        <v>-361021.07079642342</v>
      </c>
      <c r="T107" s="31">
        <f t="shared" si="18"/>
        <v>-361021.07079642342</v>
      </c>
      <c r="U107" s="31">
        <f t="shared" si="18"/>
        <v>-361021.07079642342</v>
      </c>
      <c r="V107" s="31">
        <f t="shared" si="18"/>
        <v>-361021.07079642342</v>
      </c>
      <c r="W107" s="31">
        <f t="shared" si="18"/>
        <v>-361021.07079642342</v>
      </c>
      <c r="X107" s="31">
        <f t="shared" si="18"/>
        <v>-361021.07079642342</v>
      </c>
      <c r="Y107" s="31">
        <f t="shared" si="18"/>
        <v>-361021.07079642342</v>
      </c>
      <c r="Z107" s="31">
        <f t="shared" si="18"/>
        <v>-361021.07079642342</v>
      </c>
      <c r="AA107" s="31">
        <f t="shared" si="18"/>
        <v>-361021.07079642342</v>
      </c>
      <c r="AB107" s="31">
        <f t="shared" si="18"/>
        <v>-361021.07079642342</v>
      </c>
      <c r="AC107" s="31">
        <f t="shared" si="18"/>
        <v>-361021.07079642342</v>
      </c>
      <c r="AD107" s="31">
        <f t="shared" si="18"/>
        <v>-361021.07079642342</v>
      </c>
      <c r="AE107" s="31">
        <f t="shared" si="18"/>
        <v>-361021.07079642342</v>
      </c>
      <c r="AF107" s="31">
        <f t="shared" si="18"/>
        <v>-361021.07079642342</v>
      </c>
      <c r="AG107" s="31">
        <f t="shared" si="18"/>
        <v>-361021.07079642342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317374.93960987154</v>
      </c>
      <c r="M108" s="31">
        <f t="shared" si="19"/>
        <v>323882.85408746399</v>
      </c>
      <c r="N108" s="31">
        <f t="shared" si="19"/>
        <v>333063.66989934939</v>
      </c>
      <c r="O108" s="31">
        <f t="shared" si="19"/>
        <v>347853.89330469584</v>
      </c>
      <c r="P108" s="31">
        <f t="shared" si="19"/>
        <v>364435.73907438171</v>
      </c>
      <c r="Q108" s="31">
        <f t="shared" si="19"/>
        <v>377958.5968049271</v>
      </c>
      <c r="R108" s="31">
        <f t="shared" si="19"/>
        <v>391787.77540613891</v>
      </c>
      <c r="S108" s="31">
        <f t="shared" si="19"/>
        <v>409299.76882326696</v>
      </c>
      <c r="T108" s="31">
        <f t="shared" si="19"/>
        <v>431662.98123105423</v>
      </c>
      <c r="U108" s="31">
        <f t="shared" si="19"/>
        <v>460441.21309748059</v>
      </c>
      <c r="V108" s="31">
        <f t="shared" si="19"/>
        <v>497736.25832084526</v>
      </c>
      <c r="W108" s="31">
        <f t="shared" si="19"/>
        <v>546371.89504762646</v>
      </c>
      <c r="X108" s="31">
        <f t="shared" si="19"/>
        <v>610146.33776046301</v>
      </c>
      <c r="Y108" s="31">
        <f t="shared" si="19"/>
        <v>694173.66197342123</v>
      </c>
      <c r="Z108" s="31">
        <f t="shared" si="19"/>
        <v>805345.69228084432</v>
      </c>
      <c r="AA108" s="31">
        <f t="shared" si="19"/>
        <v>831036.09258234175</v>
      </c>
      <c r="AB108" s="31">
        <f t="shared" si="19"/>
        <v>858951.25290056842</v>
      </c>
      <c r="AC108" s="31">
        <f t="shared" si="19"/>
        <v>869931.30046707799</v>
      </c>
      <c r="AD108" s="31">
        <f t="shared" si="19"/>
        <v>877903.70043098286</v>
      </c>
      <c r="AE108" s="31">
        <f t="shared" si="19"/>
        <v>890975.47486447566</v>
      </c>
      <c r="AF108" s="31">
        <f t="shared" si="19"/>
        <v>905495.0174793331</v>
      </c>
      <c r="AG108" s="31">
        <f t="shared" si="19"/>
        <v>922483.99848947977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-264748.78525071044</v>
      </c>
      <c r="L110" s="31" cm="1">
        <f t="array" ref="L110">L$106+IF($C110&lt;&gt;0,SUMPRODUCT((L$107:L$108)*TRANSPOSE(($D110:$E110))),0)</f>
        <v>-79748.238266194225</v>
      </c>
      <c r="M110" s="31" cm="1">
        <f t="array" ref="M110">M$106+IF($C110&lt;&gt;0,SUMPRODUCT((M$107:M$108)*TRANSPOSE(($D110:$E110))),0)</f>
        <v>-73240.323788601774</v>
      </c>
      <c r="N110" s="31" cm="1">
        <f t="array" ref="N110">N$106+IF($C110&lt;&gt;0,SUMPRODUCT((N$107:N$108)*TRANSPOSE(($D110:$E110))),0)</f>
        <v>-64059.50797671637</v>
      </c>
      <c r="O110" s="31" cm="1">
        <f t="array" ref="O110">O$106+IF($C110&lt;&gt;0,SUMPRODUCT((O$107:O$108)*TRANSPOSE(($D110:$E110))),0)</f>
        <v>-49269.284571369921</v>
      </c>
      <c r="P110" s="31" cm="1">
        <f t="array" ref="P110">P$106+IF($C110&lt;&gt;0,SUMPRODUCT((P$107:P$108)*TRANSPOSE(($D110:$E110))),0)</f>
        <v>-32687.438801684053</v>
      </c>
      <c r="Q110" s="31" cm="1">
        <f t="array" ref="Q110">Q$106+IF($C110&lt;&gt;0,SUMPRODUCT((Q$107:Q$108)*TRANSPOSE(($D110:$E110))),0)</f>
        <v>-19164.581071138658</v>
      </c>
      <c r="R110" s="31" cm="1">
        <f t="array" ref="R110">R$106+IF($C110&lt;&gt;0,SUMPRODUCT((R$107:R$108)*TRANSPOSE(($D110:$E110))),0)</f>
        <v>-5335.4024699268484</v>
      </c>
      <c r="S110" s="31" cm="1">
        <f t="array" ref="S110">S$106+IF($C110&lt;&gt;0,SUMPRODUCT((S$107:S$108)*TRANSPOSE(($D110:$E110))),0)</f>
        <v>12176.590947201199</v>
      </c>
      <c r="T110" s="31" cm="1">
        <f t="array" ref="T110">T$106+IF($C110&lt;&gt;0,SUMPRODUCT((T$107:T$108)*TRANSPOSE(($D110:$E110))),0)</f>
        <v>34539.803354988471</v>
      </c>
      <c r="U110" s="31" cm="1">
        <f t="array" ref="U110">U$106+IF($C110&lt;&gt;0,SUMPRODUCT((U$107:U$108)*TRANSPOSE(($D110:$E110))),0)</f>
        <v>63318.03522141483</v>
      </c>
      <c r="V110" s="31" cm="1">
        <f t="array" ref="V110">V$106+IF($C110&lt;&gt;0,SUMPRODUCT((V$107:V$108)*TRANSPOSE(($D110:$E110))),0)</f>
        <v>100613.08044477949</v>
      </c>
      <c r="W110" s="31" cm="1">
        <f t="array" ref="W110">W$106+IF($C110&lt;&gt;0,SUMPRODUCT((W$107:W$108)*TRANSPOSE(($D110:$E110))),0)</f>
        <v>149248.71717156062</v>
      </c>
      <c r="X110" s="31" cm="1">
        <f t="array" ref="X110">X$106+IF($C110&lt;&gt;0,SUMPRODUCT((X$107:X$108)*TRANSPOSE(($D110:$E110))),0)</f>
        <v>213023.15988439723</v>
      </c>
      <c r="Y110" s="31" cm="1">
        <f t="array" ref="Y110">Y$106+IF($C110&lt;&gt;0,SUMPRODUCT((Y$107:Y$108)*TRANSPOSE(($D110:$E110))),0)</f>
        <v>297050.48409735545</v>
      </c>
      <c r="Z110" s="31" cm="1">
        <f t="array" ref="Z110">Z$106+IF($C110&lt;&gt;0,SUMPRODUCT((Z$107:Z$108)*TRANSPOSE(($D110:$E110))),0)</f>
        <v>408222.51440477854</v>
      </c>
      <c r="AA110" s="31" cm="1">
        <f t="array" ref="AA110">AA$106+IF($C110&lt;&gt;0,SUMPRODUCT((AA$107:AA$108)*TRANSPOSE(($D110:$E110))),0)</f>
        <v>433912.91470627597</v>
      </c>
      <c r="AB110" s="31" cm="1">
        <f t="array" ref="AB110">AB$106+IF($C110&lt;&gt;0,SUMPRODUCT((AB$107:AB$108)*TRANSPOSE(($D110:$E110))),0)</f>
        <v>461828.07502450264</v>
      </c>
      <c r="AC110" s="31" cm="1">
        <f t="array" ref="AC110">AC$106+IF($C110&lt;&gt;0,SUMPRODUCT((AC$107:AC$108)*TRANSPOSE(($D110:$E110))),0)</f>
        <v>472808.12259101222</v>
      </c>
      <c r="AD110" s="31" cm="1">
        <f t="array" ref="AD110">AD$106+IF($C110&lt;&gt;0,SUMPRODUCT((AD$107:AD$108)*TRANSPOSE(($D110:$E110))),0)</f>
        <v>480780.52255491709</v>
      </c>
      <c r="AE110" s="31" cm="1">
        <f t="array" ref="AE110">AE$106+IF($C110&lt;&gt;0,SUMPRODUCT((AE$107:AE$108)*TRANSPOSE(($D110:$E110))),0)</f>
        <v>493852.29698840994</v>
      </c>
      <c r="AF110" s="31" cm="1">
        <f t="array" ref="AF110">AF$106+IF($C110&lt;&gt;0,SUMPRODUCT((AF$107:AF$108)*TRANSPOSE(($D110:$E110))),0)</f>
        <v>508371.83960326738</v>
      </c>
      <c r="AG110" s="31" cm="1">
        <f t="array" ref="AG110">AG$106+IF($C110&lt;&gt;0,SUMPRODUCT((AG$107:AG$108)*TRANSPOSE(($D110:$E110))),0)</f>
        <v>525360.82061341405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-216612.64247785401</v>
      </c>
      <c r="L111" s="31" cm="1">
        <f t="array" ref="L111">L$106+IF($C111&lt;&gt;0,SUMPRODUCT((L$107:L$108)*TRANSPOSE(($D111:$E111))),0)</f>
        <v>-7544.0241069095355</v>
      </c>
      <c r="M111" s="31" cm="1">
        <f t="array" ref="M111">M$106+IF($C111&lt;&gt;0,SUMPRODUCT((M$107:M$108)*TRANSPOSE(($D111:$E111))),0)</f>
        <v>-1036.1096293170849</v>
      </c>
      <c r="N111" s="31" cm="1">
        <f t="array" ref="N111">N$106+IF($C111&lt;&gt;0,SUMPRODUCT((N$107:N$108)*TRANSPOSE(($D111:$E111))),0)</f>
        <v>8144.7061825683195</v>
      </c>
      <c r="O111" s="31" cm="1">
        <f t="array" ref="O111">O$106+IF($C111&lt;&gt;0,SUMPRODUCT((O$107:O$108)*TRANSPOSE(($D111:$E111))),0)</f>
        <v>22934.929587914768</v>
      </c>
      <c r="P111" s="31" cm="1">
        <f t="array" ref="P111">P$106+IF($C111&lt;&gt;0,SUMPRODUCT((P$107:P$108)*TRANSPOSE(($D111:$E111))),0)</f>
        <v>39516.775357600636</v>
      </c>
      <c r="Q111" s="31" cm="1">
        <f t="array" ref="Q111">Q$106+IF($C111&lt;&gt;0,SUMPRODUCT((Q$107:Q$108)*TRANSPOSE(($D111:$E111))),0)</f>
        <v>53039.633088146031</v>
      </c>
      <c r="R111" s="31" cm="1">
        <f t="array" ref="R111">R$106+IF($C111&lt;&gt;0,SUMPRODUCT((R$107:R$108)*TRANSPOSE(($D111:$E111))),0)</f>
        <v>66868.811689357841</v>
      </c>
      <c r="S111" s="31" cm="1">
        <f t="array" ref="S111">S$106+IF($C111&lt;&gt;0,SUMPRODUCT((S$107:S$108)*TRANSPOSE(($D111:$E111))),0)</f>
        <v>84380.805106485888</v>
      </c>
      <c r="T111" s="31" cm="1">
        <f t="array" ref="T111">T$106+IF($C111&lt;&gt;0,SUMPRODUCT((T$107:T$108)*TRANSPOSE(($D111:$E111))),0)</f>
        <v>106744.01751427316</v>
      </c>
      <c r="U111" s="31" cm="1">
        <f t="array" ref="U111">U$106+IF($C111&lt;&gt;0,SUMPRODUCT((U$107:U$108)*TRANSPOSE(($D111:$E111))),0)</f>
        <v>135522.24938069953</v>
      </c>
      <c r="V111" s="31" cm="1">
        <f t="array" ref="V111">V$106+IF($C111&lt;&gt;0,SUMPRODUCT((V$107:V$108)*TRANSPOSE(($D111:$E111))),0)</f>
        <v>172817.2946040642</v>
      </c>
      <c r="W111" s="31" cm="1">
        <f t="array" ref="W111">W$106+IF($C111&lt;&gt;0,SUMPRODUCT((W$107:W$108)*TRANSPOSE(($D111:$E111))),0)</f>
        <v>221452.93133084534</v>
      </c>
      <c r="X111" s="31" cm="1">
        <f t="array" ref="X111">X$106+IF($C111&lt;&gt;0,SUMPRODUCT((X$107:X$108)*TRANSPOSE(($D111:$E111))),0)</f>
        <v>285227.37404368195</v>
      </c>
      <c r="Y111" s="31" cm="1">
        <f t="array" ref="Y111">Y$106+IF($C111&lt;&gt;0,SUMPRODUCT((Y$107:Y$108)*TRANSPOSE(($D111:$E111))),0)</f>
        <v>369254.69825664017</v>
      </c>
      <c r="Z111" s="31" cm="1">
        <f t="array" ref="Z111">Z$106+IF($C111&lt;&gt;0,SUMPRODUCT((Z$107:Z$108)*TRANSPOSE(($D111:$E111))),0)</f>
        <v>480426.72856406326</v>
      </c>
      <c r="AA111" s="31" cm="1">
        <f t="array" ref="AA111">AA$106+IF($C111&lt;&gt;0,SUMPRODUCT((AA$107:AA$108)*TRANSPOSE(($D111:$E111))),0)</f>
        <v>506117.12886556069</v>
      </c>
      <c r="AB111" s="31" cm="1">
        <f t="array" ref="AB111">AB$106+IF($C111&lt;&gt;0,SUMPRODUCT((AB$107:AB$108)*TRANSPOSE(($D111:$E111))),0)</f>
        <v>534032.2891837873</v>
      </c>
      <c r="AC111" s="31" cm="1">
        <f t="array" ref="AC111">AC$106+IF($C111&lt;&gt;0,SUMPRODUCT((AC$107:AC$108)*TRANSPOSE(($D111:$E111))),0)</f>
        <v>545012.33675029688</v>
      </c>
      <c r="AD111" s="31" cm="1">
        <f t="array" ref="AD111">AD$106+IF($C111&lt;&gt;0,SUMPRODUCT((AD$107:AD$108)*TRANSPOSE(($D111:$E111))),0)</f>
        <v>552984.73671420175</v>
      </c>
      <c r="AE111" s="31" cm="1">
        <f t="array" ref="AE111">AE$106+IF($C111&lt;&gt;0,SUMPRODUCT((AE$107:AE$108)*TRANSPOSE(($D111:$E111))),0)</f>
        <v>566056.51114769466</v>
      </c>
      <c r="AF111" s="31" cm="1">
        <f t="array" ref="AF111">AF$106+IF($C111&lt;&gt;0,SUMPRODUCT((AF$107:AF$108)*TRANSPOSE(($D111:$E111))),0)</f>
        <v>580576.0537625521</v>
      </c>
      <c r="AG111" s="31" cm="1">
        <f t="array" ref="AG111">AG$106+IF($C111&lt;&gt;0,SUMPRODUCT((AG$107:AG$108)*TRANSPOSE(($D111:$E111))),0)</f>
        <v>597565.03477269877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-240680.71386428224</v>
      </c>
      <c r="L112" s="31" cm="1">
        <f t="array" ref="L112">L$106+IF($C112&lt;&gt;0,SUMPRODUCT((L$107:L$108)*TRANSPOSE(($D112:$E112))),0)</f>
        <v>-11908.637225564726</v>
      </c>
      <c r="M112" s="31" cm="1">
        <f t="array" ref="M112">M$106+IF($C112&lt;&gt;0,SUMPRODUCT((M$107:M$108)*TRANSPOSE(($D112:$E112))),0)</f>
        <v>-4749.9313002130293</v>
      </c>
      <c r="N112" s="31" cm="1">
        <f t="array" ref="N112">N$106+IF($C112&lt;&gt;0,SUMPRODUCT((N$107:N$108)*TRANSPOSE(($D112:$E112))),0)</f>
        <v>5348.9660928609155</v>
      </c>
      <c r="O112" s="31" cm="1">
        <f t="array" ref="O112">O$106+IF($C112&lt;&gt;0,SUMPRODUCT((O$107:O$108)*TRANSPOSE(($D112:$E112))),0)</f>
        <v>21618.211838742012</v>
      </c>
      <c r="P112" s="31" cm="1">
        <f t="array" ref="P112">P$106+IF($C112&lt;&gt;0,SUMPRODUCT((P$107:P$108)*TRANSPOSE(($D112:$E112))),0)</f>
        <v>39858.242185396462</v>
      </c>
      <c r="Q112" s="31" cm="1">
        <f t="array" ref="Q112">Q$106+IF($C112&lt;&gt;0,SUMPRODUCT((Q$107:Q$108)*TRANSPOSE(($D112:$E112))),0)</f>
        <v>54733.385688996401</v>
      </c>
      <c r="R112" s="31" cm="1">
        <f t="array" ref="R112">R$106+IF($C112&lt;&gt;0,SUMPRODUCT((R$107:R$108)*TRANSPOSE(($D112:$E112))),0)</f>
        <v>69945.482150329393</v>
      </c>
      <c r="S112" s="31" cm="1">
        <f t="array" ref="S112">S$106+IF($C112&lt;&gt;0,SUMPRODUCT((S$107:S$108)*TRANSPOSE(($D112:$E112))),0)</f>
        <v>89208.674909170251</v>
      </c>
      <c r="T112" s="31" cm="1">
        <f t="array" ref="T112">T$106+IF($C112&lt;&gt;0,SUMPRODUCT((T$107:T$108)*TRANSPOSE(($D112:$E112))),0)</f>
        <v>113808.20855773624</v>
      </c>
      <c r="U112" s="31" cm="1">
        <f t="array" ref="U112">U$106+IF($C112&lt;&gt;0,SUMPRODUCT((U$107:U$108)*TRANSPOSE(($D112:$E112))),0)</f>
        <v>145464.26361080524</v>
      </c>
      <c r="V112" s="31" cm="1">
        <f t="array" ref="V112">V$106+IF($C112&lt;&gt;0,SUMPRODUCT((V$107:V$108)*TRANSPOSE(($D112:$E112))),0)</f>
        <v>186488.81335650638</v>
      </c>
      <c r="W112" s="31" cm="1">
        <f t="array" ref="W112">W$106+IF($C112&lt;&gt;0,SUMPRODUCT((W$107:W$108)*TRANSPOSE(($D112:$E112))),0)</f>
        <v>239988.01375596563</v>
      </c>
      <c r="X112" s="31" cm="1">
        <f t="array" ref="X112">X$106+IF($C112&lt;&gt;0,SUMPRODUCT((X$107:X$108)*TRANSPOSE(($D112:$E112))),0)</f>
        <v>310139.90074008587</v>
      </c>
      <c r="Y112" s="31" cm="1">
        <f t="array" ref="Y112">Y$106+IF($C112&lt;&gt;0,SUMPRODUCT((Y$107:Y$108)*TRANSPOSE(($D112:$E112))),0)</f>
        <v>402569.95737433992</v>
      </c>
      <c r="Z112" s="31" cm="1">
        <f t="array" ref="Z112">Z$106+IF($C112&lt;&gt;0,SUMPRODUCT((Z$107:Z$108)*TRANSPOSE(($D112:$E112))),0)</f>
        <v>524859.19071250537</v>
      </c>
      <c r="AA112" s="31" cm="1">
        <f t="array" ref="AA112">AA$106+IF($C112&lt;&gt;0,SUMPRODUCT((AA$107:AA$108)*TRANSPOSE(($D112:$E112))),0)</f>
        <v>553118.63104415254</v>
      </c>
      <c r="AB112" s="31" cm="1">
        <f t="array" ref="AB112">AB$106+IF($C112&lt;&gt;0,SUMPRODUCT((AB$107:AB$108)*TRANSPOSE(($D112:$E112))),0)</f>
        <v>583825.30739420187</v>
      </c>
      <c r="AC112" s="31" cm="1">
        <f t="array" ref="AC112">AC$106+IF($C112&lt;&gt;0,SUMPRODUCT((AC$107:AC$108)*TRANSPOSE(($D112:$E112))),0)</f>
        <v>595903.35971736233</v>
      </c>
      <c r="AD112" s="31" cm="1">
        <f t="array" ref="AD112">AD$106+IF($C112&lt;&gt;0,SUMPRODUCT((AD$107:AD$108)*TRANSPOSE(($D112:$E112))),0)</f>
        <v>604672.99967765773</v>
      </c>
      <c r="AE112" s="31" cm="1">
        <f t="array" ref="AE112">AE$106+IF($C112&lt;&gt;0,SUMPRODUCT((AE$107:AE$108)*TRANSPOSE(($D112:$E112))),0)</f>
        <v>619051.95155449992</v>
      </c>
      <c r="AF112" s="31" cm="1">
        <f t="array" ref="AF112">AF$106+IF($C112&lt;&gt;0,SUMPRODUCT((AF$107:AF$108)*TRANSPOSE(($D112:$E112))),0)</f>
        <v>635023.44843084307</v>
      </c>
      <c r="AG112" s="31" cm="1">
        <f t="array" ref="AG112">AG$106+IF($C112&lt;&gt;0,SUMPRODUCT((AG$107:AG$108)*TRANSPOSE(($D112:$E112))),0)</f>
        <v>653711.32754200441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-240680.71386428224</v>
      </c>
      <c r="L113" s="31" cm="1">
        <f t="array" ref="L113">L$106+IF($C113&lt;&gt;0,SUMPRODUCT((L$107:L$108)*TRANSPOSE(($D113:$E113))),0)</f>
        <v>-75383.625147539031</v>
      </c>
      <c r="M113" s="31" cm="1">
        <f t="array" ref="M113">M$106+IF($C113&lt;&gt;0,SUMPRODUCT((M$107:M$108)*TRANSPOSE(($D113:$E113))),0)</f>
        <v>-69526.502117705822</v>
      </c>
      <c r="N113" s="31" cm="1">
        <f t="array" ref="N113">N$106+IF($C113&lt;&gt;0,SUMPRODUCT((N$107:N$108)*TRANSPOSE(($D113:$E113))),0)</f>
        <v>-61263.767887008966</v>
      </c>
      <c r="O113" s="31" cm="1">
        <f t="array" ref="O113">O$106+IF($C113&lt;&gt;0,SUMPRODUCT((O$107:O$108)*TRANSPOSE(($D113:$E113))),0)</f>
        <v>-47952.566822197165</v>
      </c>
      <c r="P113" s="31" cm="1">
        <f t="array" ref="P113">P$106+IF($C113&lt;&gt;0,SUMPRODUCT((P$107:P$108)*TRANSPOSE(($D113:$E113))),0)</f>
        <v>-33028.905629479879</v>
      </c>
      <c r="Q113" s="31" cm="1">
        <f t="array" ref="Q113">Q$106+IF($C113&lt;&gt;0,SUMPRODUCT((Q$107:Q$108)*TRANSPOSE(($D113:$E113))),0)</f>
        <v>-20858.333671989029</v>
      </c>
      <c r="R113" s="31" cm="1">
        <f t="array" ref="R113">R$106+IF($C113&lt;&gt;0,SUMPRODUCT((R$107:R$108)*TRANSPOSE(($D113:$E113))),0)</f>
        <v>-8412.0729308983937</v>
      </c>
      <c r="S113" s="31" cm="1">
        <f t="array" ref="S113">S$106+IF($C113&lt;&gt;0,SUMPRODUCT((S$107:S$108)*TRANSPOSE(($D113:$E113))),0)</f>
        <v>7348.7211445168432</v>
      </c>
      <c r="T113" s="31" cm="1">
        <f t="array" ref="T113">T$106+IF($C113&lt;&gt;0,SUMPRODUCT((T$107:T$108)*TRANSPOSE(($D113:$E113))),0)</f>
        <v>27475.612311525387</v>
      </c>
      <c r="U113" s="31" cm="1">
        <f t="array" ref="U113">U$106+IF($C113&lt;&gt;0,SUMPRODUCT((U$107:U$108)*TRANSPOSE(($D113:$E113))),0)</f>
        <v>53376.020991309109</v>
      </c>
      <c r="V113" s="31" cm="1">
        <f t="array" ref="V113">V$106+IF($C113&lt;&gt;0,SUMPRODUCT((V$107:V$108)*TRANSPOSE(($D113:$E113))),0)</f>
        <v>86941.561692337302</v>
      </c>
      <c r="W113" s="31" cm="1">
        <f t="array" ref="W113">W$106+IF($C113&lt;&gt;0,SUMPRODUCT((W$107:W$108)*TRANSPOSE(($D113:$E113))),0)</f>
        <v>130713.63474644034</v>
      </c>
      <c r="X113" s="31" cm="1">
        <f t="array" ref="X113">X$106+IF($C113&lt;&gt;0,SUMPRODUCT((X$107:X$108)*TRANSPOSE(($D113:$E113))),0)</f>
        <v>188110.63318799328</v>
      </c>
      <c r="Y113" s="31" cm="1">
        <f t="array" ref="Y113">Y$106+IF($C113&lt;&gt;0,SUMPRODUCT((Y$107:Y$108)*TRANSPOSE(($D113:$E113))),0)</f>
        <v>263735.2249796557</v>
      </c>
      <c r="Z113" s="31" cm="1">
        <f t="array" ref="Z113">Z$106+IF($C113&lt;&gt;0,SUMPRODUCT((Z$107:Z$108)*TRANSPOSE(($D113:$E113))),0)</f>
        <v>363790.05225633644</v>
      </c>
      <c r="AA113" s="31" cm="1">
        <f t="array" ref="AA113">AA$106+IF($C113&lt;&gt;0,SUMPRODUCT((AA$107:AA$108)*TRANSPOSE(($D113:$E113))),0)</f>
        <v>386911.41252768412</v>
      </c>
      <c r="AB113" s="31" cm="1">
        <f t="array" ref="AB113">AB$106+IF($C113&lt;&gt;0,SUMPRODUCT((AB$107:AB$108)*TRANSPOSE(($D113:$E113))),0)</f>
        <v>412035.05681408814</v>
      </c>
      <c r="AC113" s="31" cm="1">
        <f t="array" ref="AC113">AC$106+IF($C113&lt;&gt;0,SUMPRODUCT((AC$107:AC$108)*TRANSPOSE(($D113:$E113))),0)</f>
        <v>421917.09962394676</v>
      </c>
      <c r="AD113" s="31" cm="1">
        <f t="array" ref="AD113">AD$106+IF($C113&lt;&gt;0,SUMPRODUCT((AD$107:AD$108)*TRANSPOSE(($D113:$E113))),0)</f>
        <v>429092.25959146116</v>
      </c>
      <c r="AE113" s="31" cm="1">
        <f t="array" ref="AE113">AE$106+IF($C113&lt;&gt;0,SUMPRODUCT((AE$107:AE$108)*TRANSPOSE(($D113:$E113))),0)</f>
        <v>440856.85658160475</v>
      </c>
      <c r="AF113" s="31" cm="1">
        <f t="array" ref="AF113">AF$106+IF($C113&lt;&gt;0,SUMPRODUCT((AF$107:AF$108)*TRANSPOSE(($D113:$E113))),0)</f>
        <v>453924.4449349764</v>
      </c>
      <c r="AG113" s="31" cm="1">
        <f t="array" ref="AG113">AG$106+IF($C113&lt;&gt;0,SUMPRODUCT((AG$107:AG$108)*TRANSPOSE(($D113:$E113))),0)</f>
        <v>469214.52784410841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-264748.78525071044</v>
      </c>
      <c r="L114" s="31" cm="1">
        <f t="array" ref="L114">L$106+IF($C114&lt;&gt;0,SUMPRODUCT((L$107:L$108)*TRANSPOSE(($D114:$E114))),0)</f>
        <v>-111485.73222718138</v>
      </c>
      <c r="M114" s="31" cm="1">
        <f t="array" ref="M114">M$106+IF($C114&lt;&gt;0,SUMPRODUCT((M$107:M$108)*TRANSPOSE(($D114:$E114))),0)</f>
        <v>-105628.60919734818</v>
      </c>
      <c r="N114" s="31" cm="1">
        <f t="array" ref="N114">N$106+IF($C114&lt;&gt;0,SUMPRODUCT((N$107:N$108)*TRANSPOSE(($D114:$E114))),0)</f>
        <v>-97365.874966651318</v>
      </c>
      <c r="O114" s="31" cm="1">
        <f t="array" ref="O114">O$106+IF($C114&lt;&gt;0,SUMPRODUCT((O$107:O$108)*TRANSPOSE(($D114:$E114))),0)</f>
        <v>-84054.673901839502</v>
      </c>
      <c r="P114" s="31" cm="1">
        <f t="array" ref="P114">P$106+IF($C114&lt;&gt;0,SUMPRODUCT((P$107:P$108)*TRANSPOSE(($D114:$E114))),0)</f>
        <v>-69131.012709122224</v>
      </c>
      <c r="Q114" s="31" cm="1">
        <f t="array" ref="Q114">Q$106+IF($C114&lt;&gt;0,SUMPRODUCT((Q$107:Q$108)*TRANSPOSE(($D114:$E114))),0)</f>
        <v>-56960.440751631366</v>
      </c>
      <c r="R114" s="31" cm="1">
        <f t="array" ref="R114">R$106+IF($C114&lt;&gt;0,SUMPRODUCT((R$107:R$108)*TRANSPOSE(($D114:$E114))),0)</f>
        <v>-44514.180010540731</v>
      </c>
      <c r="S114" s="31" cm="1">
        <f t="array" ref="S114">S$106+IF($C114&lt;&gt;0,SUMPRODUCT((S$107:S$108)*TRANSPOSE(($D114:$E114))),0)</f>
        <v>-28753.385935125494</v>
      </c>
      <c r="T114" s="31" cm="1">
        <f t="array" ref="T114">T$106+IF($C114&lt;&gt;0,SUMPRODUCT((T$107:T$108)*TRANSPOSE(($D114:$E114))),0)</f>
        <v>-8626.4947681169579</v>
      </c>
      <c r="U114" s="31" cm="1">
        <f t="array" ref="U114">U$106+IF($C114&lt;&gt;0,SUMPRODUCT((U$107:U$108)*TRANSPOSE(($D114:$E114))),0)</f>
        <v>17273.913911666765</v>
      </c>
      <c r="V114" s="31" cm="1">
        <f t="array" ref="V114">V$106+IF($C114&lt;&gt;0,SUMPRODUCT((V$107:V$108)*TRANSPOSE(($D114:$E114))),0)</f>
        <v>50839.454612694972</v>
      </c>
      <c r="W114" s="31" cm="1">
        <f t="array" ref="W114">W$106+IF($C114&lt;&gt;0,SUMPRODUCT((W$107:W$108)*TRANSPOSE(($D114:$E114))),0)</f>
        <v>94611.527666797992</v>
      </c>
      <c r="X114" s="31" cm="1">
        <f t="array" ref="X114">X$106+IF($C114&lt;&gt;0,SUMPRODUCT((X$107:X$108)*TRANSPOSE(($D114:$E114))),0)</f>
        <v>152008.52610835095</v>
      </c>
      <c r="Y114" s="31" cm="1">
        <f t="array" ref="Y114">Y$106+IF($C114&lt;&gt;0,SUMPRODUCT((Y$107:Y$108)*TRANSPOSE(($D114:$E114))),0)</f>
        <v>227633.11790001334</v>
      </c>
      <c r="Z114" s="31" cm="1">
        <f t="array" ref="Z114">Z$106+IF($C114&lt;&gt;0,SUMPRODUCT((Z$107:Z$108)*TRANSPOSE(($D114:$E114))),0)</f>
        <v>327687.94517669413</v>
      </c>
      <c r="AA114" s="31" cm="1">
        <f t="array" ref="AA114">AA$106+IF($C114&lt;&gt;0,SUMPRODUCT((AA$107:AA$108)*TRANSPOSE(($D114:$E114))),0)</f>
        <v>350809.30544804182</v>
      </c>
      <c r="AB114" s="31" cm="1">
        <f t="array" ref="AB114">AB$106+IF($C114&lt;&gt;0,SUMPRODUCT((AB$107:AB$108)*TRANSPOSE(($D114:$E114))),0)</f>
        <v>375932.94973444578</v>
      </c>
      <c r="AC114" s="31" cm="1">
        <f t="array" ref="AC114">AC$106+IF($C114&lt;&gt;0,SUMPRODUCT((AC$107:AC$108)*TRANSPOSE(($D114:$E114))),0)</f>
        <v>385814.9925443044</v>
      </c>
      <c r="AD114" s="31" cm="1">
        <f t="array" ref="AD114">AD$106+IF($C114&lt;&gt;0,SUMPRODUCT((AD$107:AD$108)*TRANSPOSE(($D114:$E114))),0)</f>
        <v>392990.1525118188</v>
      </c>
      <c r="AE114" s="31" cm="1">
        <f t="array" ref="AE114">AE$106+IF($C114&lt;&gt;0,SUMPRODUCT((AE$107:AE$108)*TRANSPOSE(($D114:$E114))),0)</f>
        <v>404754.74950196239</v>
      </c>
      <c r="AF114" s="31" cm="1">
        <f t="array" ref="AF114">AF$106+IF($C114&lt;&gt;0,SUMPRODUCT((AF$107:AF$108)*TRANSPOSE(($D114:$E114))),0)</f>
        <v>417822.33785533404</v>
      </c>
      <c r="AG114" s="31" cm="1">
        <f t="array" ref="AG114">AG$106+IF($C114&lt;&gt;0,SUMPRODUCT((AG$107:AG$108)*TRANSPOSE(($D114:$E114))),0)</f>
        <v>433112.42076446605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-240680.71386428224</v>
      </c>
      <c r="L115" s="31" cm="1">
        <f t="array" ref="L115">L$106+IF($C115&lt;&gt;0,SUMPRODUCT((L$107:L$108)*TRANSPOSE(($D115:$E115))),0)</f>
        <v>-43646.13118655188</v>
      </c>
      <c r="M115" s="31" cm="1">
        <f t="array" ref="M115">M$106+IF($C115&lt;&gt;0,SUMPRODUCT((M$107:M$108)*TRANSPOSE(($D115:$E115))),0)</f>
        <v>-37138.21670895943</v>
      </c>
      <c r="N115" s="31" cm="1">
        <f t="array" ref="N115">N$106+IF($C115&lt;&gt;0,SUMPRODUCT((N$107:N$108)*TRANSPOSE(($D115:$E115))),0)</f>
        <v>-27957.400897074025</v>
      </c>
      <c r="O115" s="31" cm="1">
        <f t="array" ref="O115">O$106+IF($C115&lt;&gt;0,SUMPRODUCT((O$107:O$108)*TRANSPOSE(($D115:$E115))),0)</f>
        <v>-13167.177491727576</v>
      </c>
      <c r="P115" s="31" cm="1">
        <f t="array" ref="P115">P$106+IF($C115&lt;&gt;0,SUMPRODUCT((P$107:P$108)*TRANSPOSE(($D115:$E115))),0)</f>
        <v>3414.6682779582916</v>
      </c>
      <c r="Q115" s="31" cm="1">
        <f t="array" ref="Q115">Q$106+IF($C115&lt;&gt;0,SUMPRODUCT((Q$107:Q$108)*TRANSPOSE(($D115:$E115))),0)</f>
        <v>16937.526008503686</v>
      </c>
      <c r="R115" s="31" cm="1">
        <f t="array" ref="R115">R$106+IF($C115&lt;&gt;0,SUMPRODUCT((R$107:R$108)*TRANSPOSE(($D115:$E115))),0)</f>
        <v>30766.704609715496</v>
      </c>
      <c r="S115" s="31" cm="1">
        <f t="array" ref="S115">S$106+IF($C115&lt;&gt;0,SUMPRODUCT((S$107:S$108)*TRANSPOSE(($D115:$E115))),0)</f>
        <v>48278.698026843544</v>
      </c>
      <c r="T115" s="31" cm="1">
        <f t="array" ref="T115">T$106+IF($C115&lt;&gt;0,SUMPRODUCT((T$107:T$108)*TRANSPOSE(($D115:$E115))),0)</f>
        <v>70641.910434630816</v>
      </c>
      <c r="U115" s="31" cm="1">
        <f t="array" ref="U115">U$106+IF($C115&lt;&gt;0,SUMPRODUCT((U$107:U$108)*TRANSPOSE(($D115:$E115))),0)</f>
        <v>99420.142301057174</v>
      </c>
      <c r="V115" s="31" cm="1">
        <f t="array" ref="V115">V$106+IF($C115&lt;&gt;0,SUMPRODUCT((V$107:V$108)*TRANSPOSE(($D115:$E115))),0)</f>
        <v>136715.18752442184</v>
      </c>
      <c r="W115" s="31" cm="1">
        <f t="array" ref="W115">W$106+IF($C115&lt;&gt;0,SUMPRODUCT((W$107:W$108)*TRANSPOSE(($D115:$E115))),0)</f>
        <v>185350.82425120298</v>
      </c>
      <c r="X115" s="31" cm="1">
        <f t="array" ref="X115">X$106+IF($C115&lt;&gt;0,SUMPRODUCT((X$107:X$108)*TRANSPOSE(($D115:$E115))),0)</f>
        <v>249125.26696403959</v>
      </c>
      <c r="Y115" s="31" cm="1">
        <f t="array" ref="Y115">Y$106+IF($C115&lt;&gt;0,SUMPRODUCT((Y$107:Y$108)*TRANSPOSE(($D115:$E115))),0)</f>
        <v>333152.59117699781</v>
      </c>
      <c r="Z115" s="31" cm="1">
        <f t="array" ref="Z115">Z$106+IF($C115&lt;&gt;0,SUMPRODUCT((Z$107:Z$108)*TRANSPOSE(($D115:$E115))),0)</f>
        <v>444324.6214844209</v>
      </c>
      <c r="AA115" s="31" cm="1">
        <f t="array" ref="AA115">AA$106+IF($C115&lt;&gt;0,SUMPRODUCT((AA$107:AA$108)*TRANSPOSE(($D115:$E115))),0)</f>
        <v>470015.02178591833</v>
      </c>
      <c r="AB115" s="31" cm="1">
        <f t="array" ref="AB115">AB$106+IF($C115&lt;&gt;0,SUMPRODUCT((AB$107:AB$108)*TRANSPOSE(($D115:$E115))),0)</f>
        <v>497930.182104145</v>
      </c>
      <c r="AC115" s="31" cm="1">
        <f t="array" ref="AC115">AC$106+IF($C115&lt;&gt;0,SUMPRODUCT((AC$107:AC$108)*TRANSPOSE(($D115:$E115))),0)</f>
        <v>508910.22967065457</v>
      </c>
      <c r="AD115" s="31" cm="1">
        <f t="array" ref="AD115">AD$106+IF($C115&lt;&gt;0,SUMPRODUCT((AD$107:AD$108)*TRANSPOSE(($D115:$E115))),0)</f>
        <v>516882.62963455945</v>
      </c>
      <c r="AE115" s="31" cm="1">
        <f t="array" ref="AE115">AE$106+IF($C115&lt;&gt;0,SUMPRODUCT((AE$107:AE$108)*TRANSPOSE(($D115:$E115))),0)</f>
        <v>529954.4040680523</v>
      </c>
      <c r="AF115" s="31" cm="1">
        <f t="array" ref="AF115">AF$106+IF($C115&lt;&gt;0,SUMPRODUCT((AF$107:AF$108)*TRANSPOSE(($D115:$E115))),0)</f>
        <v>544473.94668290974</v>
      </c>
      <c r="AG115" s="31" cm="1">
        <f t="array" ref="AG115">AG$106+IF($C115&lt;&gt;0,SUMPRODUCT((AG$107:AG$108)*TRANSPOSE(($D115:$E115))),0)</f>
        <v>561462.92769305641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-240680.71386428224</v>
      </c>
      <c r="L116" s="31" cm="1">
        <f t="array" ref="L116">L$106+IF($C116&lt;&gt;0,SUMPRODUCT((L$107:L$108)*TRANSPOSE(($D116:$E116))),0)</f>
        <v>-43646.13118655188</v>
      </c>
      <c r="M116" s="31" cm="1">
        <f t="array" ref="M116">M$106+IF($C116&lt;&gt;0,SUMPRODUCT((M$107:M$108)*TRANSPOSE(($D116:$E116))),0)</f>
        <v>-37138.21670895943</v>
      </c>
      <c r="N116" s="31" cm="1">
        <f t="array" ref="N116">N$106+IF($C116&lt;&gt;0,SUMPRODUCT((N$107:N$108)*TRANSPOSE(($D116:$E116))),0)</f>
        <v>-27957.400897074025</v>
      </c>
      <c r="O116" s="31" cm="1">
        <f t="array" ref="O116">O$106+IF($C116&lt;&gt;0,SUMPRODUCT((O$107:O$108)*TRANSPOSE(($D116:$E116))),0)</f>
        <v>-13167.177491727576</v>
      </c>
      <c r="P116" s="31" cm="1">
        <f t="array" ref="P116">P$106+IF($C116&lt;&gt;0,SUMPRODUCT((P$107:P$108)*TRANSPOSE(($D116:$E116))),0)</f>
        <v>3414.6682779582916</v>
      </c>
      <c r="Q116" s="31" cm="1">
        <f t="array" ref="Q116">Q$106+IF($C116&lt;&gt;0,SUMPRODUCT((Q$107:Q$108)*TRANSPOSE(($D116:$E116))),0)</f>
        <v>16937.526008503686</v>
      </c>
      <c r="R116" s="31" cm="1">
        <f t="array" ref="R116">R$106+IF($C116&lt;&gt;0,SUMPRODUCT((R$107:R$108)*TRANSPOSE(($D116:$E116))),0)</f>
        <v>30766.704609715496</v>
      </c>
      <c r="S116" s="31" cm="1">
        <f t="array" ref="S116">S$106+IF($C116&lt;&gt;0,SUMPRODUCT((S$107:S$108)*TRANSPOSE(($D116:$E116))),0)</f>
        <v>48278.698026843544</v>
      </c>
      <c r="T116" s="31" cm="1">
        <f t="array" ref="T116">T$106+IF($C116&lt;&gt;0,SUMPRODUCT((T$107:T$108)*TRANSPOSE(($D116:$E116))),0)</f>
        <v>70641.910434630816</v>
      </c>
      <c r="U116" s="31" cm="1">
        <f t="array" ref="U116">U$106+IF($C116&lt;&gt;0,SUMPRODUCT((U$107:U$108)*TRANSPOSE(($D116:$E116))),0)</f>
        <v>99420.142301057174</v>
      </c>
      <c r="V116" s="31" cm="1">
        <f t="array" ref="V116">V$106+IF($C116&lt;&gt;0,SUMPRODUCT((V$107:V$108)*TRANSPOSE(($D116:$E116))),0)</f>
        <v>136715.18752442184</v>
      </c>
      <c r="W116" s="31" cm="1">
        <f t="array" ref="W116">W$106+IF($C116&lt;&gt;0,SUMPRODUCT((W$107:W$108)*TRANSPOSE(($D116:$E116))),0)</f>
        <v>185350.82425120298</v>
      </c>
      <c r="X116" s="31" cm="1">
        <f t="array" ref="X116">X$106+IF($C116&lt;&gt;0,SUMPRODUCT((X$107:X$108)*TRANSPOSE(($D116:$E116))),0)</f>
        <v>249125.26696403959</v>
      </c>
      <c r="Y116" s="31" cm="1">
        <f t="array" ref="Y116">Y$106+IF($C116&lt;&gt;0,SUMPRODUCT((Y$107:Y$108)*TRANSPOSE(($D116:$E116))),0)</f>
        <v>333152.59117699781</v>
      </c>
      <c r="Z116" s="31" cm="1">
        <f t="array" ref="Z116">Z$106+IF($C116&lt;&gt;0,SUMPRODUCT((Z$107:Z$108)*TRANSPOSE(($D116:$E116))),0)</f>
        <v>444324.6214844209</v>
      </c>
      <c r="AA116" s="31" cm="1">
        <f t="array" ref="AA116">AA$106+IF($C116&lt;&gt;0,SUMPRODUCT((AA$107:AA$108)*TRANSPOSE(($D116:$E116))),0)</f>
        <v>470015.02178591833</v>
      </c>
      <c r="AB116" s="31" cm="1">
        <f t="array" ref="AB116">AB$106+IF($C116&lt;&gt;0,SUMPRODUCT((AB$107:AB$108)*TRANSPOSE(($D116:$E116))),0)</f>
        <v>497930.182104145</v>
      </c>
      <c r="AC116" s="31" cm="1">
        <f t="array" ref="AC116">AC$106+IF($C116&lt;&gt;0,SUMPRODUCT((AC$107:AC$108)*TRANSPOSE(($D116:$E116))),0)</f>
        <v>508910.22967065457</v>
      </c>
      <c r="AD116" s="31" cm="1">
        <f t="array" ref="AD116">AD$106+IF($C116&lt;&gt;0,SUMPRODUCT((AD$107:AD$108)*TRANSPOSE(($D116:$E116))),0)</f>
        <v>516882.62963455945</v>
      </c>
      <c r="AE116" s="31" cm="1">
        <f t="array" ref="AE116">AE$106+IF($C116&lt;&gt;0,SUMPRODUCT((AE$107:AE$108)*TRANSPOSE(($D116:$E116))),0)</f>
        <v>529954.4040680523</v>
      </c>
      <c r="AF116" s="31" cm="1">
        <f t="array" ref="AF116">AF$106+IF($C116&lt;&gt;0,SUMPRODUCT((AF$107:AF$108)*TRANSPOSE(($D116:$E116))),0)</f>
        <v>544473.94668290974</v>
      </c>
      <c r="AG116" s="31" cm="1">
        <f t="array" ref="AG116">AG$106+IF($C116&lt;&gt;0,SUMPRODUCT((AG$107:AG$108)*TRANSPOSE(($D116:$E116))),0)</f>
        <v>561462.92769305641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-240680.71386428224</v>
      </c>
      <c r="L117" s="31" cm="1">
        <f t="array" ref="L117">L$106+IF($C117&lt;&gt;0,SUMPRODUCT((L$107:L$108)*TRANSPOSE(($D117:$E117))),0)</f>
        <v>-43646.13118655188</v>
      </c>
      <c r="M117" s="31" cm="1">
        <f t="array" ref="M117">M$106+IF($C117&lt;&gt;0,SUMPRODUCT((M$107:M$108)*TRANSPOSE(($D117:$E117))),0)</f>
        <v>-37138.21670895943</v>
      </c>
      <c r="N117" s="31" cm="1">
        <f t="array" ref="N117">N$106+IF($C117&lt;&gt;0,SUMPRODUCT((N$107:N$108)*TRANSPOSE(($D117:$E117))),0)</f>
        <v>-27957.400897074025</v>
      </c>
      <c r="O117" s="31" cm="1">
        <f t="array" ref="O117">O$106+IF($C117&lt;&gt;0,SUMPRODUCT((O$107:O$108)*TRANSPOSE(($D117:$E117))),0)</f>
        <v>-13167.177491727576</v>
      </c>
      <c r="P117" s="31" cm="1">
        <f t="array" ref="P117">P$106+IF($C117&lt;&gt;0,SUMPRODUCT((P$107:P$108)*TRANSPOSE(($D117:$E117))),0)</f>
        <v>3414.6682779582916</v>
      </c>
      <c r="Q117" s="31" cm="1">
        <f t="array" ref="Q117">Q$106+IF($C117&lt;&gt;0,SUMPRODUCT((Q$107:Q$108)*TRANSPOSE(($D117:$E117))),0)</f>
        <v>16937.526008503686</v>
      </c>
      <c r="R117" s="31" cm="1">
        <f t="array" ref="R117">R$106+IF($C117&lt;&gt;0,SUMPRODUCT((R$107:R$108)*TRANSPOSE(($D117:$E117))),0)</f>
        <v>30766.704609715496</v>
      </c>
      <c r="S117" s="31" cm="1">
        <f t="array" ref="S117">S$106+IF($C117&lt;&gt;0,SUMPRODUCT((S$107:S$108)*TRANSPOSE(($D117:$E117))),0)</f>
        <v>48278.698026843544</v>
      </c>
      <c r="T117" s="31" cm="1">
        <f t="array" ref="T117">T$106+IF($C117&lt;&gt;0,SUMPRODUCT((T$107:T$108)*TRANSPOSE(($D117:$E117))),0)</f>
        <v>70641.910434630816</v>
      </c>
      <c r="U117" s="31" cm="1">
        <f t="array" ref="U117">U$106+IF($C117&lt;&gt;0,SUMPRODUCT((U$107:U$108)*TRANSPOSE(($D117:$E117))),0)</f>
        <v>99420.142301057174</v>
      </c>
      <c r="V117" s="31" cm="1">
        <f t="array" ref="V117">V$106+IF($C117&lt;&gt;0,SUMPRODUCT((V$107:V$108)*TRANSPOSE(($D117:$E117))),0)</f>
        <v>136715.18752442184</v>
      </c>
      <c r="W117" s="31" cm="1">
        <f t="array" ref="W117">W$106+IF($C117&lt;&gt;0,SUMPRODUCT((W$107:W$108)*TRANSPOSE(($D117:$E117))),0)</f>
        <v>185350.82425120298</v>
      </c>
      <c r="X117" s="31" cm="1">
        <f t="array" ref="X117">X$106+IF($C117&lt;&gt;0,SUMPRODUCT((X$107:X$108)*TRANSPOSE(($D117:$E117))),0)</f>
        <v>249125.26696403959</v>
      </c>
      <c r="Y117" s="31" cm="1">
        <f t="array" ref="Y117">Y$106+IF($C117&lt;&gt;0,SUMPRODUCT((Y$107:Y$108)*TRANSPOSE(($D117:$E117))),0)</f>
        <v>333152.59117699781</v>
      </c>
      <c r="Z117" s="31" cm="1">
        <f t="array" ref="Z117">Z$106+IF($C117&lt;&gt;0,SUMPRODUCT((Z$107:Z$108)*TRANSPOSE(($D117:$E117))),0)</f>
        <v>444324.6214844209</v>
      </c>
      <c r="AA117" s="31" cm="1">
        <f t="array" ref="AA117">AA$106+IF($C117&lt;&gt;0,SUMPRODUCT((AA$107:AA$108)*TRANSPOSE(($D117:$E117))),0)</f>
        <v>470015.02178591833</v>
      </c>
      <c r="AB117" s="31" cm="1">
        <f t="array" ref="AB117">AB$106+IF($C117&lt;&gt;0,SUMPRODUCT((AB$107:AB$108)*TRANSPOSE(($D117:$E117))),0)</f>
        <v>497930.182104145</v>
      </c>
      <c r="AC117" s="31" cm="1">
        <f t="array" ref="AC117">AC$106+IF($C117&lt;&gt;0,SUMPRODUCT((AC$107:AC$108)*TRANSPOSE(($D117:$E117))),0)</f>
        <v>508910.22967065457</v>
      </c>
      <c r="AD117" s="31" cm="1">
        <f t="array" ref="AD117">AD$106+IF($C117&lt;&gt;0,SUMPRODUCT((AD$107:AD$108)*TRANSPOSE(($D117:$E117))),0)</f>
        <v>516882.62963455945</v>
      </c>
      <c r="AE117" s="31" cm="1">
        <f t="array" ref="AE117">AE$106+IF($C117&lt;&gt;0,SUMPRODUCT((AE$107:AE$108)*TRANSPOSE(($D117:$E117))),0)</f>
        <v>529954.4040680523</v>
      </c>
      <c r="AF117" s="31" cm="1">
        <f t="array" ref="AF117">AF$106+IF($C117&lt;&gt;0,SUMPRODUCT((AF$107:AF$108)*TRANSPOSE(($D117:$E117))),0)</f>
        <v>544473.94668290974</v>
      </c>
      <c r="AG117" s="31" cm="1">
        <f t="array" ref="AG117">AG$106+IF($C117&lt;&gt;0,SUMPRODUCT((AG$107:AG$108)*TRANSPOSE(($D117:$E117))),0)</f>
        <v>561462.92769305641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RD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2" t="s">
        <v>135</v>
      </c>
      <c r="B3" s="5"/>
      <c r="C3" s="199" t="str">
        <f>INDEX(Assumptions!$E$14:$E$18, MATCH(A3,_xlfn.ANCHORARRAY( Assumptions!$C$14),0))</f>
        <v>Relay replacement completed in 2028-29 and SWBD replacement completed in 2033-34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308</v>
      </c>
      <c r="D14"/>
      <c r="E14" s="147">
        <v>50</v>
      </c>
      <c r="G14" s="206">
        <f>input_dollars</f>
        <v>45291</v>
      </c>
      <c r="H14" s="148"/>
      <c r="I14" s="32">
        <f>Workings_costs!E38</f>
        <v>0</v>
      </c>
      <c r="J14" s="32">
        <f>Workings_costs!F38</f>
        <v>0</v>
      </c>
      <c r="K14" s="32">
        <f>Workings_costs!G38</f>
        <v>0</v>
      </c>
      <c r="L14" s="32">
        <f>Workings_costs!H38</f>
        <v>0</v>
      </c>
      <c r="M14" s="32">
        <f>Workings_costs!I38</f>
        <v>0</v>
      </c>
      <c r="N14" s="32">
        <f>Workings_costs!J38</f>
        <v>0</v>
      </c>
      <c r="O14" s="32">
        <f>Workings_costs!K38</f>
        <v>3862491.2629787237</v>
      </c>
      <c r="P14" s="32">
        <f>Workings_costs!L38</f>
        <v>1931245.6314893619</v>
      </c>
      <c r="Q14" s="32">
        <f>Workings_costs!M38</f>
        <v>0</v>
      </c>
      <c r="R14" s="32">
        <f>Workings_costs!N38</f>
        <v>0</v>
      </c>
      <c r="S14" s="32">
        <f>Workings_costs!O38</f>
        <v>0</v>
      </c>
      <c r="T14" s="32">
        <f>Workings_costs!P38</f>
        <v>0</v>
      </c>
      <c r="U14" s="32">
        <f>Workings_costs!Q38</f>
        <v>0</v>
      </c>
      <c r="V14" s="32">
        <f>Workings_costs!R38</f>
        <v>0</v>
      </c>
      <c r="W14" s="32">
        <f>Workings_costs!S38</f>
        <v>0</v>
      </c>
      <c r="X14" s="32">
        <f>Workings_costs!T38</f>
        <v>0</v>
      </c>
      <c r="Y14" s="32">
        <f>Workings_costs!U38</f>
        <v>0</v>
      </c>
      <c r="Z14" s="32">
        <f>Workings_costs!V38</f>
        <v>0</v>
      </c>
      <c r="AA14" s="32">
        <f>Workings_costs!W38</f>
        <v>0</v>
      </c>
      <c r="AB14" s="32">
        <f>Workings_costs!X38</f>
        <v>0</v>
      </c>
      <c r="AC14" s="32">
        <f>Workings_costs!Y38</f>
        <v>0</v>
      </c>
      <c r="AD14" s="32">
        <f>Workings_costs!Z38</f>
        <v>0</v>
      </c>
      <c r="AE14" s="32">
        <f>Workings_costs!AA38</f>
        <v>0</v>
      </c>
      <c r="AF14" s="32">
        <f>Workings_costs!AB38</f>
        <v>0</v>
      </c>
      <c r="AG14" s="32">
        <f>Workings_costs!AC38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309</v>
      </c>
      <c r="D15"/>
      <c r="E15" s="147">
        <v>25</v>
      </c>
      <c r="G15" s="206">
        <f>input_dollars</f>
        <v>45291</v>
      </c>
      <c r="H15" s="2"/>
      <c r="I15" s="32">
        <f>Workings_costs!E39</f>
        <v>0</v>
      </c>
      <c r="J15" s="32">
        <f>Workings_costs!F39</f>
        <v>1931245.6314893619</v>
      </c>
      <c r="K15" s="32">
        <f>Workings_costs!G39</f>
        <v>965622.81574468093</v>
      </c>
      <c r="L15" s="32">
        <f>Workings_costs!H39</f>
        <v>0</v>
      </c>
      <c r="M15" s="32">
        <f>Workings_costs!I39</f>
        <v>0</v>
      </c>
      <c r="N15" s="32">
        <f>Workings_costs!J39</f>
        <v>0</v>
      </c>
      <c r="O15" s="32">
        <f>Workings_costs!K39</f>
        <v>0</v>
      </c>
      <c r="P15" s="32">
        <f>Workings_costs!L39</f>
        <v>0</v>
      </c>
      <c r="Q15" s="32">
        <f>Workings_costs!M39</f>
        <v>0</v>
      </c>
      <c r="R15" s="32">
        <f>Workings_costs!N39</f>
        <v>0</v>
      </c>
      <c r="S15" s="32">
        <f>Workings_costs!O39</f>
        <v>0</v>
      </c>
      <c r="T15" s="32">
        <f>Workings_costs!P39</f>
        <v>0</v>
      </c>
      <c r="U15" s="32">
        <f>Workings_costs!Q39</f>
        <v>0</v>
      </c>
      <c r="V15" s="32">
        <f>Workings_costs!R39</f>
        <v>0</v>
      </c>
      <c r="W15" s="32">
        <f>Workings_costs!S39</f>
        <v>0</v>
      </c>
      <c r="X15" s="32">
        <f>Workings_costs!T39</f>
        <v>0</v>
      </c>
      <c r="Y15" s="32">
        <f>Workings_costs!U39</f>
        <v>0</v>
      </c>
      <c r="Z15" s="32">
        <f>Workings_costs!V39</f>
        <v>0</v>
      </c>
      <c r="AA15" s="32">
        <f>Workings_costs!W39</f>
        <v>0</v>
      </c>
      <c r="AB15" s="32">
        <f>Workings_costs!X39</f>
        <v>0</v>
      </c>
      <c r="AC15" s="32">
        <f>Workings_costs!Y39</f>
        <v>0</v>
      </c>
      <c r="AD15" s="32">
        <f>Workings_costs!Z39</f>
        <v>0</v>
      </c>
      <c r="AE15" s="32">
        <f>Workings_costs!AA39</f>
        <v>0</v>
      </c>
      <c r="AF15" s="32">
        <f>Workings_costs!AB39</f>
        <v>0</v>
      </c>
      <c r="AG15" s="32">
        <f>Workings_costs!AC39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1931245.6314893619</v>
      </c>
      <c r="K17" s="106">
        <f t="shared" si="0"/>
        <v>965622.81574468093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3862491.2629787237</v>
      </c>
      <c r="P17" s="106">
        <f t="shared" si="0"/>
        <v>1931245.6314893619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34344.183402891664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Workings_risks!E78</f>
        <v>205417.28652276783</v>
      </c>
      <c r="J28" s="119">
        <f>Workings_risks!F78</f>
        <v>210478.08119034173</v>
      </c>
      <c r="K28" s="119">
        <f>Workings_risks!G78</f>
        <v>220586.01122335359</v>
      </c>
      <c r="L28" s="119">
        <f>Workings_risks!H78</f>
        <v>211503.37557634301</v>
      </c>
      <c r="M28" s="119">
        <f>Workings_risks!I78</f>
        <v>213328.2979120895</v>
      </c>
      <c r="N28" s="119">
        <f>Workings_risks!J78</f>
        <v>216942.31409168136</v>
      </c>
      <c r="O28" s="119">
        <f>Workings_risks!K78</f>
        <v>225170.62908322332</v>
      </c>
      <c r="P28" s="119">
        <f>Workings_risks!L78</f>
        <v>233541.4643277193</v>
      </c>
      <c r="Q28" s="119">
        <f>Workings_risks!M78</f>
        <v>15913.39184002066</v>
      </c>
      <c r="R28" s="119">
        <f>Workings_risks!N78</f>
        <v>16123.770622787839</v>
      </c>
      <c r="S28" s="119">
        <f>Workings_risks!O78</f>
        <v>16354.739830812974</v>
      </c>
      <c r="T28" s="119">
        <f>Workings_risks!P78</f>
        <v>16608.383443415678</v>
      </c>
      <c r="U28" s="119">
        <f>Workings_risks!Q78</f>
        <v>16887.002493576096</v>
      </c>
      <c r="V28" s="119">
        <f>Workings_risks!R78</f>
        <v>17193.138587255191</v>
      </c>
      <c r="W28" s="119">
        <f>Workings_risks!S78</f>
        <v>17529.600196038238</v>
      </c>
      <c r="X28" s="119">
        <f>Workings_risks!T78</f>
        <v>17899.49211912719</v>
      </c>
      <c r="Y28" s="119">
        <f>Workings_risks!U78</f>
        <v>18306.248588470542</v>
      </c>
      <c r="Z28" s="119">
        <f>Workings_risks!V78</f>
        <v>18753.670589400317</v>
      </c>
      <c r="AA28" s="119">
        <f>Workings_risks!W78</f>
        <v>19245.968095189106</v>
      </c>
      <c r="AB28" s="119">
        <f>Workings_risks!X78</f>
        <v>19787.808076364698</v>
      </c>
      <c r="AC28" s="119">
        <f>Workings_risks!Y78</f>
        <v>20389.326001816778</v>
      </c>
      <c r="AD28" s="119">
        <f>Workings_risks!Z78</f>
        <v>21056.169872946783</v>
      </c>
      <c r="AE28" s="119">
        <f>Workings_risks!AA78</f>
        <v>21789.723542399941</v>
      </c>
      <c r="AF28" s="119">
        <f>Workings_risks!AB78</f>
        <v>22600.937308988989</v>
      </c>
      <c r="AG28" s="119">
        <f>Workings_risks!AC78</f>
        <v>23499.436337456078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362" t="str">
        <f>Workings_risks!D53</f>
        <v>Safety risk</v>
      </c>
      <c r="D30" s="204" t="s">
        <v>208</v>
      </c>
      <c r="G30" s="206">
        <f>input_dollars</f>
        <v>45291</v>
      </c>
      <c r="H30" s="148"/>
      <c r="I30" s="32">
        <f>Workings_risks!E79</f>
        <v>1803.6078964259273</v>
      </c>
      <c r="J30" s="32">
        <f>Workings_risks!F79</f>
        <v>1981.225234662772</v>
      </c>
      <c r="K30" s="32">
        <f>Workings_risks!G79</f>
        <v>2196.3814172929101</v>
      </c>
      <c r="L30" s="32">
        <f>Workings_risks!H79</f>
        <v>1484.1717903854969</v>
      </c>
      <c r="M30" s="32">
        <f>Workings_risks!I79</f>
        <v>1551.1178298603911</v>
      </c>
      <c r="N30" s="32">
        <f>Workings_risks!J79</f>
        <v>1626.7366188221117</v>
      </c>
      <c r="O30" s="32">
        <f>Workings_risks!K79</f>
        <v>1713.8831678682395</v>
      </c>
      <c r="P30" s="32">
        <f>Workings_risks!L79</f>
        <v>1816.6409262911843</v>
      </c>
      <c r="Q30" s="32">
        <f>Workings_risks!M79</f>
        <v>1518.6664708597161</v>
      </c>
      <c r="R30" s="32">
        <f>Workings_risks!N79</f>
        <v>1657.8934180893084</v>
      </c>
      <c r="S30" s="32">
        <f>Workings_risks!O79</f>
        <v>1822.1638329238765</v>
      </c>
      <c r="T30" s="32">
        <f>Workings_risks!P79</f>
        <v>2017.9015114545</v>
      </c>
      <c r="U30" s="32">
        <f>Workings_risks!Q79</f>
        <v>2253.5483410343909</v>
      </c>
      <c r="V30" s="32">
        <f>Workings_risks!R79</f>
        <v>2540.2537018919143</v>
      </c>
      <c r="W30" s="32">
        <f>Workings_risks!S79</f>
        <v>2892.8070341732468</v>
      </c>
      <c r="X30" s="32">
        <f>Workings_risks!T79</f>
        <v>3330.9005018608655</v>
      </c>
      <c r="Y30" s="32">
        <f>Workings_risks!U79</f>
        <v>3880.8399765737663</v>
      </c>
      <c r="Z30" s="32">
        <f>Workings_risks!V79</f>
        <v>4577.8651677265298</v>
      </c>
      <c r="AA30" s="32">
        <f>Workings_risks!W79</f>
        <v>5469.29774305916</v>
      </c>
      <c r="AB30" s="32">
        <f>Workings_risks!X79</f>
        <v>6618.8153087659912</v>
      </c>
      <c r="AC30" s="32">
        <f>Workings_risks!Y79</f>
        <v>8181.6599424452488</v>
      </c>
      <c r="AD30" s="32">
        <f>Workings_risks!Z79</f>
        <v>10272.240509782927</v>
      </c>
      <c r="AE30" s="32">
        <f>Workings_risks!AA79</f>
        <v>11263.79980517498</v>
      </c>
      <c r="AF30" s="32">
        <f>Workings_risks!AB79</f>
        <v>12484.244743233714</v>
      </c>
      <c r="AG30" s="32">
        <f>Workings_risks!AC79</f>
        <v>13586.975108595609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362" t="str">
        <f>Workings_risks!D54</f>
        <v>Unplanned replacement</v>
      </c>
      <c r="D31" s="205"/>
      <c r="E31"/>
      <c r="G31" s="206">
        <f>input_dollars</f>
        <v>45291</v>
      </c>
      <c r="H31" s="148"/>
      <c r="I31" s="32">
        <f>Workings_risks!E80</f>
        <v>59437.891966064541</v>
      </c>
      <c r="J31" s="32">
        <f>Workings_risks!F80</f>
        <v>61885.191171872226</v>
      </c>
      <c r="K31" s="32">
        <f>Workings_risks!G80</f>
        <v>64626.393438480838</v>
      </c>
      <c r="L31" s="32">
        <f>Workings_risks!H80</f>
        <v>49435.839901565872</v>
      </c>
      <c r="M31" s="32">
        <f>Workings_risks!I80</f>
        <v>50845.8306196138</v>
      </c>
      <c r="N31" s="32">
        <f>Workings_risks!J80</f>
        <v>52395.722698310892</v>
      </c>
      <c r="O31" s="32">
        <f>Workings_risks!K80</f>
        <v>54102.055548419179</v>
      </c>
      <c r="P31" s="32">
        <f>Workings_risks!L80</f>
        <v>55984.184743567166</v>
      </c>
      <c r="Q31" s="32">
        <f>Workings_risks!M80</f>
        <v>26457.886113032746</v>
      </c>
      <c r="R31" s="32">
        <f>Workings_risks!N80</f>
        <v>28750.66466783523</v>
      </c>
      <c r="S31" s="32">
        <f>Workings_risks!O80</f>
        <v>31287.043085796049</v>
      </c>
      <c r="T31" s="32">
        <f>Workings_risks!P80</f>
        <v>34098.179775508783</v>
      </c>
      <c r="U31" s="32">
        <f>Workings_risks!Q80</f>
        <v>37220.719790506148</v>
      </c>
      <c r="V31" s="32">
        <f>Workings_risks!R80</f>
        <v>40698.165823073228</v>
      </c>
      <c r="W31" s="32">
        <f>Workings_risks!S80</f>
        <v>44582.675708700859</v>
      </c>
      <c r="X31" s="32">
        <f>Workings_risks!T80</f>
        <v>48937.431936858076</v>
      </c>
      <c r="Y31" s="32">
        <f>Workings_risks!U80</f>
        <v>53839.77996160186</v>
      </c>
      <c r="Z31" s="32">
        <f>Workings_risks!V80</f>
        <v>59385.401708586978</v>
      </c>
      <c r="AA31" s="32">
        <f>Workings_risks!W80</f>
        <v>65693.885148969115</v>
      </c>
      <c r="AB31" s="32">
        <f>Workings_risks!X80</f>
        <v>72916.179082821211</v>
      </c>
      <c r="AC31" s="32">
        <f>Workings_risks!Y80</f>
        <v>81313.238486742513</v>
      </c>
      <c r="AD31" s="32">
        <f>Workings_risks!Z80</f>
        <v>91130.728314918073</v>
      </c>
      <c r="AE31" s="32">
        <f>Workings_risks!AA80</f>
        <v>99396.53923873794</v>
      </c>
      <c r="AF31" s="32">
        <f>Workings_risks!AB80</f>
        <v>108579.58660616653</v>
      </c>
      <c r="AG31" s="32">
        <f>Workings_risks!AC80</f>
        <v>118459.06210290038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362" t="str">
        <f>Workings_risks!D55</f>
        <v>Unplanned fault</v>
      </c>
      <c r="D32" s="204"/>
      <c r="E32"/>
      <c r="G32" s="206">
        <f>input_dollars</f>
        <v>45291</v>
      </c>
      <c r="H32"/>
      <c r="I32" s="32">
        <f>Workings_risks!E81</f>
        <v>431.8</v>
      </c>
      <c r="J32" s="32">
        <f>Workings_risks!F81</f>
        <v>431.8</v>
      </c>
      <c r="K32" s="32">
        <f>Workings_risks!G81</f>
        <v>431.8</v>
      </c>
      <c r="L32" s="32">
        <f>Workings_risks!H81</f>
        <v>431.8</v>
      </c>
      <c r="M32" s="32">
        <f>Workings_risks!I81</f>
        <v>431.8</v>
      </c>
      <c r="N32" s="32">
        <f>Workings_risks!J81</f>
        <v>431.8</v>
      </c>
      <c r="O32" s="32">
        <f>Workings_risks!K81</f>
        <v>431.8</v>
      </c>
      <c r="P32" s="32">
        <f>Workings_risks!L81</f>
        <v>431.8</v>
      </c>
      <c r="Q32" s="32">
        <f>Workings_risks!M81</f>
        <v>50.79999999999999</v>
      </c>
      <c r="R32" s="32">
        <f>Workings_risks!N81</f>
        <v>50.79999999999999</v>
      </c>
      <c r="S32" s="32">
        <f>Workings_risks!O81</f>
        <v>50.79999999999999</v>
      </c>
      <c r="T32" s="32">
        <f>Workings_risks!P81</f>
        <v>50.79999999999999</v>
      </c>
      <c r="U32" s="32">
        <f>Workings_risks!Q81</f>
        <v>50.79999999999999</v>
      </c>
      <c r="V32" s="32">
        <f>Workings_risks!R81</f>
        <v>50.79999999999999</v>
      </c>
      <c r="W32" s="32">
        <f>Workings_risks!S81</f>
        <v>50.79999999999999</v>
      </c>
      <c r="X32" s="32">
        <f>Workings_risks!T81</f>
        <v>50.79999999999999</v>
      </c>
      <c r="Y32" s="32">
        <f>Workings_risks!U81</f>
        <v>50.79999999999999</v>
      </c>
      <c r="Z32" s="32">
        <f>Workings_risks!V81</f>
        <v>50.79999999999999</v>
      </c>
      <c r="AA32" s="32">
        <f>Workings_risks!W81</f>
        <v>50.79999999999999</v>
      </c>
      <c r="AB32" s="32">
        <f>Workings_risks!X81</f>
        <v>50.79999999999999</v>
      </c>
      <c r="AC32" s="32">
        <f>Workings_risks!Y81</f>
        <v>50.79999999999999</v>
      </c>
      <c r="AD32" s="32">
        <f>Workings_risks!Z81</f>
        <v>50.79999999999999</v>
      </c>
      <c r="AE32" s="32">
        <f>Workings_risks!AA81</f>
        <v>50.79999999999999</v>
      </c>
      <c r="AF32" s="32">
        <f>Workings_risks!AB81</f>
        <v>50.79999999999999</v>
      </c>
      <c r="AG32" s="32">
        <f>Workings_risks!AC81</f>
        <v>50.79999999999999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62" t="str">
        <f>Workings_risks!D56</f>
        <v>Environmental risk</v>
      </c>
      <c r="D33" s="218"/>
      <c r="E33"/>
      <c r="G33" s="206">
        <f>input_dollars</f>
        <v>45291</v>
      </c>
      <c r="H33"/>
      <c r="I33" s="32">
        <f>Workings_risks!E82</f>
        <v>142.04786429366874</v>
      </c>
      <c r="J33" s="32">
        <f>Workings_risks!F82</f>
        <v>162.05688977686194</v>
      </c>
      <c r="K33" s="32">
        <f>Workings_risks!G82</f>
        <v>186.60488911690064</v>
      </c>
      <c r="L33" s="32">
        <f>Workings_risks!H82</f>
        <v>122.83774064103434</v>
      </c>
      <c r="M33" s="32">
        <f>Workings_risks!I82</f>
        <v>130.24343850278612</v>
      </c>
      <c r="N33" s="32">
        <f>Workings_risks!J82</f>
        <v>138.6759740958957</v>
      </c>
      <c r="O33" s="32">
        <f>Workings_risks!K82</f>
        <v>148.51821002388198</v>
      </c>
      <c r="P33" s="32">
        <f>Workings_risks!L82</f>
        <v>160.32414922321337</v>
      </c>
      <c r="Q33" s="32">
        <f>Workings_risks!M82</f>
        <v>174.17296686042167</v>
      </c>
      <c r="R33" s="32">
        <f>Workings_risks!N82</f>
        <v>190.57206625740201</v>
      </c>
      <c r="S33" s="32">
        <f>Workings_risks!O82</f>
        <v>210.18539585190723</v>
      </c>
      <c r="T33" s="32">
        <f>Workings_risks!P82</f>
        <v>233.88643875946369</v>
      </c>
      <c r="U33" s="32">
        <f>Workings_risks!Q82</f>
        <v>262.8297988659786</v>
      </c>
      <c r="V33" s="32">
        <f>Workings_risks!R82</f>
        <v>298.5480107575662</v>
      </c>
      <c r="W33" s="32">
        <f>Workings_risks!S82</f>
        <v>343.08258105590016</v>
      </c>
      <c r="X33" s="32">
        <f>Workings_risks!T82</f>
        <v>399.1615079862641</v>
      </c>
      <c r="Y33" s="32">
        <f>Workings_risks!U82</f>
        <v>470.43993532654861</v>
      </c>
      <c r="Z33" s="32">
        <f>Workings_risks!V82</f>
        <v>561.82660028966109</v>
      </c>
      <c r="AA33" s="32">
        <f>Workings_risks!W82</f>
        <v>679.92691047143285</v>
      </c>
      <c r="AB33" s="32">
        <f>Workings_risks!X82</f>
        <v>833.64462102911079</v>
      </c>
      <c r="AC33" s="32">
        <f>Workings_risks!Y82</f>
        <v>1044.7723055063409</v>
      </c>
      <c r="AD33" s="32">
        <f>Workings_risks!Z82</f>
        <v>1329.3477767818699</v>
      </c>
      <c r="AE33" s="32">
        <f>Workings_risks!AA82</f>
        <v>1458.0439763198535</v>
      </c>
      <c r="AF33" s="32">
        <f>Workings_risks!AB82</f>
        <v>1617.8796211570836</v>
      </c>
      <c r="AG33" s="32">
        <f>Workings_risks!AC82</f>
        <v>1759.8816525302157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64">
        <v>0</v>
      </c>
      <c r="J34" s="364">
        <v>0</v>
      </c>
      <c r="K34" s="364">
        <v>0</v>
      </c>
      <c r="L34" s="364">
        <v>0</v>
      </c>
      <c r="M34" s="364">
        <v>0</v>
      </c>
      <c r="N34" s="364">
        <v>0</v>
      </c>
      <c r="O34" s="364">
        <v>0</v>
      </c>
      <c r="P34" s="364">
        <v>0</v>
      </c>
      <c r="Q34" s="364">
        <v>0</v>
      </c>
      <c r="R34" s="364">
        <v>0</v>
      </c>
      <c r="S34" s="364">
        <v>0</v>
      </c>
      <c r="T34" s="364">
        <v>0</v>
      </c>
      <c r="U34" s="364">
        <v>0</v>
      </c>
      <c r="V34" s="364">
        <v>0</v>
      </c>
      <c r="W34" s="364">
        <v>0</v>
      </c>
      <c r="X34" s="364">
        <v>0</v>
      </c>
      <c r="Y34" s="364">
        <v>0</v>
      </c>
      <c r="Z34" s="364">
        <v>0</v>
      </c>
      <c r="AA34" s="364">
        <v>0</v>
      </c>
      <c r="AB34" s="364">
        <v>0</v>
      </c>
      <c r="AC34" s="364">
        <v>0</v>
      </c>
      <c r="AD34" s="364">
        <v>0</v>
      </c>
      <c r="AE34" s="364">
        <v>0</v>
      </c>
      <c r="AF34" s="364">
        <v>0</v>
      </c>
      <c r="AG34" s="364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7"/>
      <c r="F36" s="3"/>
      <c r="G36" s="208"/>
      <c r="H36" s="107"/>
      <c r="I36" s="169">
        <f>SUM(I28:I34)</f>
        <v>267232.63424955198</v>
      </c>
      <c r="J36" s="169">
        <f t="shared" ref="J36:AB36" si="2">SUM(J28:J34)</f>
        <v>274938.35448665352</v>
      </c>
      <c r="K36" s="169">
        <f t="shared" si="2"/>
        <v>288027.19096824422</v>
      </c>
      <c r="L36" s="169">
        <f t="shared" si="2"/>
        <v>262978.02500893542</v>
      </c>
      <c r="M36" s="169">
        <f t="shared" si="2"/>
        <v>266287.28980006644</v>
      </c>
      <c r="N36" s="169">
        <f t="shared" si="2"/>
        <v>271535.24938291026</v>
      </c>
      <c r="O36" s="169">
        <f t="shared" si="2"/>
        <v>281566.88600953459</v>
      </c>
      <c r="P36" s="169">
        <f t="shared" si="2"/>
        <v>291934.41414680087</v>
      </c>
      <c r="Q36" s="169">
        <f t="shared" si="2"/>
        <v>44114.917390773553</v>
      </c>
      <c r="R36" s="169">
        <f t="shared" si="2"/>
        <v>46773.70077496978</v>
      </c>
      <c r="S36" s="169">
        <f t="shared" si="2"/>
        <v>49724.93214538481</v>
      </c>
      <c r="T36" s="169">
        <f t="shared" si="2"/>
        <v>53009.151169138429</v>
      </c>
      <c r="U36" s="169">
        <f t="shared" si="2"/>
        <v>56674.900423982617</v>
      </c>
      <c r="V36" s="169">
        <f t="shared" si="2"/>
        <v>60780.906122977896</v>
      </c>
      <c r="W36" s="169">
        <f t="shared" si="2"/>
        <v>65398.965519968246</v>
      </c>
      <c r="X36" s="169">
        <f t="shared" si="2"/>
        <v>70617.786065832406</v>
      </c>
      <c r="Y36" s="169">
        <f t="shared" si="2"/>
        <v>76548.108461972719</v>
      </c>
      <c r="Z36" s="169">
        <f t="shared" si="2"/>
        <v>83329.564066003484</v>
      </c>
      <c r="AA36" s="169">
        <f t="shared" si="2"/>
        <v>91139.877897688813</v>
      </c>
      <c r="AB36" s="169">
        <f t="shared" si="2"/>
        <v>100207.24708898102</v>
      </c>
      <c r="AC36" s="169">
        <f>SUM(AC28:AC34)</f>
        <v>110979.79673651089</v>
      </c>
      <c r="AD36" s="169">
        <f>SUM(AD28:AD34)</f>
        <v>123839.28647442965</v>
      </c>
      <c r="AE36" s="169">
        <f>SUM(AE28:AE34)</f>
        <v>133958.90656263271</v>
      </c>
      <c r="AF36" s="169">
        <f>SUM(AF28:AF34)</f>
        <v>145333.44827954628</v>
      </c>
      <c r="AG36" s="169">
        <f>SUM(AG28:AG34)</f>
        <v>157356.1552014823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4" t="s">
        <v>63</v>
      </c>
      <c r="E46" s="113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4" t="s">
        <v>206</v>
      </c>
      <c r="E49" s="112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4" t="s">
        <v>206</v>
      </c>
      <c r="E50" s="112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313</v>
      </c>
      <c r="D54" s="204"/>
      <c r="G54" s="206">
        <f>input_dollars</f>
        <v>45291</v>
      </c>
      <c r="I54" s="364">
        <f>Workings_costs!E47</f>
        <v>0</v>
      </c>
      <c r="J54" s="364">
        <f>Workings_costs!F47</f>
        <v>0</v>
      </c>
      <c r="K54" s="364">
        <f>Workings_costs!G47</f>
        <v>0</v>
      </c>
      <c r="L54" s="364">
        <f>Workings_costs!H47</f>
        <v>0</v>
      </c>
      <c r="M54" s="364">
        <f>Workings_costs!I47</f>
        <v>0</v>
      </c>
      <c r="N54" s="364">
        <f>Workings_costs!J47</f>
        <v>0</v>
      </c>
      <c r="O54" s="364">
        <f>Workings_costs!K47</f>
        <v>0</v>
      </c>
      <c r="P54" s="364">
        <f>Workings_costs!L47</f>
        <v>0</v>
      </c>
      <c r="Q54" s="364">
        <f>Workings_costs!M47</f>
        <v>50000</v>
      </c>
      <c r="R54" s="364">
        <f>Workings_costs!N47</f>
        <v>50000</v>
      </c>
      <c r="S54" s="364">
        <f>Workings_costs!O47</f>
        <v>50000</v>
      </c>
      <c r="T54" s="364">
        <f>Workings_costs!P47</f>
        <v>50000</v>
      </c>
      <c r="U54" s="364">
        <f>Workings_costs!Q47</f>
        <v>50000</v>
      </c>
      <c r="V54" s="364">
        <f>Workings_costs!R47</f>
        <v>50000</v>
      </c>
      <c r="W54" s="364">
        <f>Workings_costs!S47</f>
        <v>50000</v>
      </c>
      <c r="X54" s="364">
        <f>Workings_costs!T47</f>
        <v>50000</v>
      </c>
      <c r="Y54" s="364">
        <f>Workings_costs!U47</f>
        <v>50000</v>
      </c>
      <c r="Z54" s="364">
        <f>Workings_costs!V47</f>
        <v>50000</v>
      </c>
      <c r="AA54" s="364">
        <f>Workings_costs!W47</f>
        <v>50000</v>
      </c>
      <c r="AB54" s="364">
        <f>Workings_costs!X47</f>
        <v>50000</v>
      </c>
      <c r="AC54" s="364">
        <f>Workings_costs!Y47</f>
        <v>50000</v>
      </c>
      <c r="AD54" s="364">
        <f>Workings_costs!Z47</f>
        <v>50000</v>
      </c>
      <c r="AE54" s="364">
        <f>Workings_costs!AA47</f>
        <v>50000</v>
      </c>
      <c r="AF54" s="364">
        <f>Workings_costs!AB47</f>
        <v>50000</v>
      </c>
      <c r="AG54" s="364">
        <f>Workings_costs!AC47</f>
        <v>50000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50000</v>
      </c>
      <c r="R57" s="169" cm="1">
        <f t="array" ref="R57">SUMPRODUCT((R$45:R$52)*($E$45:$E$52))+SUM(R54:R55)+R42</f>
        <v>50000</v>
      </c>
      <c r="S57" s="169" cm="1">
        <f t="array" ref="S57">SUMPRODUCT((S$45:S$52)*($E$45:$E$52))+SUM(S54:S55)+S42</f>
        <v>50000</v>
      </c>
      <c r="T57" s="169" cm="1">
        <f t="array" ref="T57">SUMPRODUCT((T$45:T$52)*($E$45:$E$52))+SUM(T54:T55)+T42</f>
        <v>50000</v>
      </c>
      <c r="U57" s="169" cm="1">
        <f t="array" ref="U57">SUMPRODUCT((U$45:U$52)*($E$45:$E$52))+SUM(U54:U55)+U42</f>
        <v>50000</v>
      </c>
      <c r="V57" s="169" cm="1">
        <f t="array" ref="V57">SUMPRODUCT((V$45:V$52)*($E$45:$E$52))+SUM(V54:V55)+V42</f>
        <v>50000</v>
      </c>
      <c r="W57" s="169" cm="1">
        <f t="array" ref="W57">SUMPRODUCT((W$45:W$52)*($E$45:$E$52))+SUM(W54:W55)+W42</f>
        <v>50000</v>
      </c>
      <c r="X57" s="169" cm="1">
        <f t="array" ref="X57">SUMPRODUCT((X$45:X$52)*($E$45:$E$52))+SUM(X54:X55)+X42</f>
        <v>50000</v>
      </c>
      <c r="Y57" s="169" cm="1">
        <f t="array" ref="Y57">SUMPRODUCT((Y$45:Y$52)*($E$45:$E$52))+SUM(Y54:Y55)+Y42</f>
        <v>50000</v>
      </c>
      <c r="Z57" s="169" cm="1">
        <f t="array" ref="Z57">SUMPRODUCT((Z$45:Z$52)*($E$45:$E$52))+SUM(Z54:Z55)+Z42</f>
        <v>50000</v>
      </c>
      <c r="AA57" s="169" cm="1">
        <f t="array" ref="AA57">SUMPRODUCT((AA$45:AA$52)*($E$45:$E$52))+SUM(AA54:AA55)+AA42</f>
        <v>50000</v>
      </c>
      <c r="AB57" s="169" cm="1">
        <f t="array" ref="AB57">SUMPRODUCT((AB$45:AB$52)*($E$45:$E$52))+SUM(AB54:AB55)+AB42</f>
        <v>50000</v>
      </c>
      <c r="AC57" s="169" cm="1">
        <f t="array" ref="AC57">SUMPRODUCT((AC$45:AC$52)*($E$45:$E$52))+SUM(AC54:AC55)+AC42</f>
        <v>50000</v>
      </c>
      <c r="AD57" s="169" cm="1">
        <f t="array" ref="AD57">SUMPRODUCT((AD$45:AD$52)*($E$45:$E$52))+SUM(AD54:AD55)+AD42</f>
        <v>50000</v>
      </c>
      <c r="AE57" s="169" cm="1">
        <f t="array" ref="AE57">SUMPRODUCT((AE$45:AE$52)*($E$45:$E$52))+SUM(AE54:AE55)+AE42</f>
        <v>50000</v>
      </c>
      <c r="AF57" s="169" cm="1">
        <f t="array" ref="AF57">SUMPRODUCT((AF$45:AF$52)*($E$45:$E$52))+SUM(AF54:AF55)+AF42</f>
        <v>50000</v>
      </c>
      <c r="AG57" s="169" cm="1">
        <f t="array" ref="AG57">SUMPRODUCT((AG$45:AG$52)*($E$45:$E$52))+SUM(AG54:AG55)+AG42</f>
        <v>50000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37182.238777206745</v>
      </c>
      <c r="M64" s="132">
        <f>(1-INDEX(Data!$C$9:$C$13, MATCH($A$3, options,0)))*('Option1 (base case)'!M36-M36)</f>
        <v>42096.029517226212</v>
      </c>
      <c r="N64" s="132">
        <f>(1-INDEX(Data!$C$9:$C$13, MATCH($A$3, options,0)))*('Option1 (base case)'!N36-N36)</f>
        <v>48009.612411184644</v>
      </c>
      <c r="O64" s="132">
        <f>(1-INDEX(Data!$C$9:$C$13, MATCH($A$3, options,0)))*('Option1 (base case)'!O36-O36)</f>
        <v>55199.684341880784</v>
      </c>
      <c r="P64" s="132">
        <f>(1-INDEX(Data!$C$9:$C$13, MATCH($A$3, options,0)))*('Option1 (base case)'!P36-P36)</f>
        <v>64061.694305008161</v>
      </c>
      <c r="Q64" s="132">
        <f>(1-INDEX(Data!$C$9:$C$13, MATCH($A$3, options,0)))*('Option1 (base case)'!Q36-Q36)</f>
        <v>327958.5968049271</v>
      </c>
      <c r="R64" s="132">
        <f>(1-INDEX(Data!$C$9:$C$13, MATCH($A$3, options,0)))*('Option1 (base case)'!R36-R36)</f>
        <v>341787.77540613891</v>
      </c>
      <c r="S64" s="132">
        <f>(1-INDEX(Data!$C$9:$C$13, MATCH($A$3, options,0)))*('Option1 (base case)'!S36-S36)</f>
        <v>359299.76882326696</v>
      </c>
      <c r="T64" s="132">
        <f>(1-INDEX(Data!$C$9:$C$13, MATCH($A$3, options,0)))*('Option1 (base case)'!T36-T36)</f>
        <v>381662.98123105423</v>
      </c>
      <c r="U64" s="132">
        <f>(1-INDEX(Data!$C$9:$C$13, MATCH($A$3, options,0)))*('Option1 (base case)'!U36-U36)</f>
        <v>410441.21309748059</v>
      </c>
      <c r="V64" s="132">
        <f>(1-INDEX(Data!$C$9:$C$13, MATCH($A$3, options,0)))*('Option1 (base case)'!V36-V36)</f>
        <v>447736.25832084526</v>
      </c>
      <c r="W64" s="132">
        <f>(1-INDEX(Data!$C$9:$C$13, MATCH($A$3, options,0)))*('Option1 (base case)'!W36-W36)</f>
        <v>496371.8950476264</v>
      </c>
      <c r="X64" s="132">
        <f>(1-INDEX(Data!$C$9:$C$13, MATCH($A$3, options,0)))*('Option1 (base case)'!X36-X36)</f>
        <v>560146.33776046301</v>
      </c>
      <c r="Y64" s="132">
        <f>(1-INDEX(Data!$C$9:$C$13, MATCH($A$3, options,0)))*('Option1 (base case)'!Y36-Y36)</f>
        <v>644173.66197342123</v>
      </c>
      <c r="Z64" s="132">
        <f>(1-INDEX(Data!$C$9:$C$13, MATCH($A$3, options,0)))*('Option1 (base case)'!Z36-Z36)</f>
        <v>755345.69228084432</v>
      </c>
      <c r="AA64" s="132">
        <f>(1-INDEX(Data!$C$9:$C$13, MATCH($A$3, options,0)))*('Option1 (base case)'!AA36-AA36)</f>
        <v>781036.09258234175</v>
      </c>
      <c r="AB64" s="132">
        <f>(1-INDEX(Data!$C$9:$C$13, MATCH($A$3, options,0)))*('Option1 (base case)'!AB36-AB36)</f>
        <v>808951.25290056842</v>
      </c>
      <c r="AC64" s="132">
        <f>(1-INDEX(Data!$C$9:$C$13, MATCH($A$3, options,0)))*('Option1 (base case)'!AC36-AC36)</f>
        <v>819931.30046707799</v>
      </c>
      <c r="AD64" s="132">
        <f>(1-INDEX(Data!$C$9:$C$13, MATCH($A$3, options,0)))*('Option1 (base case)'!AD36-AD36)</f>
        <v>827903.70043098286</v>
      </c>
      <c r="AE64" s="132">
        <f>(1-INDEX(Data!$C$9:$C$13, MATCH($A$3, options,0)))*('Option1 (base case)'!AE36-AE36)</f>
        <v>840975.47486447566</v>
      </c>
      <c r="AF64" s="132">
        <f>(1-INDEX(Data!$C$9:$C$13, MATCH($A$3, options,0)))*('Option1 (base case)'!AF36-AF36)</f>
        <v>855495.0174793331</v>
      </c>
      <c r="AG64" s="132">
        <f>(1-INDEX(Data!$C$9:$C$13, MATCH($A$3, options,0)))*('Option1 (base case)'!AG36-AG36)</f>
        <v>872483.99848947977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Switchboard</v>
      </c>
      <c r="D67" s="38"/>
      <c r="F67" s="97"/>
      <c r="G67" s="209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-3862491.2629787237</v>
      </c>
      <c r="P67" s="119">
        <f t="shared" si="4"/>
        <v>-1931245.6314893619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 t="str">
        <f>C15</f>
        <v>Relays</v>
      </c>
      <c r="D68" s="38"/>
      <c r="F68" s="97"/>
      <c r="G68" s="209">
        <f>input_dollars</f>
        <v>45291</v>
      </c>
      <c r="H68" s="31"/>
      <c r="I68" s="119">
        <f t="shared" ref="I68:AG68" si="5">-I15</f>
        <v>0</v>
      </c>
      <c r="J68" s="119">
        <f t="shared" si="5"/>
        <v>-1931245.6314893619</v>
      </c>
      <c r="K68" s="119">
        <f t="shared" si="5"/>
        <v>-965622.81574468093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6" t="s">
        <v>156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Switchboard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-3862491.2629787237</v>
      </c>
      <c r="P72" s="119" cm="1">
        <f t="array" ref="P72">SUMPRODUCT(($I67:P67))-SUMPRODUCT(($I67:P67)*($I$6:P$6&lt;=(P$6-$E14)))</f>
        <v>-5793736.8944680858</v>
      </c>
      <c r="Q72" s="119" cm="1">
        <f t="array" ref="Q72">SUMPRODUCT(($I67:Q67))-SUMPRODUCT(($I67:Q67)*($I$6:Q$6&lt;=(Q$6-$E14)))</f>
        <v>-5793736.8944680858</v>
      </c>
      <c r="R72" s="119" cm="1">
        <f t="array" ref="R72">SUMPRODUCT(($I67:R67))-SUMPRODUCT(($I67:R67)*($I$6:R$6&lt;=(R$6-$E14)))</f>
        <v>-5793736.8944680858</v>
      </c>
      <c r="S72" s="119" cm="1">
        <f t="array" ref="S72">SUMPRODUCT(($I67:S67))-SUMPRODUCT(($I67:S67)*($I$6:S$6&lt;=(S$6-$E14)))</f>
        <v>-5793736.8944680858</v>
      </c>
      <c r="T72" s="119" cm="1">
        <f t="array" ref="T72">SUMPRODUCT(($I67:T67))-SUMPRODUCT(($I67:T67)*($I$6:T$6&lt;=(T$6-$E14)))</f>
        <v>-5793736.8944680858</v>
      </c>
      <c r="U72" s="119" cm="1">
        <f t="array" ref="U72">SUMPRODUCT(($I67:U67))-SUMPRODUCT(($I67:U67)*($I$6:U$6&lt;=(U$6-$E14)))</f>
        <v>-5793736.8944680858</v>
      </c>
      <c r="V72" s="119" cm="1">
        <f t="array" ref="V72">SUMPRODUCT(($I67:V67))-SUMPRODUCT(($I67:V67)*($I$6:V$6&lt;=(V$6-$E14)))</f>
        <v>-5793736.8944680858</v>
      </c>
      <c r="W72" s="119" cm="1">
        <f t="array" ref="W72">SUMPRODUCT(($I67:W67))-SUMPRODUCT(($I67:W67)*($I$6:W$6&lt;=(W$6-$E14)))</f>
        <v>-5793736.8944680858</v>
      </c>
      <c r="X72" s="119" cm="1">
        <f t="array" ref="X72">SUMPRODUCT(($I67:X67))-SUMPRODUCT(($I67:X67)*($I$6:X$6&lt;=(X$6-$E14)))</f>
        <v>-5793736.8944680858</v>
      </c>
      <c r="Y72" s="119" cm="1">
        <f t="array" ref="Y72">SUMPRODUCT(($I67:Y67))-SUMPRODUCT(($I67:Y67)*($I$6:Y$6&lt;=(Y$6-$E14)))</f>
        <v>-5793736.8944680858</v>
      </c>
      <c r="Z72" s="119" cm="1">
        <f t="array" ref="Z72">SUMPRODUCT(($I67:Z67))-SUMPRODUCT(($I67:Z67)*($I$6:Z$6&lt;=(Z$6-$E14)))</f>
        <v>-5793736.8944680858</v>
      </c>
      <c r="AA72" s="119" cm="1">
        <f t="array" ref="AA72">SUMPRODUCT(($I67:AA67))-SUMPRODUCT(($I67:AA67)*($I$6:AA$6&lt;=(AA$6-$E14)))</f>
        <v>-5793736.8944680858</v>
      </c>
      <c r="AB72" s="119" cm="1">
        <f t="array" ref="AB72">SUMPRODUCT(($I67:AB67))-SUMPRODUCT(($I67:AB67)*($I$6:AB$6&lt;=(AB$6-$E14)))</f>
        <v>-5793736.8944680858</v>
      </c>
      <c r="AC72" s="119" cm="1">
        <f t="array" ref="AC72">SUMPRODUCT(($I67:AC67))-SUMPRODUCT(($I67:AC67)*($I$6:AC$6&lt;=(AC$6-$E14)))</f>
        <v>-5793736.8944680858</v>
      </c>
      <c r="AD72" s="119" cm="1">
        <f t="array" ref="AD72">SUMPRODUCT(($I67:AD67))-SUMPRODUCT(($I67:AD67)*($I$6:AD$6&lt;=(AD$6-$E14)))</f>
        <v>-5793736.8944680858</v>
      </c>
      <c r="AE72" s="119" cm="1">
        <f t="array" ref="AE72">SUMPRODUCT(($I67:AE67))-SUMPRODUCT(($I67:AE67)*($I$6:AE$6&lt;=(AE$6-$E14)))</f>
        <v>-5793736.8944680858</v>
      </c>
      <c r="AF72" s="119" cm="1">
        <f t="array" ref="AF72">SUMPRODUCT(($I67:AF67))-SUMPRODUCT(($I67:AF67)*($I$6:AF$6&lt;=(AF$6-$E14)))</f>
        <v>-5793736.8944680858</v>
      </c>
      <c r="AG72" s="119" cm="1">
        <f t="array" ref="AG72">SUMPRODUCT(($I67:AG67))-SUMPRODUCT(($I67:AG67)*($I$6:AG$6&lt;=(AG$6-$E14)))</f>
        <v>-5793736.8944680858</v>
      </c>
      <c r="AH72"/>
    </row>
    <row r="73" spans="1:34" x14ac:dyDescent="0.2">
      <c r="A73" s="8"/>
      <c r="B73" s="8"/>
      <c r="C73" s="4" t="str">
        <f>C15</f>
        <v>Relays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-1931245.6314893619</v>
      </c>
      <c r="K73" s="119" cm="1">
        <f t="array" ref="K73">SUMPRODUCT(($I68:K68))-SUMPRODUCT(($I68:K68)*($I$6:K$6&lt;=(K$6-$E15)))</f>
        <v>-2896868.4472340429</v>
      </c>
      <c r="L73" s="119" cm="1">
        <f t="array" ref="L73">SUMPRODUCT(($I68:L68))-SUMPRODUCT(($I68:L68)*($I$6:L$6&lt;=(L$6-$E15)))</f>
        <v>-2896868.4472340429</v>
      </c>
      <c r="M73" s="119" cm="1">
        <f t="array" ref="M73">SUMPRODUCT(($I68:M68))-SUMPRODUCT(($I68:M68)*($I$6:M$6&lt;=(M$6-$E15)))</f>
        <v>-2896868.4472340429</v>
      </c>
      <c r="N73" s="119" cm="1">
        <f t="array" ref="N73">SUMPRODUCT(($I68:N68))-SUMPRODUCT(($I68:N68)*($I$6:N$6&lt;=(N$6-$E15)))</f>
        <v>-2896868.4472340429</v>
      </c>
      <c r="O73" s="119" cm="1">
        <f t="array" ref="O73">SUMPRODUCT(($I68:O68))-SUMPRODUCT(($I68:O68)*($I$6:O$6&lt;=(O$6-$E15)))</f>
        <v>-2896868.4472340429</v>
      </c>
      <c r="P73" s="119" cm="1">
        <f t="array" ref="P73">SUMPRODUCT(($I68:P68))-SUMPRODUCT(($I68:P68)*($I$6:P$6&lt;=(P$6-$E15)))</f>
        <v>-2896868.4472340429</v>
      </c>
      <c r="Q73" s="119" cm="1">
        <f t="array" ref="Q73">SUMPRODUCT(($I68:Q68))-SUMPRODUCT(($I68:Q68)*($I$6:Q$6&lt;=(Q$6-$E15)))</f>
        <v>-2896868.4472340429</v>
      </c>
      <c r="R73" s="119" cm="1">
        <f t="array" ref="R73">SUMPRODUCT(($I68:R68))-SUMPRODUCT(($I68:R68)*($I$6:R$6&lt;=(R$6-$E15)))</f>
        <v>-2896868.4472340429</v>
      </c>
      <c r="S73" s="119" cm="1">
        <f t="array" ref="S73">SUMPRODUCT(($I68:S68))-SUMPRODUCT(($I68:S68)*($I$6:S$6&lt;=(S$6-$E15)))</f>
        <v>-2896868.4472340429</v>
      </c>
      <c r="T73" s="119" cm="1">
        <f t="array" ref="T73">SUMPRODUCT(($I68:T68))-SUMPRODUCT(($I68:T68)*($I$6:T$6&lt;=(T$6-$E15)))</f>
        <v>-2896868.4472340429</v>
      </c>
      <c r="U73" s="119" cm="1">
        <f t="array" ref="U73">SUMPRODUCT(($I68:U68))-SUMPRODUCT(($I68:U68)*($I$6:U$6&lt;=(U$6-$E15)))</f>
        <v>-2896868.4472340429</v>
      </c>
      <c r="V73" s="119" cm="1">
        <f t="array" ref="V73">SUMPRODUCT(($I68:V68))-SUMPRODUCT(($I68:V68)*($I$6:V$6&lt;=(V$6-$E15)))</f>
        <v>-2896868.4472340429</v>
      </c>
      <c r="W73" s="119" cm="1">
        <f t="array" ref="W73">SUMPRODUCT(($I68:W68))-SUMPRODUCT(($I68:W68)*($I$6:W$6&lt;=(W$6-$E15)))</f>
        <v>-2896868.4472340429</v>
      </c>
      <c r="X73" s="119" cm="1">
        <f t="array" ref="X73">SUMPRODUCT(($I68:X68))-SUMPRODUCT(($I68:X68)*($I$6:X$6&lt;=(X$6-$E15)))</f>
        <v>-2896868.4472340429</v>
      </c>
      <c r="Y73" s="119" cm="1">
        <f t="array" ref="Y73">SUMPRODUCT(($I68:Y68))-SUMPRODUCT(($I68:Y68)*($I$6:Y$6&lt;=(Y$6-$E15)))</f>
        <v>-2896868.4472340429</v>
      </c>
      <c r="Z73" s="119" cm="1">
        <f t="array" ref="Z73">SUMPRODUCT(($I68:Z68))-SUMPRODUCT(($I68:Z68)*($I$6:Z$6&lt;=(Z$6-$E15)))</f>
        <v>-2896868.4472340429</v>
      </c>
      <c r="AA73" s="119" cm="1">
        <f t="array" ref="AA73">SUMPRODUCT(($I68:AA68))-SUMPRODUCT(($I68:AA68)*($I$6:AA$6&lt;=(AA$6-$E15)))</f>
        <v>-2896868.4472340429</v>
      </c>
      <c r="AB73" s="119" cm="1">
        <f t="array" ref="AB73">SUMPRODUCT(($I68:AB68))-SUMPRODUCT(($I68:AB68)*($I$6:AB$6&lt;=(AB$6-$E15)))</f>
        <v>-2896868.4472340429</v>
      </c>
      <c r="AC73" s="119" cm="1">
        <f t="array" ref="AC73">SUMPRODUCT(($I68:AC68))-SUMPRODUCT(($I68:AC68)*($I$6:AC$6&lt;=(AC$6-$E15)))</f>
        <v>-2896868.4472340429</v>
      </c>
      <c r="AD73" s="119" cm="1">
        <f t="array" ref="AD73">SUMPRODUCT(($I68:AD68))-SUMPRODUCT(($I68:AD68)*($I$6:AD$6&lt;=(AD$6-$E15)))</f>
        <v>-2896868.4472340429</v>
      </c>
      <c r="AE73" s="119" cm="1">
        <f t="array" ref="AE73">SUMPRODUCT(($I68:AE68))-SUMPRODUCT(($I68:AE68)*($I$6:AE$6&lt;=(AE$6-$E15)))</f>
        <v>-2896868.4472340429</v>
      </c>
      <c r="AF73" s="119" cm="1">
        <f t="array" ref="AF73">SUMPRODUCT(($I68:AF68))-SUMPRODUCT(($I68:AF68)*($I$6:AF$6&lt;=(AF$6-$E15)))</f>
        <v>-2896868.4472340429</v>
      </c>
      <c r="AG73" s="119" cm="1">
        <f t="array" ref="AG73">SUMPRODUCT(($I68:AG68))-SUMPRODUCT(($I68:AG68)*($I$6:AG$6&lt;=(AG$6-$E15)))</f>
        <v>-2896868.4472340429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6" t="s">
        <v>91</v>
      </c>
      <c r="D76" s="38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Switchboard</v>
      </c>
      <c r="D77" s="38"/>
      <c r="G77" s="209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0</v>
      </c>
      <c r="M77" s="119">
        <f t="shared" si="7"/>
        <v>0</v>
      </c>
      <c r="N77" s="119">
        <f t="shared" si="7"/>
        <v>0</v>
      </c>
      <c r="O77" s="119">
        <f t="shared" si="7"/>
        <v>0</v>
      </c>
      <c r="P77" s="119">
        <f t="shared" si="7"/>
        <v>-164672.330709164</v>
      </c>
      <c r="Q77" s="119">
        <f t="shared" si="7"/>
        <v>-247008.49606374605</v>
      </c>
      <c r="R77" s="119">
        <f t="shared" si="7"/>
        <v>-247008.49606374605</v>
      </c>
      <c r="S77" s="119">
        <f t="shared" si="7"/>
        <v>-247008.49606374605</v>
      </c>
      <c r="T77" s="119">
        <f t="shared" si="7"/>
        <v>-247008.49606374605</v>
      </c>
      <c r="U77" s="119">
        <f t="shared" si="7"/>
        <v>-247008.49606374605</v>
      </c>
      <c r="V77" s="119">
        <f t="shared" si="7"/>
        <v>-247008.49606374605</v>
      </c>
      <c r="W77" s="119">
        <f t="shared" si="7"/>
        <v>-247008.49606374605</v>
      </c>
      <c r="X77" s="119">
        <f t="shared" si="7"/>
        <v>-247008.49606374605</v>
      </c>
      <c r="Y77" s="119">
        <f t="shared" si="7"/>
        <v>-247008.49606374605</v>
      </c>
      <c r="Z77" s="119">
        <f t="shared" si="7"/>
        <v>-247008.49606374605</v>
      </c>
      <c r="AA77" s="119">
        <f t="shared" si="7"/>
        <v>-247008.49606374605</v>
      </c>
      <c r="AB77" s="119">
        <f t="shared" si="7"/>
        <v>-247008.49606374605</v>
      </c>
      <c r="AC77" s="119">
        <f t="shared" si="7"/>
        <v>-247008.49606374605</v>
      </c>
      <c r="AD77" s="119">
        <f t="shared" si="7"/>
        <v>-247008.49606374605</v>
      </c>
      <c r="AE77" s="119">
        <f t="shared" si="7"/>
        <v>-247008.49606374605</v>
      </c>
      <c r="AF77" s="119">
        <f t="shared" si="7"/>
        <v>-247008.49606374605</v>
      </c>
      <c r="AG77" s="119">
        <f t="shared" si="7"/>
        <v>-247008.49606374605</v>
      </c>
      <c r="AH77"/>
    </row>
    <row r="78" spans="1:34" x14ac:dyDescent="0.2">
      <c r="A78" s="8"/>
      <c r="B78" s="8"/>
      <c r="C78" s="4" t="str">
        <f>$C$76&amp;" - "&amp;C15</f>
        <v>Annualised capex - Relays</v>
      </c>
      <c r="D78" s="38"/>
      <c r="G78" s="209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-117176.46583240927</v>
      </c>
      <c r="L78" s="119">
        <f t="shared" si="8"/>
        <v>-175764.69874861391</v>
      </c>
      <c r="M78" s="119">
        <f t="shared" si="8"/>
        <v>-175764.69874861391</v>
      </c>
      <c r="N78" s="119">
        <f t="shared" si="8"/>
        <v>-175764.69874861391</v>
      </c>
      <c r="O78" s="119">
        <f t="shared" si="8"/>
        <v>-175764.69874861391</v>
      </c>
      <c r="P78" s="119">
        <f t="shared" si="8"/>
        <v>-175764.69874861391</v>
      </c>
      <c r="Q78" s="119">
        <f t="shared" si="8"/>
        <v>-175764.69874861391</v>
      </c>
      <c r="R78" s="119">
        <f t="shared" si="8"/>
        <v>-175764.69874861391</v>
      </c>
      <c r="S78" s="119">
        <f t="shared" si="8"/>
        <v>-175764.69874861391</v>
      </c>
      <c r="T78" s="119">
        <f t="shared" si="8"/>
        <v>-175764.69874861391</v>
      </c>
      <c r="U78" s="119">
        <f t="shared" si="8"/>
        <v>-175764.69874861391</v>
      </c>
      <c r="V78" s="119">
        <f t="shared" si="8"/>
        <v>-175764.69874861391</v>
      </c>
      <c r="W78" s="119">
        <f t="shared" si="8"/>
        <v>-175764.69874861391</v>
      </c>
      <c r="X78" s="119">
        <f t="shared" si="8"/>
        <v>-175764.69874861391</v>
      </c>
      <c r="Y78" s="119">
        <f t="shared" si="8"/>
        <v>-175764.69874861391</v>
      </c>
      <c r="Z78" s="119">
        <f t="shared" si="8"/>
        <v>-175764.69874861391</v>
      </c>
      <c r="AA78" s="119">
        <f t="shared" si="8"/>
        <v>-175764.69874861391</v>
      </c>
      <c r="AB78" s="119">
        <f t="shared" si="8"/>
        <v>-175764.69874861391</v>
      </c>
      <c r="AC78" s="119">
        <f t="shared" si="8"/>
        <v>-175764.69874861391</v>
      </c>
      <c r="AD78" s="119">
        <f t="shared" si="8"/>
        <v>-175764.69874861391</v>
      </c>
      <c r="AE78" s="119">
        <f t="shared" si="8"/>
        <v>-175764.69874861391</v>
      </c>
      <c r="AF78" s="119">
        <f t="shared" si="8"/>
        <v>-175764.69874861391</v>
      </c>
      <c r="AG78" s="119">
        <f t="shared" si="8"/>
        <v>-175764.69874861391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0</v>
      </c>
      <c r="K80" s="175">
        <f t="shared" si="10"/>
        <v>-117176.46583240927</v>
      </c>
      <c r="L80" s="175">
        <f t="shared" si="10"/>
        <v>-175764.69874861391</v>
      </c>
      <c r="M80" s="175">
        <f t="shared" si="10"/>
        <v>-175764.69874861391</v>
      </c>
      <c r="N80" s="175">
        <f t="shared" si="10"/>
        <v>-175764.69874861391</v>
      </c>
      <c r="O80" s="175">
        <f t="shared" si="10"/>
        <v>-175764.69874861391</v>
      </c>
      <c r="P80" s="175">
        <f t="shared" si="10"/>
        <v>-340437.02945777791</v>
      </c>
      <c r="Q80" s="175">
        <f t="shared" si="10"/>
        <v>-422773.19481235999</v>
      </c>
      <c r="R80" s="175">
        <f t="shared" si="10"/>
        <v>-422773.19481235999</v>
      </c>
      <c r="S80" s="175">
        <f t="shared" si="10"/>
        <v>-422773.19481235999</v>
      </c>
      <c r="T80" s="175">
        <f t="shared" si="10"/>
        <v>-422773.19481235999</v>
      </c>
      <c r="U80" s="175">
        <f t="shared" si="10"/>
        <v>-422773.19481235999</v>
      </c>
      <c r="V80" s="175">
        <f t="shared" si="10"/>
        <v>-422773.19481235999</v>
      </c>
      <c r="W80" s="175">
        <f t="shared" si="10"/>
        <v>-422773.19481235999</v>
      </c>
      <c r="X80" s="175">
        <f t="shared" si="10"/>
        <v>-422773.19481235999</v>
      </c>
      <c r="Y80" s="175">
        <f t="shared" si="10"/>
        <v>-422773.19481235999</v>
      </c>
      <c r="Z80" s="175">
        <f t="shared" si="10"/>
        <v>-422773.19481235999</v>
      </c>
      <c r="AA80" s="175">
        <f t="shared" si="10"/>
        <v>-422773.19481235999</v>
      </c>
      <c r="AB80" s="175">
        <f t="shared" si="10"/>
        <v>-422773.19481235999</v>
      </c>
      <c r="AC80" s="175">
        <f>SUM(AC77:AC79)</f>
        <v>-422773.19481235999</v>
      </c>
      <c r="AD80" s="175">
        <f>SUM(AD77:AD79)</f>
        <v>-422773.19481235999</v>
      </c>
      <c r="AE80" s="175">
        <f>SUM(AE77:AE79)</f>
        <v>-422773.19481235999</v>
      </c>
      <c r="AF80" s="175">
        <f>SUM(AF77:AF79)</f>
        <v>-422773.19481235999</v>
      </c>
      <c r="AG80" s="175">
        <f>SUM(AG77:AG79)</f>
        <v>-422773.19481235999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09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-117176.46583240927</v>
      </c>
      <c r="L82" s="119">
        <f t="shared" si="12"/>
        <v>-175764.69874861391</v>
      </c>
      <c r="M82" s="119">
        <f t="shared" si="12"/>
        <v>-175764.69874861391</v>
      </c>
      <c r="N82" s="119">
        <f t="shared" si="12"/>
        <v>-175764.69874861391</v>
      </c>
      <c r="O82" s="119">
        <f t="shared" si="12"/>
        <v>-175764.69874861391</v>
      </c>
      <c r="P82" s="119">
        <f t="shared" si="12"/>
        <v>-340437.02945777791</v>
      </c>
      <c r="Q82" s="119">
        <f t="shared" si="12"/>
        <v>-422773.19481235999</v>
      </c>
      <c r="R82" s="119">
        <f t="shared" si="12"/>
        <v>-422773.19481235999</v>
      </c>
      <c r="S82" s="119">
        <f t="shared" si="12"/>
        <v>-422773.19481235999</v>
      </c>
      <c r="T82" s="119">
        <f t="shared" si="12"/>
        <v>-422773.19481235999</v>
      </c>
      <c r="U82" s="119">
        <f t="shared" si="12"/>
        <v>-422773.19481235999</v>
      </c>
      <c r="V82" s="119">
        <f t="shared" si="12"/>
        <v>-422773.19481235999</v>
      </c>
      <c r="W82" s="119">
        <f t="shared" si="12"/>
        <v>-422773.19481235999</v>
      </c>
      <c r="X82" s="119">
        <f t="shared" si="12"/>
        <v>-422773.19481235999</v>
      </c>
      <c r="Y82" s="119">
        <f t="shared" si="12"/>
        <v>-422773.19481235999</v>
      </c>
      <c r="Z82" s="119">
        <f t="shared" si="12"/>
        <v>-422773.19481235999</v>
      </c>
      <c r="AA82" s="119">
        <f t="shared" si="12"/>
        <v>-422773.19481235999</v>
      </c>
      <c r="AB82" s="119">
        <f t="shared" si="12"/>
        <v>-422773.19481235999</v>
      </c>
      <c r="AC82" s="119">
        <f>AC80</f>
        <v>-422773.19481235999</v>
      </c>
      <c r="AD82" s="119">
        <f>AD80</f>
        <v>-422773.19481235999</v>
      </c>
      <c r="AE82" s="119">
        <f>AE80</f>
        <v>-422773.19481235999</v>
      </c>
      <c r="AF82" s="119">
        <f>AF80</f>
        <v>-422773.19481235999</v>
      </c>
      <c r="AG82" s="119">
        <f>AG80</f>
        <v>-422773.19481235999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09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0</v>
      </c>
      <c r="L84" s="31">
        <f t="shared" si="14"/>
        <v>37182.238777206745</v>
      </c>
      <c r="M84" s="31">
        <f t="shared" si="14"/>
        <v>42096.029517226212</v>
      </c>
      <c r="N84" s="31">
        <f t="shared" si="14"/>
        <v>48009.612411184644</v>
      </c>
      <c r="O84" s="31">
        <f t="shared" si="14"/>
        <v>55199.684341880784</v>
      </c>
      <c r="P84" s="31">
        <f t="shared" si="14"/>
        <v>64061.694305008161</v>
      </c>
      <c r="Q84" s="31">
        <f t="shared" si="14"/>
        <v>327958.5968049271</v>
      </c>
      <c r="R84" s="31">
        <f t="shared" si="14"/>
        <v>341787.77540613891</v>
      </c>
      <c r="S84" s="31">
        <f t="shared" si="14"/>
        <v>359299.76882326696</v>
      </c>
      <c r="T84" s="31">
        <f t="shared" si="14"/>
        <v>381662.98123105423</v>
      </c>
      <c r="U84" s="31">
        <f t="shared" si="14"/>
        <v>410441.21309748059</v>
      </c>
      <c r="V84" s="31">
        <f t="shared" si="14"/>
        <v>447736.25832084526</v>
      </c>
      <c r="W84" s="31">
        <f t="shared" si="14"/>
        <v>496371.8950476264</v>
      </c>
      <c r="X84" s="31">
        <f t="shared" si="14"/>
        <v>560146.33776046301</v>
      </c>
      <c r="Y84" s="31">
        <f t="shared" si="14"/>
        <v>644173.66197342123</v>
      </c>
      <c r="Z84" s="31">
        <f t="shared" si="14"/>
        <v>755345.69228084432</v>
      </c>
      <c r="AA84" s="31">
        <f t="shared" si="14"/>
        <v>781036.09258234175</v>
      </c>
      <c r="AB84" s="31">
        <f t="shared" si="14"/>
        <v>808951.25290056842</v>
      </c>
      <c r="AC84" s="31">
        <f t="shared" si="14"/>
        <v>819931.30046707799</v>
      </c>
      <c r="AD84" s="31">
        <f t="shared" si="14"/>
        <v>827903.70043098286</v>
      </c>
      <c r="AE84" s="31">
        <f t="shared" si="14"/>
        <v>840975.47486447566</v>
      </c>
      <c r="AF84" s="31">
        <f t="shared" si="14"/>
        <v>855495.0174793331</v>
      </c>
      <c r="AG84" s="31">
        <f t="shared" si="14"/>
        <v>872483.99848947977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50000</v>
      </c>
      <c r="R85" s="31">
        <f t="shared" si="15"/>
        <v>50000</v>
      </c>
      <c r="S85" s="31">
        <f t="shared" si="15"/>
        <v>50000</v>
      </c>
      <c r="T85" s="31">
        <f t="shared" si="15"/>
        <v>50000</v>
      </c>
      <c r="U85" s="31">
        <f t="shared" si="15"/>
        <v>50000</v>
      </c>
      <c r="V85" s="31">
        <f t="shared" si="15"/>
        <v>50000</v>
      </c>
      <c r="W85" s="31">
        <f t="shared" si="15"/>
        <v>50000</v>
      </c>
      <c r="X85" s="31">
        <f t="shared" si="15"/>
        <v>50000</v>
      </c>
      <c r="Y85" s="31">
        <f t="shared" si="15"/>
        <v>50000</v>
      </c>
      <c r="Z85" s="31">
        <f t="shared" si="15"/>
        <v>50000</v>
      </c>
      <c r="AA85" s="31">
        <f t="shared" si="15"/>
        <v>50000</v>
      </c>
      <c r="AB85" s="31">
        <f t="shared" si="15"/>
        <v>50000</v>
      </c>
      <c r="AC85" s="31">
        <f t="shared" si="15"/>
        <v>50000</v>
      </c>
      <c r="AD85" s="31">
        <f t="shared" si="15"/>
        <v>50000</v>
      </c>
      <c r="AE85" s="31">
        <f t="shared" si="15"/>
        <v>50000</v>
      </c>
      <c r="AF85" s="31">
        <f t="shared" si="15"/>
        <v>50000</v>
      </c>
      <c r="AG85" s="31">
        <f t="shared" si="15"/>
        <v>50000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0</v>
      </c>
      <c r="K87" s="178">
        <f t="shared" si="16"/>
        <v>-117176.46583240927</v>
      </c>
      <c r="L87" s="178">
        <f t="shared" si="16"/>
        <v>-138582.45997140717</v>
      </c>
      <c r="M87" s="178">
        <f t="shared" si="16"/>
        <v>-133668.6692313877</v>
      </c>
      <c r="N87" s="178">
        <f t="shared" si="16"/>
        <v>-127755.08633742927</v>
      </c>
      <c r="O87" s="178">
        <f t="shared" si="16"/>
        <v>-120565.01440673313</v>
      </c>
      <c r="P87" s="178">
        <f t="shared" si="16"/>
        <v>-276375.33515276975</v>
      </c>
      <c r="Q87" s="178">
        <f t="shared" si="16"/>
        <v>-44814.598007432884</v>
      </c>
      <c r="R87" s="178">
        <f t="shared" si="16"/>
        <v>-30985.419406221074</v>
      </c>
      <c r="S87" s="178">
        <f t="shared" si="16"/>
        <v>-13473.425989093026</v>
      </c>
      <c r="T87" s="178">
        <f t="shared" si="16"/>
        <v>8889.7864186942461</v>
      </c>
      <c r="U87" s="178">
        <f t="shared" si="16"/>
        <v>37668.018285120605</v>
      </c>
      <c r="V87" s="178">
        <f t="shared" si="16"/>
        <v>74963.063508485269</v>
      </c>
      <c r="W87" s="178">
        <f t="shared" si="16"/>
        <v>123598.70023526641</v>
      </c>
      <c r="X87" s="178">
        <f t="shared" si="16"/>
        <v>187373.14294810302</v>
      </c>
      <c r="Y87" s="178">
        <f t="shared" si="16"/>
        <v>271400.46716106124</v>
      </c>
      <c r="Z87" s="178">
        <f t="shared" si="16"/>
        <v>382572.49746848433</v>
      </c>
      <c r="AA87" s="178">
        <f t="shared" si="16"/>
        <v>408262.89776998176</v>
      </c>
      <c r="AB87" s="178">
        <f t="shared" si="16"/>
        <v>436178.05808820843</v>
      </c>
      <c r="AC87" s="178">
        <f>SUM(AC82:AC86)</f>
        <v>447158.10565471801</v>
      </c>
      <c r="AD87" s="178">
        <f>SUM(AD82:AD86)</f>
        <v>455130.50561862288</v>
      </c>
      <c r="AE87" s="178">
        <f>SUM(AE82:AE86)</f>
        <v>468202.28005211568</v>
      </c>
      <c r="AF87" s="178">
        <f>SUM(AF82:AF86)</f>
        <v>482721.82266697311</v>
      </c>
      <c r="AG87" s="178">
        <f>SUM(AG82:AG86)</f>
        <v>499710.80367711978</v>
      </c>
      <c r="AH87"/>
    </row>
    <row r="88" spans="1:34" x14ac:dyDescent="0.2">
      <c r="A88" s="8"/>
      <c r="B88" s="8"/>
      <c r="C88" s="75"/>
      <c r="D88" s="138"/>
      <c r="E88" s="64"/>
      <c r="F88" s="141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-117176.46583240927</v>
      </c>
      <c r="L106" s="31">
        <f t="shared" si="17"/>
        <v>-138582.45997140717</v>
      </c>
      <c r="M106" s="31">
        <f t="shared" si="17"/>
        <v>-133668.6692313877</v>
      </c>
      <c r="N106" s="31">
        <f t="shared" si="17"/>
        <v>-127755.08633742927</v>
      </c>
      <c r="O106" s="31">
        <f t="shared" si="17"/>
        <v>-120565.01440673313</v>
      </c>
      <c r="P106" s="31">
        <f t="shared" si="17"/>
        <v>-276375.33515276975</v>
      </c>
      <c r="Q106" s="31">
        <f t="shared" si="17"/>
        <v>-44814.598007432884</v>
      </c>
      <c r="R106" s="31">
        <f t="shared" si="17"/>
        <v>-30985.419406221074</v>
      </c>
      <c r="S106" s="31">
        <f t="shared" si="17"/>
        <v>-13473.425989093026</v>
      </c>
      <c r="T106" s="31">
        <f t="shared" si="17"/>
        <v>8889.7864186942461</v>
      </c>
      <c r="U106" s="31">
        <f t="shared" si="17"/>
        <v>37668.018285120605</v>
      </c>
      <c r="V106" s="31">
        <f t="shared" si="17"/>
        <v>74963.063508485269</v>
      </c>
      <c r="W106" s="31">
        <f t="shared" si="17"/>
        <v>123598.70023526641</v>
      </c>
      <c r="X106" s="31">
        <f t="shared" si="17"/>
        <v>187373.14294810302</v>
      </c>
      <c r="Y106" s="31">
        <f t="shared" si="17"/>
        <v>271400.46716106124</v>
      </c>
      <c r="Z106" s="31">
        <f t="shared" si="17"/>
        <v>382572.49746848433</v>
      </c>
      <c r="AA106" s="31">
        <f t="shared" si="17"/>
        <v>408262.89776998176</v>
      </c>
      <c r="AB106" s="31">
        <f t="shared" si="17"/>
        <v>436178.05808820843</v>
      </c>
      <c r="AC106" s="31">
        <f t="shared" si="17"/>
        <v>447158.10565471801</v>
      </c>
      <c r="AD106" s="31">
        <f t="shared" si="17"/>
        <v>455130.50561862288</v>
      </c>
      <c r="AE106" s="31">
        <f t="shared" si="17"/>
        <v>468202.28005211568</v>
      </c>
      <c r="AF106" s="31">
        <f t="shared" si="17"/>
        <v>482721.82266697311</v>
      </c>
      <c r="AG106" s="31">
        <f t="shared" si="17"/>
        <v>499710.80367711978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-117176.46583240927</v>
      </c>
      <c r="L107" s="31">
        <f t="shared" si="18"/>
        <v>-175764.69874861391</v>
      </c>
      <c r="M107" s="31">
        <f t="shared" si="18"/>
        <v>-175764.69874861391</v>
      </c>
      <c r="N107" s="31">
        <f t="shared" si="18"/>
        <v>-175764.69874861391</v>
      </c>
      <c r="O107" s="31">
        <f t="shared" si="18"/>
        <v>-175764.69874861391</v>
      </c>
      <c r="P107" s="31">
        <f t="shared" si="18"/>
        <v>-340437.02945777791</v>
      </c>
      <c r="Q107" s="31">
        <f t="shared" si="18"/>
        <v>-422773.19481235999</v>
      </c>
      <c r="R107" s="31">
        <f t="shared" si="18"/>
        <v>-422773.19481235999</v>
      </c>
      <c r="S107" s="31">
        <f t="shared" si="18"/>
        <v>-422773.19481235999</v>
      </c>
      <c r="T107" s="31">
        <f t="shared" si="18"/>
        <v>-422773.19481235999</v>
      </c>
      <c r="U107" s="31">
        <f t="shared" si="18"/>
        <v>-422773.19481235999</v>
      </c>
      <c r="V107" s="31">
        <f t="shared" si="18"/>
        <v>-422773.19481235999</v>
      </c>
      <c r="W107" s="31">
        <f t="shared" si="18"/>
        <v>-422773.19481235999</v>
      </c>
      <c r="X107" s="31">
        <f t="shared" si="18"/>
        <v>-422773.19481235999</v>
      </c>
      <c r="Y107" s="31">
        <f t="shared" si="18"/>
        <v>-422773.19481235999</v>
      </c>
      <c r="Z107" s="31">
        <f t="shared" si="18"/>
        <v>-422773.19481235999</v>
      </c>
      <c r="AA107" s="31">
        <f t="shared" si="18"/>
        <v>-422773.19481235999</v>
      </c>
      <c r="AB107" s="31">
        <f t="shared" si="18"/>
        <v>-422773.19481235999</v>
      </c>
      <c r="AC107" s="31">
        <f t="shared" si="18"/>
        <v>-422773.19481235999</v>
      </c>
      <c r="AD107" s="31">
        <f t="shared" si="18"/>
        <v>-422773.19481235999</v>
      </c>
      <c r="AE107" s="31">
        <f t="shared" si="18"/>
        <v>-422773.19481235999</v>
      </c>
      <c r="AF107" s="31">
        <f t="shared" si="18"/>
        <v>-422773.19481235999</v>
      </c>
      <c r="AG107" s="31">
        <f t="shared" si="18"/>
        <v>-422773.19481235999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37182.238777206745</v>
      </c>
      <c r="M108" s="31">
        <f t="shared" si="19"/>
        <v>42096.029517226212</v>
      </c>
      <c r="N108" s="31">
        <f t="shared" si="19"/>
        <v>48009.612411184644</v>
      </c>
      <c r="O108" s="31">
        <f t="shared" si="19"/>
        <v>55199.684341880784</v>
      </c>
      <c r="P108" s="31">
        <f t="shared" si="19"/>
        <v>64061.694305008161</v>
      </c>
      <c r="Q108" s="31">
        <f t="shared" si="19"/>
        <v>377958.5968049271</v>
      </c>
      <c r="R108" s="31">
        <f t="shared" si="19"/>
        <v>391787.77540613891</v>
      </c>
      <c r="S108" s="31">
        <f t="shared" si="19"/>
        <v>409299.76882326696</v>
      </c>
      <c r="T108" s="31">
        <f t="shared" si="19"/>
        <v>431662.98123105423</v>
      </c>
      <c r="U108" s="31">
        <f t="shared" si="19"/>
        <v>460441.21309748059</v>
      </c>
      <c r="V108" s="31">
        <f t="shared" si="19"/>
        <v>497736.25832084526</v>
      </c>
      <c r="W108" s="31">
        <f t="shared" si="19"/>
        <v>546371.89504762646</v>
      </c>
      <c r="X108" s="31">
        <f t="shared" si="19"/>
        <v>610146.33776046301</v>
      </c>
      <c r="Y108" s="31">
        <f t="shared" si="19"/>
        <v>694173.66197342123</v>
      </c>
      <c r="Z108" s="31">
        <f t="shared" si="19"/>
        <v>805345.69228084432</v>
      </c>
      <c r="AA108" s="31">
        <f t="shared" si="19"/>
        <v>831036.09258234175</v>
      </c>
      <c r="AB108" s="31">
        <f t="shared" si="19"/>
        <v>858951.25290056842</v>
      </c>
      <c r="AC108" s="31">
        <f t="shared" si="19"/>
        <v>869931.30046707799</v>
      </c>
      <c r="AD108" s="31">
        <f t="shared" si="19"/>
        <v>877903.70043098286</v>
      </c>
      <c r="AE108" s="31">
        <f t="shared" si="19"/>
        <v>890975.47486447566</v>
      </c>
      <c r="AF108" s="31">
        <f t="shared" si="19"/>
        <v>905495.0174793331</v>
      </c>
      <c r="AG108" s="31">
        <f t="shared" si="19"/>
        <v>922483.99848947977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-128894.1124156502</v>
      </c>
      <c r="L110" s="31" cm="1">
        <f t="array" ref="L110">L$106+IF($C110&lt;&gt;0,SUMPRODUCT((L$107:L$108)*TRANSPOSE(($D110:$E110))),0)</f>
        <v>-156158.92984626855</v>
      </c>
      <c r="M110" s="31" cm="1">
        <f t="array" ref="M110">M$106+IF($C110&lt;&gt;0,SUMPRODUCT((M$107:M$108)*TRANSPOSE(($D110:$E110))),0)</f>
        <v>-151245.13910624909</v>
      </c>
      <c r="N110" s="31" cm="1">
        <f t="array" ref="N110">N$106+IF($C110&lt;&gt;0,SUMPRODUCT((N$107:N$108)*TRANSPOSE(($D110:$E110))),0)</f>
        <v>-145331.55621229066</v>
      </c>
      <c r="O110" s="31" cm="1">
        <f t="array" ref="O110">O$106+IF($C110&lt;&gt;0,SUMPRODUCT((O$107:O$108)*TRANSPOSE(($D110:$E110))),0)</f>
        <v>-138141.48428159452</v>
      </c>
      <c r="P110" s="31" cm="1">
        <f t="array" ref="P110">P$106+IF($C110&lt;&gt;0,SUMPRODUCT((P$107:P$108)*TRANSPOSE(($D110:$E110))),0)</f>
        <v>-310419.03809854755</v>
      </c>
      <c r="Q110" s="31" cm="1">
        <f t="array" ref="Q110">Q$106+IF($C110&lt;&gt;0,SUMPRODUCT((Q$107:Q$108)*TRANSPOSE(($D110:$E110))),0)</f>
        <v>-87091.917488668885</v>
      </c>
      <c r="R110" s="31" cm="1">
        <f t="array" ref="R110">R$106+IF($C110&lt;&gt;0,SUMPRODUCT((R$107:R$108)*TRANSPOSE(($D110:$E110))),0)</f>
        <v>-73262.738887457075</v>
      </c>
      <c r="S110" s="31" cm="1">
        <f t="array" ref="S110">S$106+IF($C110&lt;&gt;0,SUMPRODUCT((S$107:S$108)*TRANSPOSE(($D110:$E110))),0)</f>
        <v>-55750.745470329028</v>
      </c>
      <c r="T110" s="31" cm="1">
        <f t="array" ref="T110">T$106+IF($C110&lt;&gt;0,SUMPRODUCT((T$107:T$108)*TRANSPOSE(($D110:$E110))),0)</f>
        <v>-33387.533062541755</v>
      </c>
      <c r="U110" s="31" cm="1">
        <f t="array" ref="U110">U$106+IF($C110&lt;&gt;0,SUMPRODUCT((U$107:U$108)*TRANSPOSE(($D110:$E110))),0)</f>
        <v>-4609.301196115397</v>
      </c>
      <c r="V110" s="31" cm="1">
        <f t="array" ref="V110">V$106+IF($C110&lt;&gt;0,SUMPRODUCT((V$107:V$108)*TRANSPOSE(($D110:$E110))),0)</f>
        <v>32685.744027249268</v>
      </c>
      <c r="W110" s="31" cm="1">
        <f t="array" ref="W110">W$106+IF($C110&lt;&gt;0,SUMPRODUCT((W$107:W$108)*TRANSPOSE(($D110:$E110))),0)</f>
        <v>81321.380754030411</v>
      </c>
      <c r="X110" s="31" cm="1">
        <f t="array" ref="X110">X$106+IF($C110&lt;&gt;0,SUMPRODUCT((X$107:X$108)*TRANSPOSE(($D110:$E110))),0)</f>
        <v>145095.82346686703</v>
      </c>
      <c r="Y110" s="31" cm="1">
        <f t="array" ref="Y110">Y$106+IF($C110&lt;&gt;0,SUMPRODUCT((Y$107:Y$108)*TRANSPOSE(($D110:$E110))),0)</f>
        <v>229123.14767982526</v>
      </c>
      <c r="Z110" s="31" cm="1">
        <f t="array" ref="Z110">Z$106+IF($C110&lt;&gt;0,SUMPRODUCT((Z$107:Z$108)*TRANSPOSE(($D110:$E110))),0)</f>
        <v>340295.17798724835</v>
      </c>
      <c r="AA110" s="31" cm="1">
        <f t="array" ref="AA110">AA$106+IF($C110&lt;&gt;0,SUMPRODUCT((AA$107:AA$108)*TRANSPOSE(($D110:$E110))),0)</f>
        <v>365985.57828874578</v>
      </c>
      <c r="AB110" s="31" cm="1">
        <f t="array" ref="AB110">AB$106+IF($C110&lt;&gt;0,SUMPRODUCT((AB$107:AB$108)*TRANSPOSE(($D110:$E110))),0)</f>
        <v>393900.73860697245</v>
      </c>
      <c r="AC110" s="31" cm="1">
        <f t="array" ref="AC110">AC$106+IF($C110&lt;&gt;0,SUMPRODUCT((AC$107:AC$108)*TRANSPOSE(($D110:$E110))),0)</f>
        <v>404880.78617348202</v>
      </c>
      <c r="AD110" s="31" cm="1">
        <f t="array" ref="AD110">AD$106+IF($C110&lt;&gt;0,SUMPRODUCT((AD$107:AD$108)*TRANSPOSE(($D110:$E110))),0)</f>
        <v>412853.18613738689</v>
      </c>
      <c r="AE110" s="31" cm="1">
        <f t="array" ref="AE110">AE$106+IF($C110&lt;&gt;0,SUMPRODUCT((AE$107:AE$108)*TRANSPOSE(($D110:$E110))),0)</f>
        <v>425924.96057087969</v>
      </c>
      <c r="AF110" s="31" cm="1">
        <f t="array" ref="AF110">AF$106+IF($C110&lt;&gt;0,SUMPRODUCT((AF$107:AF$108)*TRANSPOSE(($D110:$E110))),0)</f>
        <v>440444.50318573712</v>
      </c>
      <c r="AG110" s="31" cm="1">
        <f t="array" ref="AG110">AG$106+IF($C110&lt;&gt;0,SUMPRODUCT((AG$107:AG$108)*TRANSPOSE(($D110:$E110))),0)</f>
        <v>457433.48419588379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-105458.81924916834</v>
      </c>
      <c r="L111" s="31" cm="1">
        <f t="array" ref="L111">L$106+IF($C111&lt;&gt;0,SUMPRODUCT((L$107:L$108)*TRANSPOSE(($D111:$E111))),0)</f>
        <v>-121005.99009654578</v>
      </c>
      <c r="M111" s="31" cm="1">
        <f t="array" ref="M111">M$106+IF($C111&lt;&gt;0,SUMPRODUCT((M$107:M$108)*TRANSPOSE(($D111:$E111))),0)</f>
        <v>-116092.19935652631</v>
      </c>
      <c r="N111" s="31" cm="1">
        <f t="array" ref="N111">N$106+IF($C111&lt;&gt;0,SUMPRODUCT((N$107:N$108)*TRANSPOSE(($D111:$E111))),0)</f>
        <v>-110178.61646256788</v>
      </c>
      <c r="O111" s="31" cm="1">
        <f t="array" ref="O111">O$106+IF($C111&lt;&gt;0,SUMPRODUCT((O$107:O$108)*TRANSPOSE(($D111:$E111))),0)</f>
        <v>-102988.54453187174</v>
      </c>
      <c r="P111" s="31" cm="1">
        <f t="array" ref="P111">P$106+IF($C111&lt;&gt;0,SUMPRODUCT((P$107:P$108)*TRANSPOSE(($D111:$E111))),0)</f>
        <v>-242331.63220699196</v>
      </c>
      <c r="Q111" s="31" cm="1">
        <f t="array" ref="Q111">Q$106+IF($C111&lt;&gt;0,SUMPRODUCT((Q$107:Q$108)*TRANSPOSE(($D111:$E111))),0)</f>
        <v>-2537.278526196882</v>
      </c>
      <c r="R111" s="31" cm="1">
        <f t="array" ref="R111">R$106+IF($C111&lt;&gt;0,SUMPRODUCT((R$107:R$108)*TRANSPOSE(($D111:$E111))),0)</f>
        <v>11291.900075014928</v>
      </c>
      <c r="S111" s="31" cm="1">
        <f t="array" ref="S111">S$106+IF($C111&lt;&gt;0,SUMPRODUCT((S$107:S$108)*TRANSPOSE(($D111:$E111))),0)</f>
        <v>28803.893492142975</v>
      </c>
      <c r="T111" s="31" cm="1">
        <f t="array" ref="T111">T$106+IF($C111&lt;&gt;0,SUMPRODUCT((T$107:T$108)*TRANSPOSE(($D111:$E111))),0)</f>
        <v>51167.105899930248</v>
      </c>
      <c r="U111" s="31" cm="1">
        <f t="array" ref="U111">U$106+IF($C111&lt;&gt;0,SUMPRODUCT((U$107:U$108)*TRANSPOSE(($D111:$E111))),0)</f>
        <v>79945.337766356606</v>
      </c>
      <c r="V111" s="31" cm="1">
        <f t="array" ref="V111">V$106+IF($C111&lt;&gt;0,SUMPRODUCT((V$107:V$108)*TRANSPOSE(($D111:$E111))),0)</f>
        <v>117240.38298972127</v>
      </c>
      <c r="W111" s="31" cm="1">
        <f t="array" ref="W111">W$106+IF($C111&lt;&gt;0,SUMPRODUCT((W$107:W$108)*TRANSPOSE(($D111:$E111))),0)</f>
        <v>165876.0197165024</v>
      </c>
      <c r="X111" s="31" cm="1">
        <f t="array" ref="X111">X$106+IF($C111&lt;&gt;0,SUMPRODUCT((X$107:X$108)*TRANSPOSE(($D111:$E111))),0)</f>
        <v>229650.46242933901</v>
      </c>
      <c r="Y111" s="31" cm="1">
        <f t="array" ref="Y111">Y$106+IF($C111&lt;&gt;0,SUMPRODUCT((Y$107:Y$108)*TRANSPOSE(($D111:$E111))),0)</f>
        <v>313677.78664229723</v>
      </c>
      <c r="Z111" s="31" cm="1">
        <f t="array" ref="Z111">Z$106+IF($C111&lt;&gt;0,SUMPRODUCT((Z$107:Z$108)*TRANSPOSE(($D111:$E111))),0)</f>
        <v>424849.81694972032</v>
      </c>
      <c r="AA111" s="31" cm="1">
        <f t="array" ref="AA111">AA$106+IF($C111&lt;&gt;0,SUMPRODUCT((AA$107:AA$108)*TRANSPOSE(($D111:$E111))),0)</f>
        <v>450540.21725121775</v>
      </c>
      <c r="AB111" s="31" cm="1">
        <f t="array" ref="AB111">AB$106+IF($C111&lt;&gt;0,SUMPRODUCT((AB$107:AB$108)*TRANSPOSE(($D111:$E111))),0)</f>
        <v>478455.37756944442</v>
      </c>
      <c r="AC111" s="31" cm="1">
        <f t="array" ref="AC111">AC$106+IF($C111&lt;&gt;0,SUMPRODUCT((AC$107:AC$108)*TRANSPOSE(($D111:$E111))),0)</f>
        <v>489435.42513595399</v>
      </c>
      <c r="AD111" s="31" cm="1">
        <f t="array" ref="AD111">AD$106+IF($C111&lt;&gt;0,SUMPRODUCT((AD$107:AD$108)*TRANSPOSE(($D111:$E111))),0)</f>
        <v>497407.82509985886</v>
      </c>
      <c r="AE111" s="31" cm="1">
        <f t="array" ref="AE111">AE$106+IF($C111&lt;&gt;0,SUMPRODUCT((AE$107:AE$108)*TRANSPOSE(($D111:$E111))),0)</f>
        <v>510479.59953335166</v>
      </c>
      <c r="AF111" s="31" cm="1">
        <f t="array" ref="AF111">AF$106+IF($C111&lt;&gt;0,SUMPRODUCT((AF$107:AF$108)*TRANSPOSE(($D111:$E111))),0)</f>
        <v>524999.14214820915</v>
      </c>
      <c r="AG111" s="31" cm="1">
        <f t="array" ref="AG111">AG$106+IF($C111&lt;&gt;0,SUMPRODUCT((AG$107:AG$108)*TRANSPOSE(($D111:$E111))),0)</f>
        <v>541988.12315835583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-117176.46583240927</v>
      </c>
      <c r="L112" s="31" cm="1">
        <f t="array" ref="L112">L$106+IF($C112&lt;&gt;0,SUMPRODUCT((L$107:L$108)*TRANSPOSE(($D112:$E112))),0)</f>
        <v>-134864.23609368649</v>
      </c>
      <c r="M112" s="31" cm="1">
        <f t="array" ref="M112">M$106+IF($C112&lt;&gt;0,SUMPRODUCT((M$107:M$108)*TRANSPOSE(($D112:$E112))),0)</f>
        <v>-129459.06627966507</v>
      </c>
      <c r="N112" s="31" cm="1">
        <f t="array" ref="N112">N$106+IF($C112&lt;&gt;0,SUMPRODUCT((N$107:N$108)*TRANSPOSE(($D112:$E112))),0)</f>
        <v>-122954.1250963108</v>
      </c>
      <c r="O112" s="31" cm="1">
        <f t="array" ref="O112">O$106+IF($C112&lt;&gt;0,SUMPRODUCT((O$107:O$108)*TRANSPOSE(($D112:$E112))),0)</f>
        <v>-115045.04597254505</v>
      </c>
      <c r="P112" s="31" cm="1">
        <f t="array" ref="P112">P$106+IF($C112&lt;&gt;0,SUMPRODUCT((P$107:P$108)*TRANSPOSE(($D112:$E112))),0)</f>
        <v>-269969.16572226892</v>
      </c>
      <c r="Q112" s="31" cm="1">
        <f t="array" ref="Q112">Q$106+IF($C112&lt;&gt;0,SUMPRODUCT((Q$107:Q$108)*TRANSPOSE(($D112:$E112))),0)</f>
        <v>-7018.7383269401689</v>
      </c>
      <c r="R112" s="31" cm="1">
        <f t="array" ref="R112">R$106+IF($C112&lt;&gt;0,SUMPRODUCT((R$107:R$108)*TRANSPOSE(($D112:$E112))),0)</f>
        <v>8193.3581343928163</v>
      </c>
      <c r="S112" s="31" cm="1">
        <f t="array" ref="S112">S$106+IF($C112&lt;&gt;0,SUMPRODUCT((S$107:S$108)*TRANSPOSE(($D112:$E112))),0)</f>
        <v>27456.550893233674</v>
      </c>
      <c r="T112" s="31" cm="1">
        <f t="array" ref="T112">T$106+IF($C112&lt;&gt;0,SUMPRODUCT((T$107:T$108)*TRANSPOSE(($D112:$E112))),0)</f>
        <v>52056.084541799675</v>
      </c>
      <c r="U112" s="31" cm="1">
        <f t="array" ref="U112">U$106+IF($C112&lt;&gt;0,SUMPRODUCT((U$107:U$108)*TRANSPOSE(($D112:$E112))),0)</f>
        <v>83712.13959486867</v>
      </c>
      <c r="V112" s="31" cm="1">
        <f t="array" ref="V112">V$106+IF($C112&lt;&gt;0,SUMPRODUCT((V$107:V$108)*TRANSPOSE(($D112:$E112))),0)</f>
        <v>124736.68934056981</v>
      </c>
      <c r="W112" s="31" cm="1">
        <f t="array" ref="W112">W$106+IF($C112&lt;&gt;0,SUMPRODUCT((W$107:W$108)*TRANSPOSE(($D112:$E112))),0)</f>
        <v>178235.88974002906</v>
      </c>
      <c r="X112" s="31" cm="1">
        <f t="array" ref="X112">X$106+IF($C112&lt;&gt;0,SUMPRODUCT((X$107:X$108)*TRANSPOSE(($D112:$E112))),0)</f>
        <v>248387.77672414933</v>
      </c>
      <c r="Y112" s="31" cm="1">
        <f t="array" ref="Y112">Y$106+IF($C112&lt;&gt;0,SUMPRODUCT((Y$107:Y$108)*TRANSPOSE(($D112:$E112))),0)</f>
        <v>340817.83335840335</v>
      </c>
      <c r="Z112" s="31" cm="1">
        <f t="array" ref="Z112">Z$106+IF($C112&lt;&gt;0,SUMPRODUCT((Z$107:Z$108)*TRANSPOSE(($D112:$E112))),0)</f>
        <v>463107.06669656874</v>
      </c>
      <c r="AA112" s="31" cm="1">
        <f t="array" ref="AA112">AA$106+IF($C112&lt;&gt;0,SUMPRODUCT((AA$107:AA$108)*TRANSPOSE(($D112:$E112))),0)</f>
        <v>491366.50702821591</v>
      </c>
      <c r="AB112" s="31" cm="1">
        <f t="array" ref="AB112">AB$106+IF($C112&lt;&gt;0,SUMPRODUCT((AB$107:AB$108)*TRANSPOSE(($D112:$E112))),0)</f>
        <v>522073.1833782653</v>
      </c>
      <c r="AC112" s="31" cm="1">
        <f t="array" ref="AC112">AC$106+IF($C112&lt;&gt;0,SUMPRODUCT((AC$107:AC$108)*TRANSPOSE(($D112:$E112))),0)</f>
        <v>534151.23570142582</v>
      </c>
      <c r="AD112" s="31" cm="1">
        <f t="array" ref="AD112">AD$106+IF($C112&lt;&gt;0,SUMPRODUCT((AD$107:AD$108)*TRANSPOSE(($D112:$E112))),0)</f>
        <v>542920.87566172122</v>
      </c>
      <c r="AE112" s="31" cm="1">
        <f t="array" ref="AE112">AE$106+IF($C112&lt;&gt;0,SUMPRODUCT((AE$107:AE$108)*TRANSPOSE(($D112:$E112))),0)</f>
        <v>557299.82753856329</v>
      </c>
      <c r="AF112" s="31" cm="1">
        <f t="array" ref="AF112">AF$106+IF($C112&lt;&gt;0,SUMPRODUCT((AF$107:AF$108)*TRANSPOSE(($D112:$E112))),0)</f>
        <v>573271.32441490644</v>
      </c>
      <c r="AG112" s="31" cm="1">
        <f t="array" ref="AG112">AG$106+IF($C112&lt;&gt;0,SUMPRODUCT((AG$107:AG$108)*TRANSPOSE(($D112:$E112))),0)</f>
        <v>591959.20352606778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-117176.46583240927</v>
      </c>
      <c r="L113" s="31" cm="1">
        <f t="array" ref="L113">L$106+IF($C113&lt;&gt;0,SUMPRODUCT((L$107:L$108)*TRANSPOSE(($D113:$E113))),0)</f>
        <v>-142300.68384912785</v>
      </c>
      <c r="M113" s="31" cm="1">
        <f t="array" ref="M113">M$106+IF($C113&lt;&gt;0,SUMPRODUCT((M$107:M$108)*TRANSPOSE(($D113:$E113))),0)</f>
        <v>-137878.27218311033</v>
      </c>
      <c r="N113" s="31" cm="1">
        <f t="array" ref="N113">N$106+IF($C113&lt;&gt;0,SUMPRODUCT((N$107:N$108)*TRANSPOSE(($D113:$E113))),0)</f>
        <v>-132556.04757854773</v>
      </c>
      <c r="O113" s="31" cm="1">
        <f t="array" ref="O113">O$106+IF($C113&lt;&gt;0,SUMPRODUCT((O$107:O$108)*TRANSPOSE(($D113:$E113))),0)</f>
        <v>-126084.98284092121</v>
      </c>
      <c r="P113" s="31" cm="1">
        <f t="array" ref="P113">P$106+IF($C113&lt;&gt;0,SUMPRODUCT((P$107:P$108)*TRANSPOSE(($D113:$E113))),0)</f>
        <v>-282781.50458327058</v>
      </c>
      <c r="Q113" s="31" cm="1">
        <f t="array" ref="Q113">Q$106+IF($C113&lt;&gt;0,SUMPRODUCT((Q$107:Q$108)*TRANSPOSE(($D113:$E113))),0)</f>
        <v>-82610.457687925606</v>
      </c>
      <c r="R113" s="31" cm="1">
        <f t="array" ref="R113">R$106+IF($C113&lt;&gt;0,SUMPRODUCT((R$107:R$108)*TRANSPOSE(($D113:$E113))),0)</f>
        <v>-70164.196946834971</v>
      </c>
      <c r="S113" s="31" cm="1">
        <f t="array" ref="S113">S$106+IF($C113&lt;&gt;0,SUMPRODUCT((S$107:S$108)*TRANSPOSE(($D113:$E113))),0)</f>
        <v>-54403.402871419727</v>
      </c>
      <c r="T113" s="31" cm="1">
        <f t="array" ref="T113">T$106+IF($C113&lt;&gt;0,SUMPRODUCT((T$107:T$108)*TRANSPOSE(($D113:$E113))),0)</f>
        <v>-34276.511704411183</v>
      </c>
      <c r="U113" s="31" cm="1">
        <f t="array" ref="U113">U$106+IF($C113&lt;&gt;0,SUMPRODUCT((U$107:U$108)*TRANSPOSE(($D113:$E113))),0)</f>
        <v>-8376.1030246274604</v>
      </c>
      <c r="V113" s="31" cm="1">
        <f t="array" ref="V113">V$106+IF($C113&lt;&gt;0,SUMPRODUCT((V$107:V$108)*TRANSPOSE(($D113:$E113))),0)</f>
        <v>25189.437676400739</v>
      </c>
      <c r="W113" s="31" cm="1">
        <f t="array" ref="W113">W$106+IF($C113&lt;&gt;0,SUMPRODUCT((W$107:W$108)*TRANSPOSE(($D113:$E113))),0)</f>
        <v>68961.510730503767</v>
      </c>
      <c r="X113" s="31" cm="1">
        <f t="array" ref="X113">X$106+IF($C113&lt;&gt;0,SUMPRODUCT((X$107:X$108)*TRANSPOSE(($D113:$E113))),0)</f>
        <v>126358.50917205671</v>
      </c>
      <c r="Y113" s="31" cm="1">
        <f t="array" ref="Y113">Y$106+IF($C113&lt;&gt;0,SUMPRODUCT((Y$107:Y$108)*TRANSPOSE(($D113:$E113))),0)</f>
        <v>201983.10096371913</v>
      </c>
      <c r="Z113" s="31" cm="1">
        <f t="array" ref="Z113">Z$106+IF($C113&lt;&gt;0,SUMPRODUCT((Z$107:Z$108)*TRANSPOSE(($D113:$E113))),0)</f>
        <v>302037.92824039992</v>
      </c>
      <c r="AA113" s="31" cm="1">
        <f t="array" ref="AA113">AA$106+IF($C113&lt;&gt;0,SUMPRODUCT((AA$107:AA$108)*TRANSPOSE(($D113:$E113))),0)</f>
        <v>325159.28851174761</v>
      </c>
      <c r="AB113" s="31" cm="1">
        <f t="array" ref="AB113">AB$106+IF($C113&lt;&gt;0,SUMPRODUCT((AB$107:AB$108)*TRANSPOSE(($D113:$E113))),0)</f>
        <v>350282.93279815157</v>
      </c>
      <c r="AC113" s="31" cm="1">
        <f t="array" ref="AC113">AC$106+IF($C113&lt;&gt;0,SUMPRODUCT((AC$107:AC$108)*TRANSPOSE(($D113:$E113))),0)</f>
        <v>360164.97560801019</v>
      </c>
      <c r="AD113" s="31" cm="1">
        <f t="array" ref="AD113">AD$106+IF($C113&lt;&gt;0,SUMPRODUCT((AD$107:AD$108)*TRANSPOSE(($D113:$E113))),0)</f>
        <v>367340.13557552459</v>
      </c>
      <c r="AE113" s="31" cm="1">
        <f t="array" ref="AE113">AE$106+IF($C113&lt;&gt;0,SUMPRODUCT((AE$107:AE$108)*TRANSPOSE(($D113:$E113))),0)</f>
        <v>379104.73256566812</v>
      </c>
      <c r="AF113" s="31" cm="1">
        <f t="array" ref="AF113">AF$106+IF($C113&lt;&gt;0,SUMPRODUCT((AF$107:AF$108)*TRANSPOSE(($D113:$E113))),0)</f>
        <v>392172.32091903978</v>
      </c>
      <c r="AG113" s="31" cm="1">
        <f t="array" ref="AG113">AG$106+IF($C113&lt;&gt;0,SUMPRODUCT((AG$107:AG$108)*TRANSPOSE(($D113:$E113))),0)</f>
        <v>407462.40382817178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-128894.1124156502</v>
      </c>
      <c r="L114" s="31" cm="1">
        <f t="array" ref="L114">L$106+IF($C114&lt;&gt;0,SUMPRODUCT((L$107:L$108)*TRANSPOSE(($D114:$E114))),0)</f>
        <v>-159877.15372398924</v>
      </c>
      <c r="M114" s="31" cm="1">
        <f t="array" ref="M114">M$106+IF($C114&lt;&gt;0,SUMPRODUCT((M$107:M$108)*TRANSPOSE(($D114:$E114))),0)</f>
        <v>-155454.74205797171</v>
      </c>
      <c r="N114" s="31" cm="1">
        <f t="array" ref="N114">N$106+IF($C114&lt;&gt;0,SUMPRODUCT((N$107:N$108)*TRANSPOSE(($D114:$E114))),0)</f>
        <v>-150132.51745340912</v>
      </c>
      <c r="O114" s="31" cm="1">
        <f t="array" ref="O114">O$106+IF($C114&lt;&gt;0,SUMPRODUCT((O$107:O$108)*TRANSPOSE(($D114:$E114))),0)</f>
        <v>-143661.45271578259</v>
      </c>
      <c r="P114" s="31" cm="1">
        <f t="array" ref="P114">P$106+IF($C114&lt;&gt;0,SUMPRODUCT((P$107:P$108)*TRANSPOSE(($D114:$E114))),0)</f>
        <v>-316825.20752904838</v>
      </c>
      <c r="Q114" s="31" cm="1">
        <f t="array" ref="Q114">Q$106+IF($C114&lt;&gt;0,SUMPRODUCT((Q$107:Q$108)*TRANSPOSE(($D114:$E114))),0)</f>
        <v>-124887.77716916159</v>
      </c>
      <c r="R114" s="31" cm="1">
        <f t="array" ref="R114">R$106+IF($C114&lt;&gt;0,SUMPRODUCT((R$107:R$108)*TRANSPOSE(($D114:$E114))),0)</f>
        <v>-112441.51642807096</v>
      </c>
      <c r="S114" s="31" cm="1">
        <f t="array" ref="S114">S$106+IF($C114&lt;&gt;0,SUMPRODUCT((S$107:S$108)*TRANSPOSE(($D114:$E114))),0)</f>
        <v>-96680.722352655721</v>
      </c>
      <c r="T114" s="31" cm="1">
        <f t="array" ref="T114">T$106+IF($C114&lt;&gt;0,SUMPRODUCT((T$107:T$108)*TRANSPOSE(($D114:$E114))),0)</f>
        <v>-76553.831185647185</v>
      </c>
      <c r="U114" s="31" cm="1">
        <f t="array" ref="U114">U$106+IF($C114&lt;&gt;0,SUMPRODUCT((U$107:U$108)*TRANSPOSE(($D114:$E114))),0)</f>
        <v>-50653.422505863462</v>
      </c>
      <c r="V114" s="31" cm="1">
        <f t="array" ref="V114">V$106+IF($C114&lt;&gt;0,SUMPRODUCT((V$107:V$108)*TRANSPOSE(($D114:$E114))),0)</f>
        <v>-17087.881804835255</v>
      </c>
      <c r="W114" s="31" cm="1">
        <f t="array" ref="W114">W$106+IF($C114&lt;&gt;0,SUMPRODUCT((W$107:W$108)*TRANSPOSE(($D114:$E114))),0)</f>
        <v>26684.191249267766</v>
      </c>
      <c r="X114" s="31" cm="1">
        <f t="array" ref="X114">X$106+IF($C114&lt;&gt;0,SUMPRODUCT((X$107:X$108)*TRANSPOSE(($D114:$E114))),0)</f>
        <v>84081.189690820713</v>
      </c>
      <c r="Y114" s="31" cm="1">
        <f t="array" ref="Y114">Y$106+IF($C114&lt;&gt;0,SUMPRODUCT((Y$107:Y$108)*TRANSPOSE(($D114:$E114))),0)</f>
        <v>159705.78148248311</v>
      </c>
      <c r="Z114" s="31" cm="1">
        <f t="array" ref="Z114">Z$106+IF($C114&lt;&gt;0,SUMPRODUCT((Z$107:Z$108)*TRANSPOSE(($D114:$E114))),0)</f>
        <v>259760.60875916388</v>
      </c>
      <c r="AA114" s="31" cm="1">
        <f t="array" ref="AA114">AA$106+IF($C114&lt;&gt;0,SUMPRODUCT((AA$107:AA$108)*TRANSPOSE(($D114:$E114))),0)</f>
        <v>282881.96903051157</v>
      </c>
      <c r="AB114" s="31" cm="1">
        <f t="array" ref="AB114">AB$106+IF($C114&lt;&gt;0,SUMPRODUCT((AB$107:AB$108)*TRANSPOSE(($D114:$E114))),0)</f>
        <v>308005.61331691558</v>
      </c>
      <c r="AC114" s="31" cm="1">
        <f t="array" ref="AC114">AC$106+IF($C114&lt;&gt;0,SUMPRODUCT((AC$107:AC$108)*TRANSPOSE(($D114:$E114))),0)</f>
        <v>317887.65612677421</v>
      </c>
      <c r="AD114" s="31" cm="1">
        <f t="array" ref="AD114">AD$106+IF($C114&lt;&gt;0,SUMPRODUCT((AD$107:AD$108)*TRANSPOSE(($D114:$E114))),0)</f>
        <v>325062.8160942886</v>
      </c>
      <c r="AE114" s="31" cm="1">
        <f t="array" ref="AE114">AE$106+IF($C114&lt;&gt;0,SUMPRODUCT((AE$107:AE$108)*TRANSPOSE(($D114:$E114))),0)</f>
        <v>336827.41308443213</v>
      </c>
      <c r="AF114" s="31" cm="1">
        <f t="array" ref="AF114">AF$106+IF($C114&lt;&gt;0,SUMPRODUCT((AF$107:AF$108)*TRANSPOSE(($D114:$E114))),0)</f>
        <v>349895.00143780379</v>
      </c>
      <c r="AG114" s="31" cm="1">
        <f t="array" ref="AG114">AG$106+IF($C114&lt;&gt;0,SUMPRODUCT((AG$107:AG$108)*TRANSPOSE(($D114:$E114))),0)</f>
        <v>365185.08434693579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-117176.46583240927</v>
      </c>
      <c r="L115" s="31" cm="1">
        <f t="array" ref="L115">L$106+IF($C115&lt;&gt;0,SUMPRODUCT((L$107:L$108)*TRANSPOSE(($D115:$E115))),0)</f>
        <v>-138582.45997140717</v>
      </c>
      <c r="M115" s="31" cm="1">
        <f t="array" ref="M115">M$106+IF($C115&lt;&gt;0,SUMPRODUCT((M$107:M$108)*TRANSPOSE(($D115:$E115))),0)</f>
        <v>-133668.6692313877</v>
      </c>
      <c r="N115" s="31" cm="1">
        <f t="array" ref="N115">N$106+IF($C115&lt;&gt;0,SUMPRODUCT((N$107:N$108)*TRANSPOSE(($D115:$E115))),0)</f>
        <v>-127755.08633742927</v>
      </c>
      <c r="O115" s="31" cm="1">
        <f t="array" ref="O115">O$106+IF($C115&lt;&gt;0,SUMPRODUCT((O$107:O$108)*TRANSPOSE(($D115:$E115))),0)</f>
        <v>-120565.01440673313</v>
      </c>
      <c r="P115" s="31" cm="1">
        <f t="array" ref="P115">P$106+IF($C115&lt;&gt;0,SUMPRODUCT((P$107:P$108)*TRANSPOSE(($D115:$E115))),0)</f>
        <v>-276375.33515276975</v>
      </c>
      <c r="Q115" s="31" cm="1">
        <f t="array" ref="Q115">Q$106+IF($C115&lt;&gt;0,SUMPRODUCT((Q$107:Q$108)*TRANSPOSE(($D115:$E115))),0)</f>
        <v>-44814.598007432884</v>
      </c>
      <c r="R115" s="31" cm="1">
        <f t="array" ref="R115">R$106+IF($C115&lt;&gt;0,SUMPRODUCT((R$107:R$108)*TRANSPOSE(($D115:$E115))),0)</f>
        <v>-30985.419406221074</v>
      </c>
      <c r="S115" s="31" cm="1">
        <f t="array" ref="S115">S$106+IF($C115&lt;&gt;0,SUMPRODUCT((S$107:S$108)*TRANSPOSE(($D115:$E115))),0)</f>
        <v>-13473.425989093026</v>
      </c>
      <c r="T115" s="31" cm="1">
        <f t="array" ref="T115">T$106+IF($C115&lt;&gt;0,SUMPRODUCT((T$107:T$108)*TRANSPOSE(($D115:$E115))),0)</f>
        <v>8889.7864186942461</v>
      </c>
      <c r="U115" s="31" cm="1">
        <f t="array" ref="U115">U$106+IF($C115&lt;&gt;0,SUMPRODUCT((U$107:U$108)*TRANSPOSE(($D115:$E115))),0)</f>
        <v>37668.018285120605</v>
      </c>
      <c r="V115" s="31" cm="1">
        <f t="array" ref="V115">V$106+IF($C115&lt;&gt;0,SUMPRODUCT((V$107:V$108)*TRANSPOSE(($D115:$E115))),0)</f>
        <v>74963.063508485269</v>
      </c>
      <c r="W115" s="31" cm="1">
        <f t="array" ref="W115">W$106+IF($C115&lt;&gt;0,SUMPRODUCT((W$107:W$108)*TRANSPOSE(($D115:$E115))),0)</f>
        <v>123598.70023526641</v>
      </c>
      <c r="X115" s="31" cm="1">
        <f t="array" ref="X115">X$106+IF($C115&lt;&gt;0,SUMPRODUCT((X$107:X$108)*TRANSPOSE(($D115:$E115))),0)</f>
        <v>187373.14294810302</v>
      </c>
      <c r="Y115" s="31" cm="1">
        <f t="array" ref="Y115">Y$106+IF($C115&lt;&gt;0,SUMPRODUCT((Y$107:Y$108)*TRANSPOSE(($D115:$E115))),0)</f>
        <v>271400.46716106124</v>
      </c>
      <c r="Z115" s="31" cm="1">
        <f t="array" ref="Z115">Z$106+IF($C115&lt;&gt;0,SUMPRODUCT((Z$107:Z$108)*TRANSPOSE(($D115:$E115))),0)</f>
        <v>382572.49746848433</v>
      </c>
      <c r="AA115" s="31" cm="1">
        <f t="array" ref="AA115">AA$106+IF($C115&lt;&gt;0,SUMPRODUCT((AA$107:AA$108)*TRANSPOSE(($D115:$E115))),0)</f>
        <v>408262.89776998176</v>
      </c>
      <c r="AB115" s="31" cm="1">
        <f t="array" ref="AB115">AB$106+IF($C115&lt;&gt;0,SUMPRODUCT((AB$107:AB$108)*TRANSPOSE(($D115:$E115))),0)</f>
        <v>436178.05808820843</v>
      </c>
      <c r="AC115" s="31" cm="1">
        <f t="array" ref="AC115">AC$106+IF($C115&lt;&gt;0,SUMPRODUCT((AC$107:AC$108)*TRANSPOSE(($D115:$E115))),0)</f>
        <v>447158.10565471801</v>
      </c>
      <c r="AD115" s="31" cm="1">
        <f t="array" ref="AD115">AD$106+IF($C115&lt;&gt;0,SUMPRODUCT((AD$107:AD$108)*TRANSPOSE(($D115:$E115))),0)</f>
        <v>455130.50561862288</v>
      </c>
      <c r="AE115" s="31" cm="1">
        <f t="array" ref="AE115">AE$106+IF($C115&lt;&gt;0,SUMPRODUCT((AE$107:AE$108)*TRANSPOSE(($D115:$E115))),0)</f>
        <v>468202.28005211568</v>
      </c>
      <c r="AF115" s="31" cm="1">
        <f t="array" ref="AF115">AF$106+IF($C115&lt;&gt;0,SUMPRODUCT((AF$107:AF$108)*TRANSPOSE(($D115:$E115))),0)</f>
        <v>482721.82266697311</v>
      </c>
      <c r="AG115" s="31" cm="1">
        <f t="array" ref="AG115">AG$106+IF($C115&lt;&gt;0,SUMPRODUCT((AG$107:AG$108)*TRANSPOSE(($D115:$E115))),0)</f>
        <v>499710.80367711978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-117176.46583240927</v>
      </c>
      <c r="L116" s="31" cm="1">
        <f t="array" ref="L116">L$106+IF($C116&lt;&gt;0,SUMPRODUCT((L$107:L$108)*TRANSPOSE(($D116:$E116))),0)</f>
        <v>-138582.45997140717</v>
      </c>
      <c r="M116" s="31" cm="1">
        <f t="array" ref="M116">M$106+IF($C116&lt;&gt;0,SUMPRODUCT((M$107:M$108)*TRANSPOSE(($D116:$E116))),0)</f>
        <v>-133668.6692313877</v>
      </c>
      <c r="N116" s="31" cm="1">
        <f t="array" ref="N116">N$106+IF($C116&lt;&gt;0,SUMPRODUCT((N$107:N$108)*TRANSPOSE(($D116:$E116))),0)</f>
        <v>-127755.08633742927</v>
      </c>
      <c r="O116" s="31" cm="1">
        <f t="array" ref="O116">O$106+IF($C116&lt;&gt;0,SUMPRODUCT((O$107:O$108)*TRANSPOSE(($D116:$E116))),0)</f>
        <v>-120565.01440673313</v>
      </c>
      <c r="P116" s="31" cm="1">
        <f t="array" ref="P116">P$106+IF($C116&lt;&gt;0,SUMPRODUCT((P$107:P$108)*TRANSPOSE(($D116:$E116))),0)</f>
        <v>-276375.33515276975</v>
      </c>
      <c r="Q116" s="31" cm="1">
        <f t="array" ref="Q116">Q$106+IF($C116&lt;&gt;0,SUMPRODUCT((Q$107:Q$108)*TRANSPOSE(($D116:$E116))),0)</f>
        <v>-44814.598007432884</v>
      </c>
      <c r="R116" s="31" cm="1">
        <f t="array" ref="R116">R$106+IF($C116&lt;&gt;0,SUMPRODUCT((R$107:R$108)*TRANSPOSE(($D116:$E116))),0)</f>
        <v>-30985.419406221074</v>
      </c>
      <c r="S116" s="31" cm="1">
        <f t="array" ref="S116">S$106+IF($C116&lt;&gt;0,SUMPRODUCT((S$107:S$108)*TRANSPOSE(($D116:$E116))),0)</f>
        <v>-13473.425989093026</v>
      </c>
      <c r="T116" s="31" cm="1">
        <f t="array" ref="T116">T$106+IF($C116&lt;&gt;0,SUMPRODUCT((T$107:T$108)*TRANSPOSE(($D116:$E116))),0)</f>
        <v>8889.7864186942461</v>
      </c>
      <c r="U116" s="31" cm="1">
        <f t="array" ref="U116">U$106+IF($C116&lt;&gt;0,SUMPRODUCT((U$107:U$108)*TRANSPOSE(($D116:$E116))),0)</f>
        <v>37668.018285120605</v>
      </c>
      <c r="V116" s="31" cm="1">
        <f t="array" ref="V116">V$106+IF($C116&lt;&gt;0,SUMPRODUCT((V$107:V$108)*TRANSPOSE(($D116:$E116))),0)</f>
        <v>74963.063508485269</v>
      </c>
      <c r="W116" s="31" cm="1">
        <f t="array" ref="W116">W$106+IF($C116&lt;&gt;0,SUMPRODUCT((W$107:W$108)*TRANSPOSE(($D116:$E116))),0)</f>
        <v>123598.70023526641</v>
      </c>
      <c r="X116" s="31" cm="1">
        <f t="array" ref="X116">X$106+IF($C116&lt;&gt;0,SUMPRODUCT((X$107:X$108)*TRANSPOSE(($D116:$E116))),0)</f>
        <v>187373.14294810302</v>
      </c>
      <c r="Y116" s="31" cm="1">
        <f t="array" ref="Y116">Y$106+IF($C116&lt;&gt;0,SUMPRODUCT((Y$107:Y$108)*TRANSPOSE(($D116:$E116))),0)</f>
        <v>271400.46716106124</v>
      </c>
      <c r="Z116" s="31" cm="1">
        <f t="array" ref="Z116">Z$106+IF($C116&lt;&gt;0,SUMPRODUCT((Z$107:Z$108)*TRANSPOSE(($D116:$E116))),0)</f>
        <v>382572.49746848433</v>
      </c>
      <c r="AA116" s="31" cm="1">
        <f t="array" ref="AA116">AA$106+IF($C116&lt;&gt;0,SUMPRODUCT((AA$107:AA$108)*TRANSPOSE(($D116:$E116))),0)</f>
        <v>408262.89776998176</v>
      </c>
      <c r="AB116" s="31" cm="1">
        <f t="array" ref="AB116">AB$106+IF($C116&lt;&gt;0,SUMPRODUCT((AB$107:AB$108)*TRANSPOSE(($D116:$E116))),0)</f>
        <v>436178.05808820843</v>
      </c>
      <c r="AC116" s="31" cm="1">
        <f t="array" ref="AC116">AC$106+IF($C116&lt;&gt;0,SUMPRODUCT((AC$107:AC$108)*TRANSPOSE(($D116:$E116))),0)</f>
        <v>447158.10565471801</v>
      </c>
      <c r="AD116" s="31" cm="1">
        <f t="array" ref="AD116">AD$106+IF($C116&lt;&gt;0,SUMPRODUCT((AD$107:AD$108)*TRANSPOSE(($D116:$E116))),0)</f>
        <v>455130.50561862288</v>
      </c>
      <c r="AE116" s="31" cm="1">
        <f t="array" ref="AE116">AE$106+IF($C116&lt;&gt;0,SUMPRODUCT((AE$107:AE$108)*TRANSPOSE(($D116:$E116))),0)</f>
        <v>468202.28005211568</v>
      </c>
      <c r="AF116" s="31" cm="1">
        <f t="array" ref="AF116">AF$106+IF($C116&lt;&gt;0,SUMPRODUCT((AF$107:AF$108)*TRANSPOSE(($D116:$E116))),0)</f>
        <v>482721.82266697311</v>
      </c>
      <c r="AG116" s="31" cm="1">
        <f t="array" ref="AG116">AG$106+IF($C116&lt;&gt;0,SUMPRODUCT((AG$107:AG$108)*TRANSPOSE(($D116:$E116))),0)</f>
        <v>499710.80367711978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-117176.46583240927</v>
      </c>
      <c r="L117" s="31" cm="1">
        <f t="array" ref="L117">L$106+IF($C117&lt;&gt;0,SUMPRODUCT((L$107:L$108)*TRANSPOSE(($D117:$E117))),0)</f>
        <v>-138582.45997140717</v>
      </c>
      <c r="M117" s="31" cm="1">
        <f t="array" ref="M117">M$106+IF($C117&lt;&gt;0,SUMPRODUCT((M$107:M$108)*TRANSPOSE(($D117:$E117))),0)</f>
        <v>-133668.6692313877</v>
      </c>
      <c r="N117" s="31" cm="1">
        <f t="array" ref="N117">N$106+IF($C117&lt;&gt;0,SUMPRODUCT((N$107:N$108)*TRANSPOSE(($D117:$E117))),0)</f>
        <v>-127755.08633742927</v>
      </c>
      <c r="O117" s="31" cm="1">
        <f t="array" ref="O117">O$106+IF($C117&lt;&gt;0,SUMPRODUCT((O$107:O$108)*TRANSPOSE(($D117:$E117))),0)</f>
        <v>-120565.01440673313</v>
      </c>
      <c r="P117" s="31" cm="1">
        <f t="array" ref="P117">P$106+IF($C117&lt;&gt;0,SUMPRODUCT((P$107:P$108)*TRANSPOSE(($D117:$E117))),0)</f>
        <v>-276375.33515276975</v>
      </c>
      <c r="Q117" s="31" cm="1">
        <f t="array" ref="Q117">Q$106+IF($C117&lt;&gt;0,SUMPRODUCT((Q$107:Q$108)*TRANSPOSE(($D117:$E117))),0)</f>
        <v>-44814.598007432884</v>
      </c>
      <c r="R117" s="31" cm="1">
        <f t="array" ref="R117">R$106+IF($C117&lt;&gt;0,SUMPRODUCT((R$107:R$108)*TRANSPOSE(($D117:$E117))),0)</f>
        <v>-30985.419406221074</v>
      </c>
      <c r="S117" s="31" cm="1">
        <f t="array" ref="S117">S$106+IF($C117&lt;&gt;0,SUMPRODUCT((S$107:S$108)*TRANSPOSE(($D117:$E117))),0)</f>
        <v>-13473.425989093026</v>
      </c>
      <c r="T117" s="31" cm="1">
        <f t="array" ref="T117">T$106+IF($C117&lt;&gt;0,SUMPRODUCT((T$107:T$108)*TRANSPOSE(($D117:$E117))),0)</f>
        <v>8889.7864186942461</v>
      </c>
      <c r="U117" s="31" cm="1">
        <f t="array" ref="U117">U$106+IF($C117&lt;&gt;0,SUMPRODUCT((U$107:U$108)*TRANSPOSE(($D117:$E117))),0)</f>
        <v>37668.018285120605</v>
      </c>
      <c r="V117" s="31" cm="1">
        <f t="array" ref="V117">V$106+IF($C117&lt;&gt;0,SUMPRODUCT((V$107:V$108)*TRANSPOSE(($D117:$E117))),0)</f>
        <v>74963.063508485269</v>
      </c>
      <c r="W117" s="31" cm="1">
        <f t="array" ref="W117">W$106+IF($C117&lt;&gt;0,SUMPRODUCT((W$107:W$108)*TRANSPOSE(($D117:$E117))),0)</f>
        <v>123598.70023526641</v>
      </c>
      <c r="X117" s="31" cm="1">
        <f t="array" ref="X117">X$106+IF($C117&lt;&gt;0,SUMPRODUCT((X$107:X$108)*TRANSPOSE(($D117:$E117))),0)</f>
        <v>187373.14294810302</v>
      </c>
      <c r="Y117" s="31" cm="1">
        <f t="array" ref="Y117">Y$106+IF($C117&lt;&gt;0,SUMPRODUCT((Y$107:Y$108)*TRANSPOSE(($D117:$E117))),0)</f>
        <v>271400.46716106124</v>
      </c>
      <c r="Z117" s="31" cm="1">
        <f t="array" ref="Z117">Z$106+IF($C117&lt;&gt;0,SUMPRODUCT((Z$107:Z$108)*TRANSPOSE(($D117:$E117))),0)</f>
        <v>382572.49746848433</v>
      </c>
      <c r="AA117" s="31" cm="1">
        <f t="array" ref="AA117">AA$106+IF($C117&lt;&gt;0,SUMPRODUCT((AA$107:AA$108)*TRANSPOSE(($D117:$E117))),0)</f>
        <v>408262.89776998176</v>
      </c>
      <c r="AB117" s="31" cm="1">
        <f t="array" ref="AB117">AB$106+IF($C117&lt;&gt;0,SUMPRODUCT((AB$107:AB$108)*TRANSPOSE(($D117:$E117))),0)</f>
        <v>436178.05808820843</v>
      </c>
      <c r="AC117" s="31" cm="1">
        <f t="array" ref="AC117">AC$106+IF($C117&lt;&gt;0,SUMPRODUCT((AC$107:AC$108)*TRANSPOSE(($D117:$E117))),0)</f>
        <v>447158.10565471801</v>
      </c>
      <c r="AD117" s="31" cm="1">
        <f t="array" ref="AD117">AD$106+IF($C117&lt;&gt;0,SUMPRODUCT((AD$107:AD$108)*TRANSPOSE(($D117:$E117))),0)</f>
        <v>455130.50561862288</v>
      </c>
      <c r="AE117" s="31" cm="1">
        <f t="array" ref="AE117">AE$106+IF($C117&lt;&gt;0,SUMPRODUCT((AE$107:AE$108)*TRANSPOSE(($D117:$E117))),0)</f>
        <v>468202.28005211568</v>
      </c>
      <c r="AF117" s="31" cm="1">
        <f t="array" ref="AF117">AF$106+IF($C117&lt;&gt;0,SUMPRODUCT((AF$107:AF$108)*TRANSPOSE(($D117:$E117))),0)</f>
        <v>482721.82266697311</v>
      </c>
      <c r="AG117" s="31" cm="1">
        <f t="array" ref="AG117">AG$106+IF($C117&lt;&gt;0,SUMPRODUCT((AG$107:AG$108)*TRANSPOSE(($D117:$E117))),0)</f>
        <v>499710.80367711978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RD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2" t="s">
        <v>134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7"/>
      <c r="H24" s="111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34344.183402891664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2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2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6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156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RD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2" t="s">
        <v>185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34344.183402891664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2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2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156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RD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6"/>
      <c r="C6" s="117"/>
      <c r="D6" s="116"/>
      <c r="E6" s="116"/>
      <c r="F6" s="116"/>
      <c r="G6" s="101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1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3"/>
      <c r="H12" s="11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3"/>
      <c r="B13" s="123"/>
      <c r="C13" s="123"/>
      <c r="D13" s="118"/>
      <c r="F13" s="118"/>
      <c r="G13" s="220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7">
        <f>SUMPRODUCT($H14:$AG14, $H$5:$AG$5)</f>
        <v>6424548.3794539813</v>
      </c>
      <c r="G14" s="270">
        <f>output_dollars</f>
        <v>46203</v>
      </c>
      <c r="H14" s="271"/>
      <c r="I14" s="31">
        <f>'Option1 (base case)'!I$28*conv_2026</f>
        <v>228611.49596376988</v>
      </c>
      <c r="J14" s="31">
        <f>'Option1 (base case)'!J$28*conv_2026</f>
        <v>234243.71835023054</v>
      </c>
      <c r="K14" s="31">
        <f>'Option1 (base case)'!K$28*conv_2026</f>
        <v>245492.96151306358</v>
      </c>
      <c r="L14" s="31">
        <f>'Option1 (base case)'!L$28*conv_2026</f>
        <v>255232.27574231883</v>
      </c>
      <c r="M14" s="31">
        <f>'Option1 (base case)'!M$28*conv_2026</f>
        <v>260093.30891950367</v>
      </c>
      <c r="N14" s="31">
        <f>'Option1 (base case)'!N$28*conv_2026</f>
        <v>267589.0706900105</v>
      </c>
      <c r="O14" s="31">
        <f>'Option1 (base case)'!O$28*conv_2026</f>
        <v>281054.5095880031</v>
      </c>
      <c r="P14" s="31">
        <f>'Option1 (base case)'!P$28*conv_2026</f>
        <v>295793.64601623238</v>
      </c>
      <c r="Q14" s="31">
        <f>'Option1 (base case)'!Q$28*conv_2026</f>
        <v>305831.25561372039</v>
      </c>
      <c r="R14" s="31">
        <f>'Option1 (base case)'!R$28*conv_2026</f>
        <v>314830.80893242738</v>
      </c>
      <c r="S14" s="31">
        <f>'Option1 (base case)'!S$28*conv_2026</f>
        <v>326352.01857234468</v>
      </c>
      <c r="T14" s="31">
        <f>'Option1 (base case)'!T$28*conv_2026</f>
        <v>341211.73347506532</v>
      </c>
      <c r="U14" s="31">
        <f>'Option1 (base case)'!U$28*conv_2026</f>
        <v>360505.42963173514</v>
      </c>
      <c r="V14" s="31">
        <f>'Option1 (base case)'!V$28*conv_2026</f>
        <v>385704.09963613562</v>
      </c>
      <c r="W14" s="31">
        <f>'Option1 (base case)'!W$28*conv_2026</f>
        <v>418785.11824692757</v>
      </c>
      <c r="X14" s="31">
        <f>'Option1 (base case)'!X$28*conv_2026</f>
        <v>462409.0492873544</v>
      </c>
      <c r="Y14" s="31">
        <f>'Option1 (base case)'!Y$28*conv_2026</f>
        <v>520158.58333030145</v>
      </c>
      <c r="Z14" s="31">
        <f>'Option1 (base case)'!Z$28*conv_2026</f>
        <v>596861.51319055387</v>
      </c>
      <c r="AA14" s="31">
        <f>'Option1 (base case)'!AA$28*conv_2026</f>
        <v>604744.32331679587</v>
      </c>
      <c r="AB14" s="31">
        <f>'Option1 (base case)'!AB$28*conv_2026</f>
        <v>611059.29395045841</v>
      </c>
      <c r="AC14" s="31">
        <f>'Option1 (base case)'!AC$28*conv_2026</f>
        <v>617226.05996852356</v>
      </c>
      <c r="AD14" s="31">
        <f>'Option1 (base case)'!AD$28*conv_2026</f>
        <v>624012.19437376235</v>
      </c>
      <c r="AE14" s="31">
        <f>'Option1 (base case)'!AE$28*conv_2026</f>
        <v>631635.45789325971</v>
      </c>
      <c r="AF14" s="31">
        <f>'Option1 (base case)'!AF$28*conv_2026</f>
        <v>640233.59178997693</v>
      </c>
      <c r="AG14" s="31">
        <f>'Option1 (base case)'!AG$28*conv_2026</f>
        <v>649974.17885289772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7625219.2931454433</v>
      </c>
      <c r="G16" s="224">
        <f>output_dollars</f>
        <v>46203</v>
      </c>
      <c r="H16" s="31"/>
      <c r="I16" s="31">
        <f>'Option1 (base case)'!I$36*conv_2026</f>
        <v>297406.57819154736</v>
      </c>
      <c r="J16" s="31">
        <f>'Option1 (base case)'!J$36*conv_2026</f>
        <v>305982.37169316597</v>
      </c>
      <c r="K16" s="31">
        <f>'Option1 (base case)'!K$36*conv_2026</f>
        <v>320549.10334040719</v>
      </c>
      <c r="L16" s="31">
        <f>'Option1 (base case)'!L$36*conv_2026</f>
        <v>334052.15351933928</v>
      </c>
      <c r="M16" s="31">
        <f>'Option1 (base case)'!M$36*conv_2026</f>
        <v>343203.69601214258</v>
      </c>
      <c r="N16" s="31">
        <f>'Option1 (base case)'!N$36*conv_2026</f>
        <v>355625.51778809185</v>
      </c>
      <c r="O16" s="31">
        <f>'Option1 (base case)'!O$36*conv_2026</f>
        <v>374791.77503443469</v>
      </c>
      <c r="P16" s="31">
        <f>'Option1 (base case)'!P$36*conv_2026</f>
        <v>396192.57117111259</v>
      </c>
      <c r="Q16" s="31">
        <f>'Option1 (base case)'!Q$36*conv_2026</f>
        <v>414085.31934506039</v>
      </c>
      <c r="R16" s="31">
        <f>'Option1 (base case)'!R$36*conv_2026</f>
        <v>432434.98075225711</v>
      </c>
      <c r="S16" s="31">
        <f>'Option1 (base case)'!S$36*conv_2026</f>
        <v>455208.76240477944</v>
      </c>
      <c r="T16" s="31">
        <f>'Option1 (base case)'!T$36*conv_2026</f>
        <v>483752.1131930438</v>
      </c>
      <c r="U16" s="31">
        <f>'Option1 (base case)'!U$36*conv_2026</f>
        <v>519859.43008300703</v>
      </c>
      <c r="V16" s="31">
        <f>'Option1 (base case)'!V$36*conv_2026</f>
        <v>565935.18322943896</v>
      </c>
      <c r="W16" s="31">
        <f>'Option1 (base case)'!W$36*conv_2026</f>
        <v>625201.89511401078</v>
      </c>
      <c r="X16" s="31">
        <f>'Option1 (base case)'!X$36*conv_2026</f>
        <v>701985.37031216838</v>
      </c>
      <c r="Y16" s="31">
        <f>'Option1 (base case)'!Y$36*conv_2026</f>
        <v>802100.37286530924</v>
      </c>
      <c r="Z16" s="31">
        <f>'Option1 (base case)'!Z$36*conv_2026</f>
        <v>933372.2990250882</v>
      </c>
      <c r="AA16" s="31">
        <f>'Option1 (base case)'!AA$36*conv_2026</f>
        <v>970655.66744789435</v>
      </c>
      <c r="AB16" s="31">
        <f>'Option1 (base case)'!AB$36*conv_2026</f>
        <v>1011813.9922355129</v>
      </c>
      <c r="AC16" s="31">
        <f>'Option1 (base case)'!AC$36*conv_2026</f>
        <v>1036022.732767424</v>
      </c>
      <c r="AD16" s="31">
        <f>'Option1 (base case)'!AD$36*conv_2026</f>
        <v>1059206.806265339</v>
      </c>
      <c r="AE16" s="31">
        <f>'Option1 (base case)'!AE$36*conv_2026</f>
        <v>1085016.802516571</v>
      </c>
      <c r="AF16" s="31">
        <f>'Option1 (base case)'!AF$36*conv_2026</f>
        <v>1113834.6564367767</v>
      </c>
      <c r="AG16" s="31">
        <f>'Option1 (base case)'!AG$36*conv_2026</f>
        <v>1146122.1308302833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0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7">
        <f>SUMPRODUCT($H28:$AG28, $H$5:$AG$5)</f>
        <v>939769.2248328909</v>
      </c>
      <c r="G28" s="270">
        <f>output_dollars</f>
        <v>46203</v>
      </c>
      <c r="H28" s="271"/>
      <c r="I28" s="31">
        <f>Option2!I$28*conv_2026</f>
        <v>228611.49596376988</v>
      </c>
      <c r="J28" s="31">
        <f>Option2!J$28*conv_2026</f>
        <v>234243.71835023054</v>
      </c>
      <c r="K28" s="31">
        <f>Option2!K$28*conv_2026</f>
        <v>245492.96151306358</v>
      </c>
      <c r="L28" s="31">
        <f>Option2!L$28*conv_2026</f>
        <v>15259.089432622415</v>
      </c>
      <c r="M28" s="31">
        <f>Option2!M$28*conv_2026</f>
        <v>15515.94811130491</v>
      </c>
      <c r="N28" s="31">
        <f>Option2!N$28*conv_2026</f>
        <v>15901.887588777407</v>
      </c>
      <c r="O28" s="31">
        <f>Option2!O$28*conv_2026</f>
        <v>16600.978710743599</v>
      </c>
      <c r="P28" s="31">
        <f>Option2!P$28*conv_2026</f>
        <v>17325.484218034413</v>
      </c>
      <c r="Q28" s="31">
        <f>Option2!Q$28*conv_2026</f>
        <v>17710.215026141665</v>
      </c>
      <c r="R28" s="31">
        <f>Option2!R$28*conv_2026</f>
        <v>17944.348234020992</v>
      </c>
      <c r="S28" s="31">
        <f>Option2!S$28*conv_2026</f>
        <v>18201.39678656499</v>
      </c>
      <c r="T28" s="31">
        <f>Option2!T$28*conv_2026</f>
        <v>18483.679970713332</v>
      </c>
      <c r="U28" s="31">
        <f>Option2!U$28*conv_2026</f>
        <v>18793.758635169441</v>
      </c>
      <c r="V28" s="31">
        <f>Option2!V$28*conv_2026</f>
        <v>19134.461365349482</v>
      </c>
      <c r="W28" s="31">
        <f>Option2!W$28*conv_2026</f>
        <v>19508.91374479781</v>
      </c>
      <c r="X28" s="31">
        <f>Option2!X$28*conv_2026</f>
        <v>19920.571143810859</v>
      </c>
      <c r="Y28" s="31">
        <f>Option2!Y$28*conv_2026</f>
        <v>20373.255562554841</v>
      </c>
      <c r="Z28" s="31">
        <f>Option2!Z$28*conv_2026</f>
        <v>20871.197165674606</v>
      </c>
      <c r="AA28" s="31">
        <f>Option2!AA$28*conv_2026</f>
        <v>21419.081285666296</v>
      </c>
      <c r="AB28" s="31">
        <f>Option2!AB$28*conv_2026</f>
        <v>22022.101853050743</v>
      </c>
      <c r="AC28" s="31">
        <f>Option2!AC$28*conv_2026</f>
        <v>22691.538759332641</v>
      </c>
      <c r="AD28" s="31">
        <f>Option2!AD$28*conv_2026</f>
        <v>23433.677736698621</v>
      </c>
      <c r="AE28" s="31">
        <f>Option2!AE$28*conv_2026</f>
        <v>24250.058892258341</v>
      </c>
      <c r="AF28" s="31">
        <f>Option2!AF$28*conv_2026</f>
        <v>25152.868952042532</v>
      </c>
      <c r="AG28" s="31">
        <f>Option2!AG$28*conv_2026</f>
        <v>26152.819883616583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-7568261.0886384379</v>
      </c>
      <c r="G29" s="224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-5373269.2165532932</v>
      </c>
      <c r="K29" s="31">
        <f>SUM(Option2!K$67:K$69)*conv_2026*K$7</f>
        <v>-2686634.6082766466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1643381.6324293227</v>
      </c>
      <c r="G30" s="224">
        <f>output_dollars</f>
        <v>46203</v>
      </c>
      <c r="H30" s="31"/>
      <c r="I30" s="31">
        <f>Option2!I$36*conv_2026*I$7</f>
        <v>297406.57819154736</v>
      </c>
      <c r="J30" s="31">
        <f>Option2!J$36*conv_2026*J$7</f>
        <v>305982.37169316597</v>
      </c>
      <c r="K30" s="31">
        <f>Option2!K$36*conv_2026*K$7</f>
        <v>320549.10334040719</v>
      </c>
      <c r="L30" s="31">
        <f>Option2!L$36*conv_2026*L$7</f>
        <v>36487.201892639358</v>
      </c>
      <c r="M30" s="31">
        <f>Option2!M$36*conv_2026*M$7</f>
        <v>38396.004061532411</v>
      </c>
      <c r="N30" s="31">
        <f>Option2!N$36*conv_2026*N$7</f>
        <v>40600.379816012937</v>
      </c>
      <c r="O30" s="31">
        <f>Option2!O$36*conv_2026*O$7</f>
        <v>43306.410391218997</v>
      </c>
      <c r="P30" s="31">
        <f>Option2!P$36*conv_2026*P$7</f>
        <v>46253.060669883962</v>
      </c>
      <c r="Q30" s="31">
        <f>Option2!Q$36*conv_2026*Q$7</f>
        <v>49096.049459815338</v>
      </c>
      <c r="R30" s="31">
        <f>Option2!R$36*conv_2026*R$7</f>
        <v>52055.043112169646</v>
      </c>
      <c r="S30" s="31">
        <f>Option2!S$36*conv_2026*S$7</f>
        <v>55339.505826805915</v>
      </c>
      <c r="T30" s="31">
        <f>Option2!T$36*conv_2026*T$7</f>
        <v>58994.554711943289</v>
      </c>
      <c r="U30" s="31">
        <f>Option2!U$36*conv_2026*U$7</f>
        <v>63074.213416251601</v>
      </c>
      <c r="V30" s="31">
        <f>Option2!V$36*conv_2026*V$7</f>
        <v>67643.83908492206</v>
      </c>
      <c r="W30" s="31">
        <f>Option2!W$36*conv_2026*W$7</f>
        <v>72783.335789735633</v>
      </c>
      <c r="X30" s="31">
        <f>Option2!X$36*conv_2026*X$7</f>
        <v>78591.427174606622</v>
      </c>
      <c r="Y30" s="31">
        <f>Option2!Y$36*conv_2026*Y$7</f>
        <v>85191.357966598749</v>
      </c>
      <c r="Z30" s="31">
        <f>Option2!Z$36*conv_2026*Z$7</f>
        <v>92738.525669437295</v>
      </c>
      <c r="AA30" s="31">
        <f>Option2!AA$36*conv_2026*AA$7</f>
        <v>101430.72270520235</v>
      </c>
      <c r="AB30" s="31">
        <f>Option2!AB$36*conv_2026*AB$7</f>
        <v>111521.91254791968</v>
      </c>
      <c r="AC30" s="31">
        <f>Option2!AC$36*conv_2026*AC$7</f>
        <v>123510.81928480633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-5108478.2351423092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-267856.61020813405</v>
      </c>
      <c r="L32" s="31">
        <f>Option2!L$82*conv_2026*L$7</f>
        <v>-401784.91531220113</v>
      </c>
      <c r="M32" s="31">
        <f>Option2!M$82*conv_2026*M$7</f>
        <v>-401784.91531220113</v>
      </c>
      <c r="N32" s="31">
        <f>Option2!N$82*conv_2026*N$7</f>
        <v>-401784.91531220113</v>
      </c>
      <c r="O32" s="31">
        <f>Option2!O$82*conv_2026*O$7</f>
        <v>-401784.91531220113</v>
      </c>
      <c r="P32" s="31">
        <f>Option2!P$82*conv_2026*P$7</f>
        <v>-401784.91531220113</v>
      </c>
      <c r="Q32" s="31">
        <f>Option2!Q$82*conv_2026*Q$7</f>
        <v>-401784.91531220113</v>
      </c>
      <c r="R32" s="31">
        <f>Option2!R$82*conv_2026*R$7</f>
        <v>-401784.91531220113</v>
      </c>
      <c r="S32" s="31">
        <f>Option2!S$82*conv_2026*S$7</f>
        <v>-401784.91531220113</v>
      </c>
      <c r="T32" s="31">
        <f>Option2!T$82*conv_2026*T$7</f>
        <v>-401784.91531220113</v>
      </c>
      <c r="U32" s="31">
        <f>Option2!U$82*conv_2026*U$7</f>
        <v>-401784.91531220113</v>
      </c>
      <c r="V32" s="31">
        <f>Option2!V$82*conv_2026*V$7</f>
        <v>-401784.91531220113</v>
      </c>
      <c r="W32" s="31">
        <f>Option2!W$82*conv_2026*W$7</f>
        <v>-401784.91531220113</v>
      </c>
      <c r="X32" s="31">
        <f>Option2!X$82*conv_2026*X$7</f>
        <v>-401784.91531220113</v>
      </c>
      <c r="Y32" s="31">
        <f>Option2!Y$82*conv_2026*Y$7</f>
        <v>-401784.91531220113</v>
      </c>
      <c r="Z32" s="31">
        <f>Option2!Z$82*conv_2026*Z$7</f>
        <v>-401784.91531220113</v>
      </c>
      <c r="AA32" s="31">
        <f>Option2!AA$82*conv_2026*AA$7</f>
        <v>-401784.91531220113</v>
      </c>
      <c r="AB32" s="31">
        <f>Option2!AB$82*conv_2026*AB$7</f>
        <v>-401784.91531220113</v>
      </c>
      <c r="AC32" s="31">
        <f>Option2!AC$82*conv_2026*AC$7</f>
        <v>-401784.91531220113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4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5981837.6607161202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297564.95162669988</v>
      </c>
      <c r="M34" s="31">
        <f>Option2!M$84*conv_2026*M$7</f>
        <v>304807.6919506102</v>
      </c>
      <c r="N34" s="31">
        <f>Option2!N$84*conv_2026*N$7</f>
        <v>315025.13797207893</v>
      </c>
      <c r="O34" s="31">
        <f>Option2!O$84*conv_2026*O$7</f>
        <v>331485.36464321573</v>
      </c>
      <c r="P34" s="31">
        <f>Option2!P$84*conv_2026*P$7</f>
        <v>349939.51050122868</v>
      </c>
      <c r="Q34" s="31">
        <f>Option2!Q$84*conv_2026*Q$7</f>
        <v>364989.26988524507</v>
      </c>
      <c r="R34" s="31">
        <f>Option2!R$84*conv_2026*R$7</f>
        <v>380379.9376400875</v>
      </c>
      <c r="S34" s="31">
        <f>Option2!S$84*conv_2026*S$7</f>
        <v>399869.25657797349</v>
      </c>
      <c r="T34" s="31">
        <f>Option2!T$84*conv_2026*T$7</f>
        <v>424757.55848110048</v>
      </c>
      <c r="U34" s="31">
        <f>Option2!U$84*conv_2026*U$7</f>
        <v>456785.2166667555</v>
      </c>
      <c r="V34" s="31">
        <f>Option2!V$84*conv_2026*V$7</f>
        <v>498291.34414451692</v>
      </c>
      <c r="W34" s="31">
        <f>Option2!W$84*conv_2026*W$7</f>
        <v>552418.55932427512</v>
      </c>
      <c r="X34" s="31">
        <f>Option2!X$84*conv_2026*X$7</f>
        <v>623393.94313756179</v>
      </c>
      <c r="Y34" s="31">
        <f>Option2!Y$84*conv_2026*Y$7</f>
        <v>716909.01489871053</v>
      </c>
      <c r="Z34" s="31">
        <f>Option2!Z$84*conv_2026*Z$7</f>
        <v>840633.77335565083</v>
      </c>
      <c r="AA34" s="31">
        <f>Option2!AA$84*conv_2026*AA$7</f>
        <v>869224.94474269205</v>
      </c>
      <c r="AB34" s="31">
        <f>Option2!AB$84*conv_2026*AB$7</f>
        <v>900292.07968759327</v>
      </c>
      <c r="AC34" s="31">
        <f>Option2!AC$84*conv_2026*AC$7</f>
        <v>912511.91348261759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673464.21370252932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55645.632320829842</v>
      </c>
      <c r="M35" s="31">
        <f>Option2!M$85*conv_2026*M$7</f>
        <v>55645.632320829842</v>
      </c>
      <c r="N35" s="31">
        <f>Option2!N$85*conv_2026*N$7</f>
        <v>55645.632320829842</v>
      </c>
      <c r="O35" s="31">
        <f>Option2!O$85*conv_2026*O$7</f>
        <v>55645.632320829842</v>
      </c>
      <c r="P35" s="31">
        <f>Option2!P$85*conv_2026*P$7</f>
        <v>55645.632320829842</v>
      </c>
      <c r="Q35" s="31">
        <f>Option2!Q$85*conv_2026*Q$7</f>
        <v>55645.632320829842</v>
      </c>
      <c r="R35" s="31">
        <f>Option2!R$85*conv_2026*R$7</f>
        <v>55645.632320829842</v>
      </c>
      <c r="S35" s="31">
        <f>Option2!S$85*conv_2026*S$7</f>
        <v>55645.632320829842</v>
      </c>
      <c r="T35" s="31">
        <f>Option2!T$85*conv_2026*T$7</f>
        <v>55645.632320829842</v>
      </c>
      <c r="U35" s="31">
        <f>Option2!U$85*conv_2026*U$7</f>
        <v>55645.632320829842</v>
      </c>
      <c r="V35" s="31">
        <f>Option2!V$85*conv_2026*V$7</f>
        <v>55645.632320829842</v>
      </c>
      <c r="W35" s="31">
        <f>Option2!W$85*conv_2026*W$7</f>
        <v>55645.632320829842</v>
      </c>
      <c r="X35" s="31">
        <f>Option2!X$85*conv_2026*X$7</f>
        <v>55645.632320829842</v>
      </c>
      <c r="Y35" s="31">
        <f>Option2!Y$85*conv_2026*Y$7</f>
        <v>55645.632320829842</v>
      </c>
      <c r="Z35" s="31">
        <f>Option2!Z$85*conv_2026*Z$7</f>
        <v>55645.632320829842</v>
      </c>
      <c r="AA35" s="31">
        <f>Option2!AA$85*conv_2026*AA$7</f>
        <v>55645.632320829842</v>
      </c>
      <c r="AB35" s="31">
        <f>Option2!AB$85*conv_2026*AB$7</f>
        <v>55645.632320829842</v>
      </c>
      <c r="AC35" s="31">
        <f>Option2!AC$85*conv_2026*AC$7</f>
        <v>55645.632320829842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6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-267856.61020813405</v>
      </c>
      <c r="L36" s="52">
        <f t="shared" si="9"/>
        <v>-48574.331364671409</v>
      </c>
      <c r="M36" s="52">
        <f t="shared" si="9"/>
        <v>-41331.591040761094</v>
      </c>
      <c r="N36" s="52">
        <f t="shared" si="9"/>
        <v>-31114.145019292366</v>
      </c>
      <c r="O36" s="52">
        <f t="shared" si="9"/>
        <v>-14653.918348155566</v>
      </c>
      <c r="P36" s="52">
        <f t="shared" si="9"/>
        <v>3800.2275098573882</v>
      </c>
      <c r="Q36" s="52">
        <f t="shared" si="9"/>
        <v>18849.986893873778</v>
      </c>
      <c r="R36" s="52">
        <f t="shared" si="9"/>
        <v>34240.654648716212</v>
      </c>
      <c r="S36" s="52">
        <f t="shared" si="9"/>
        <v>53729.973586602195</v>
      </c>
      <c r="T36" s="52">
        <f t="shared" si="9"/>
        <v>78618.275489729189</v>
      </c>
      <c r="U36" s="52">
        <f t="shared" si="9"/>
        <v>110645.93367538421</v>
      </c>
      <c r="V36" s="52">
        <f t="shared" si="9"/>
        <v>152152.06115314562</v>
      </c>
      <c r="W36" s="52">
        <f t="shared" si="9"/>
        <v>206279.27633290383</v>
      </c>
      <c r="X36" s="52">
        <f t="shared" si="9"/>
        <v>277254.66014619049</v>
      </c>
      <c r="Y36" s="52">
        <f t="shared" si="9"/>
        <v>370769.73190733924</v>
      </c>
      <c r="Z36" s="52">
        <f t="shared" si="9"/>
        <v>494494.49036427954</v>
      </c>
      <c r="AA36" s="52">
        <f t="shared" si="9"/>
        <v>523085.66175132076</v>
      </c>
      <c r="AB36" s="52">
        <f t="shared" si="9"/>
        <v>554152.79669622192</v>
      </c>
      <c r="AC36" s="52">
        <f t="shared" si="9"/>
        <v>566372.63049124624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1546823.639276342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189</v>
      </c>
      <c r="D38" s="38" t="str">
        <f t="shared" si="6"/>
        <v>Option 2PV of costs</v>
      </c>
      <c r="E38" s="1"/>
      <c r="F38" s="108">
        <f>SUM(F32:F33)</f>
        <v>-5108478.2351423092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190</v>
      </c>
      <c r="D39" s="38" t="str">
        <f t="shared" si="6"/>
        <v>Option 2PV of benefits</v>
      </c>
      <c r="E39" s="1"/>
      <c r="F39" s="108">
        <f>SUM(F34:F35)</f>
        <v>6655301.8744186498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7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0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7">
        <f>SUMPRODUCT($H42:$AG42, $H$5:$AG$5)</f>
        <v>1886182.9764981812</v>
      </c>
      <c r="G42" s="270">
        <f>output_dollars</f>
        <v>46203</v>
      </c>
      <c r="H42" s="271"/>
      <c r="I42" s="31">
        <f>Option3!I$28*conv_2026</f>
        <v>228611.49596376988</v>
      </c>
      <c r="J42" s="31">
        <f>Option3!J$28*conv_2026</f>
        <v>234243.71835023054</v>
      </c>
      <c r="K42" s="31">
        <f>Option3!K$28*conv_2026</f>
        <v>245492.96151306358</v>
      </c>
      <c r="L42" s="31">
        <f>Option3!L$28*conv_2026</f>
        <v>235384.7814387113</v>
      </c>
      <c r="M42" s="31">
        <f>Option3!M$28*conv_2026</f>
        <v>237415.76058489169</v>
      </c>
      <c r="N42" s="31">
        <f>Option3!N$28*conv_2026</f>
        <v>241437.84489551367</v>
      </c>
      <c r="O42" s="31">
        <f>Option3!O$28*conv_2026</f>
        <v>250595.2407083</v>
      </c>
      <c r="P42" s="31">
        <f>Option3!P$28*conv_2026</f>
        <v>259911.24911296932</v>
      </c>
      <c r="Q42" s="31">
        <f>Option3!Q$28*conv_2026</f>
        <v>17710.215026141672</v>
      </c>
      <c r="R42" s="31">
        <f>Option3!R$28*conv_2026</f>
        <v>17944.348234020992</v>
      </c>
      <c r="S42" s="31">
        <f>Option3!S$28*conv_2026</f>
        <v>18201.39678656499</v>
      </c>
      <c r="T42" s="31">
        <f>Option3!T$28*conv_2026</f>
        <v>18483.679970713332</v>
      </c>
      <c r="U42" s="31">
        <f>Option3!U$28*conv_2026</f>
        <v>18793.758635169441</v>
      </c>
      <c r="V42" s="31">
        <f>Option3!V$28*conv_2026</f>
        <v>19134.461365349482</v>
      </c>
      <c r="W42" s="31">
        <f>Option3!W$28*conv_2026</f>
        <v>19508.91374479781</v>
      </c>
      <c r="X42" s="31">
        <f>Option3!X$28*conv_2026</f>
        <v>19920.571143810859</v>
      </c>
      <c r="Y42" s="31">
        <f>Option3!Y$28*conv_2026</f>
        <v>20373.255562554841</v>
      </c>
      <c r="Z42" s="31">
        <f>Option3!Z$28*conv_2026</f>
        <v>20871.197165674606</v>
      </c>
      <c r="AA42" s="31">
        <f>Option3!AA$28*conv_2026</f>
        <v>21419.081285666296</v>
      </c>
      <c r="AB42" s="31">
        <f>Option3!AB$28*conv_2026</f>
        <v>22022.101853050743</v>
      </c>
      <c r="AC42" s="31">
        <f>Option3!AC$28*conv_2026</f>
        <v>22691.538759332641</v>
      </c>
      <c r="AD42" s="31">
        <f>Option3!AD$28*conv_2026</f>
        <v>23433.677736698621</v>
      </c>
      <c r="AE42" s="31">
        <f>Option3!AE$28*conv_2026</f>
        <v>24250.058892258341</v>
      </c>
      <c r="AF42" s="31">
        <f>Option3!AF$28*conv_2026</f>
        <v>25152.868952042532</v>
      </c>
      <c r="AG42" s="31">
        <f>Option3!AG$28*conv_2026</f>
        <v>26152.819883616583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-8125122.6405858137</v>
      </c>
      <c r="G43" s="224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-2149307.6866213176</v>
      </c>
      <c r="K43" s="31">
        <f>SUM(Option3!K$67:K$69)*conv_2026*K$7</f>
        <v>-1074653.8433106588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-4298615.3732426353</v>
      </c>
      <c r="P43" s="31">
        <f>SUM(Option3!P$67:P$69)*conv_2026*P$7</f>
        <v>-2149307.6866213176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2739185.4410134917</v>
      </c>
      <c r="G44" s="224">
        <f>output_dollars</f>
        <v>46203</v>
      </c>
      <c r="H44" s="31"/>
      <c r="I44" s="31">
        <f>Option3!I$36*conv_2026*I$7</f>
        <v>297406.57819154736</v>
      </c>
      <c r="J44" s="31">
        <f>Option3!J$36*conv_2026*J$7</f>
        <v>305982.37169316597</v>
      </c>
      <c r="K44" s="31">
        <f>Option3!K$36*conv_2026*K$7</f>
        <v>320549.10334040719</v>
      </c>
      <c r="L44" s="31">
        <f>Option3!L$36*conv_2026*L$7</f>
        <v>292671.56976210431</v>
      </c>
      <c r="M44" s="31">
        <f>Option3!M$36*conv_2026*M$7</f>
        <v>296354.4923984952</v>
      </c>
      <c r="N44" s="31">
        <f>Option3!N$36*conv_2026*N$7</f>
        <v>302195.01298612525</v>
      </c>
      <c r="O44" s="31">
        <f>Option3!O$36*conv_2026*O$7</f>
        <v>313359.34825215139</v>
      </c>
      <c r="P44" s="31">
        <f>Option3!P$36*conv_2026*P$7</f>
        <v>324897.50142819493</v>
      </c>
      <c r="Q44" s="31">
        <f>Option3!Q$36*conv_2026*Q$7</f>
        <v>49096.049459815345</v>
      </c>
      <c r="R44" s="31">
        <f>Option3!R$36*conv_2026*R$7</f>
        <v>52055.043112169646</v>
      </c>
      <c r="S44" s="31">
        <f>Option3!S$36*conv_2026*S$7</f>
        <v>55339.505826805915</v>
      </c>
      <c r="T44" s="31">
        <f>Option3!T$36*conv_2026*T$7</f>
        <v>58994.554711943289</v>
      </c>
      <c r="U44" s="31">
        <f>Option3!U$36*conv_2026*U$7</f>
        <v>63074.213416251601</v>
      </c>
      <c r="V44" s="31">
        <f>Option3!V$36*conv_2026*V$7</f>
        <v>67643.83908492206</v>
      </c>
      <c r="W44" s="31">
        <f>Option3!W$36*conv_2026*W$7</f>
        <v>72783.335789735633</v>
      </c>
      <c r="X44" s="31">
        <f>Option3!X$36*conv_2026*X$7</f>
        <v>78591.427174606622</v>
      </c>
      <c r="Y44" s="31">
        <f>Option3!Y$36*conv_2026*Y$7</f>
        <v>85191.357966598749</v>
      </c>
      <c r="Z44" s="31">
        <f>Option3!Z$36*conv_2026*Z$7</f>
        <v>92738.525669437295</v>
      </c>
      <c r="AA44" s="31">
        <f>Option3!AA$36*conv_2026*AA$7</f>
        <v>101430.72270520235</v>
      </c>
      <c r="AB44" s="31">
        <f>Option3!AB$36*conv_2026*AB$7</f>
        <v>111521.91254791968</v>
      </c>
      <c r="AC44" s="31">
        <f>Option3!AC$36*conv_2026*AC$7</f>
        <v>123510.81928480633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-4816803.4968028003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-130407.17068729053</v>
      </c>
      <c r="L46" s="31">
        <f>Option3!L$82*conv_2026*L$7</f>
        <v>-195610.75603093582</v>
      </c>
      <c r="M46" s="31">
        <f>Option3!M$82*conv_2026*M$7</f>
        <v>-195610.75603093582</v>
      </c>
      <c r="N46" s="31">
        <f>Option3!N$82*conv_2026*N$7</f>
        <v>-195610.75603093582</v>
      </c>
      <c r="O46" s="31">
        <f>Option3!O$82*conv_2026*O$7</f>
        <v>-195610.75603093582</v>
      </c>
      <c r="P46" s="31">
        <f>Option3!P$82*conv_2026*P$7</f>
        <v>-378876.67539206054</v>
      </c>
      <c r="Q46" s="31">
        <f>Option3!Q$82*conv_2026*Q$7</f>
        <v>-470509.63507262297</v>
      </c>
      <c r="R46" s="31">
        <f>Option3!R$82*conv_2026*R$7</f>
        <v>-470509.63507262297</v>
      </c>
      <c r="S46" s="31">
        <f>Option3!S$82*conv_2026*S$7</f>
        <v>-470509.63507262297</v>
      </c>
      <c r="T46" s="31">
        <f>Option3!T$82*conv_2026*T$7</f>
        <v>-470509.63507262297</v>
      </c>
      <c r="U46" s="31">
        <f>Option3!U$82*conv_2026*U$7</f>
        <v>-470509.63507262297</v>
      </c>
      <c r="V46" s="31">
        <f>Option3!V$82*conv_2026*V$7</f>
        <v>-470509.63507262297</v>
      </c>
      <c r="W46" s="31">
        <f>Option3!W$82*conv_2026*W$7</f>
        <v>-470509.63507262297</v>
      </c>
      <c r="X46" s="31">
        <f>Option3!X$82*conv_2026*X$7</f>
        <v>-470509.63507262297</v>
      </c>
      <c r="Y46" s="31">
        <f>Option3!Y$82*conv_2026*Y$7</f>
        <v>-470509.63507262297</v>
      </c>
      <c r="Z46" s="31">
        <f>Option3!Z$82*conv_2026*Z$7</f>
        <v>-470509.63507262297</v>
      </c>
      <c r="AA46" s="31">
        <f>Option3!AA$82*conv_2026*AA$7</f>
        <v>-470509.63507262297</v>
      </c>
      <c r="AB46" s="31">
        <f>Option3!AB$82*conv_2026*AB$7</f>
        <v>-470509.63507262297</v>
      </c>
      <c r="AC46" s="31">
        <f>Option3!AC$82*conv_2026*AC$7</f>
        <v>-470509.63507262297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4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4886033.8521319525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41380.583757234963</v>
      </c>
      <c r="M48" s="31">
        <f>Option3!M$84*conv_2026*M$7</f>
        <v>46849.203613647398</v>
      </c>
      <c r="N48" s="31">
        <f>Option3!N$84*conv_2026*N$7</f>
        <v>53430.504801966592</v>
      </c>
      <c r="O48" s="31">
        <f>Option3!O$84*conv_2026*O$7</f>
        <v>61432.426782283328</v>
      </c>
      <c r="P48" s="31">
        <f>Option3!P$84*conv_2026*P$7</f>
        <v>71295.069742917665</v>
      </c>
      <c r="Q48" s="31">
        <f>Option3!Q$84*conv_2026*Q$7</f>
        <v>364989.26988524507</v>
      </c>
      <c r="R48" s="31">
        <f>Option3!R$84*conv_2026*R$7</f>
        <v>380379.9376400875</v>
      </c>
      <c r="S48" s="31">
        <f>Option3!S$84*conv_2026*S$7</f>
        <v>399869.25657797349</v>
      </c>
      <c r="T48" s="31">
        <f>Option3!T$84*conv_2026*T$7</f>
        <v>424757.55848110048</v>
      </c>
      <c r="U48" s="31">
        <f>Option3!U$84*conv_2026*U$7</f>
        <v>456785.2166667555</v>
      </c>
      <c r="V48" s="31">
        <f>Option3!V$84*conv_2026*V$7</f>
        <v>498291.34414451692</v>
      </c>
      <c r="W48" s="31">
        <f>Option3!W$84*conv_2026*W$7</f>
        <v>552418.55932427512</v>
      </c>
      <c r="X48" s="31">
        <f>Option3!X$84*conv_2026*X$7</f>
        <v>623393.94313756179</v>
      </c>
      <c r="Y48" s="31">
        <f>Option3!Y$84*conv_2026*Y$7</f>
        <v>716909.01489871053</v>
      </c>
      <c r="Z48" s="31">
        <f>Option3!Z$84*conv_2026*Z$7</f>
        <v>840633.77335565083</v>
      </c>
      <c r="AA48" s="31">
        <f>Option3!AA$84*conv_2026*AA$7</f>
        <v>869224.94474269205</v>
      </c>
      <c r="AB48" s="31">
        <f>Option3!AB$84*conv_2026*AB$7</f>
        <v>900292.07968759327</v>
      </c>
      <c r="AC48" s="31">
        <f>Option3!AC$84*conv_2026*AC$7</f>
        <v>912511.91348261759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442925.95957492932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55645.632320829842</v>
      </c>
      <c r="R49" s="31">
        <f>Option3!R$85*conv_2026*R$7</f>
        <v>55645.632320829842</v>
      </c>
      <c r="S49" s="31">
        <f>Option3!S$85*conv_2026*S$7</f>
        <v>55645.632320829842</v>
      </c>
      <c r="T49" s="31">
        <f>Option3!T$85*conv_2026*T$7</f>
        <v>55645.632320829842</v>
      </c>
      <c r="U49" s="31">
        <f>Option3!U$85*conv_2026*U$7</f>
        <v>55645.632320829842</v>
      </c>
      <c r="V49" s="31">
        <f>Option3!V$85*conv_2026*V$7</f>
        <v>55645.632320829842</v>
      </c>
      <c r="W49" s="31">
        <f>Option3!W$85*conv_2026*W$7</f>
        <v>55645.632320829842</v>
      </c>
      <c r="X49" s="31">
        <f>Option3!X$85*conv_2026*X$7</f>
        <v>55645.632320829842</v>
      </c>
      <c r="Y49" s="31">
        <f>Option3!Y$85*conv_2026*Y$7</f>
        <v>55645.632320829842</v>
      </c>
      <c r="Z49" s="31">
        <f>Option3!Z$85*conv_2026*Z$7</f>
        <v>55645.632320829842</v>
      </c>
      <c r="AA49" s="31">
        <f>Option3!AA$85*conv_2026*AA$7</f>
        <v>55645.632320829842</v>
      </c>
      <c r="AB49" s="31">
        <f>Option3!AB$85*conv_2026*AB$7</f>
        <v>55645.632320829842</v>
      </c>
      <c r="AC49" s="31">
        <f>Option3!AC$85*conv_2026*AC$7</f>
        <v>55645.632320829842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6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-130407.17068729053</v>
      </c>
      <c r="L50" s="52">
        <f t="shared" si="13"/>
        <v>-154230.17227370085</v>
      </c>
      <c r="M50" s="52">
        <f t="shared" si="13"/>
        <v>-148761.55241728842</v>
      </c>
      <c r="N50" s="52">
        <f t="shared" si="13"/>
        <v>-142180.25122896922</v>
      </c>
      <c r="O50" s="52">
        <f t="shared" si="13"/>
        <v>-134178.3292486525</v>
      </c>
      <c r="P50" s="52">
        <f t="shared" si="13"/>
        <v>-307581.60564914288</v>
      </c>
      <c r="Q50" s="52">
        <f t="shared" si="13"/>
        <v>-49874.73286654806</v>
      </c>
      <c r="R50" s="52">
        <f t="shared" si="13"/>
        <v>-34484.065111705626</v>
      </c>
      <c r="S50" s="52">
        <f t="shared" si="13"/>
        <v>-14994.746173819643</v>
      </c>
      <c r="T50" s="52">
        <f t="shared" si="13"/>
        <v>9893.5557293073507</v>
      </c>
      <c r="U50" s="52">
        <f t="shared" si="13"/>
        <v>41921.213914962369</v>
      </c>
      <c r="V50" s="52">
        <f t="shared" si="13"/>
        <v>83427.341392723785</v>
      </c>
      <c r="W50" s="52">
        <f t="shared" si="13"/>
        <v>137554.55657248199</v>
      </c>
      <c r="X50" s="52">
        <f t="shared" si="13"/>
        <v>208529.94038576866</v>
      </c>
      <c r="Y50" s="52">
        <f t="shared" si="13"/>
        <v>302045.0121469174</v>
      </c>
      <c r="Z50" s="52">
        <f t="shared" si="13"/>
        <v>425769.7706038577</v>
      </c>
      <c r="AA50" s="52">
        <f t="shared" si="13"/>
        <v>454360.94199089892</v>
      </c>
      <c r="AB50" s="52">
        <f t="shared" si="13"/>
        <v>485428.07693580014</v>
      </c>
      <c r="AC50" s="52">
        <f>SUM(AC46:AC49)</f>
        <v>497647.91073082446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512156.31490408222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189</v>
      </c>
      <c r="D52" s="38" t="str">
        <f t="shared" si="11"/>
        <v>Option 3PV of costs</v>
      </c>
      <c r="E52" s="1"/>
      <c r="F52" s="108">
        <f>SUM(F46:F47)</f>
        <v>-4816803.4968028003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190</v>
      </c>
      <c r="D53" s="38" t="str">
        <f t="shared" si="11"/>
        <v>Option 3PV of benefits</v>
      </c>
      <c r="E53" s="1"/>
      <c r="F53" s="108">
        <f>SUM(F48:F49)</f>
        <v>5328959.811706882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7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0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7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4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7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0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7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0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202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Summary!$C$26</f>
        <v>Option 2</v>
      </c>
      <c r="B91" s="139"/>
      <c r="C91" s="195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6" cm="1">
        <f t="array" ref="I91">MAX($D91*INDEX(I$15:W$81, MATCH($A91&amp;$C91, $D$15:$D$81,0),))/mill_conv</f>
        <v>0.40178491531220112</v>
      </c>
      <c r="J91" s="296" cm="1">
        <f t="array" ref="J91">MAX($D91*INDEX(J$15:X$81, MATCH($A91&amp;$C91, $D$15:$D$81,0),))/mill_conv</f>
        <v>0.40178491531220112</v>
      </c>
      <c r="K91" s="296" cm="1">
        <f t="array" ref="K91">MAX($D91*INDEX(K$15:Y$81, MATCH($A91&amp;$C91, $D$15:$D$81,0),))/mill_conv</f>
        <v>0.40178491531220112</v>
      </c>
      <c r="L91" s="296" cm="1">
        <f t="array" ref="L91">MAX($D91*INDEX(L$15:Z$81, MATCH($A91&amp;$C91, $D$15:$D$81,0),))/mill_conv</f>
        <v>0.40178491531220112</v>
      </c>
      <c r="M91" s="296" cm="1">
        <f t="array" ref="M91">MAX($D91*INDEX(M$15:AA$81, MATCH($A91&amp;$C91, $D$15:$D$81,0),))/mill_conv</f>
        <v>0.40178491531220112</v>
      </c>
      <c r="N91" s="296" cm="1">
        <f t="array" ref="N91">MAX($D91*INDEX(N$15:AB$81, MATCH($A91&amp;$C91, $D$15:$D$81,0),))/mill_conv</f>
        <v>0.40178491531220112</v>
      </c>
      <c r="O91" s="296" cm="1">
        <f t="array" ref="O91">MAX($D91*INDEX(O$15:AC$81, MATCH($A91&amp;$C91, $D$15:$D$81,0),))/mill_conv</f>
        <v>0.40178491531220112</v>
      </c>
      <c r="P91" s="296" cm="1">
        <f t="array" ref="P91">MAX($D91*INDEX(P$15:AD$81, MATCH($A91&amp;$C91, $D$15:$D$81,0),))/mill_conv</f>
        <v>0.40178491531220112</v>
      </c>
      <c r="Q91" s="296" cm="1">
        <f t="array" ref="Q91">MAX($D91*INDEX(Q$15:AE$81, MATCH($A91&amp;$C91, $D$15:$D$81,0),))/mill_conv</f>
        <v>0.40178491531220112</v>
      </c>
      <c r="R91" s="296" cm="1">
        <f t="array" ref="R91">MAX($D91*INDEX(R$15:AF$81, MATCH($A91&amp;$C91, $D$15:$D$81,0),))/mill_conv</f>
        <v>0.40178491531220112</v>
      </c>
      <c r="S91" s="296" cm="1">
        <f t="array" ref="S91">MAX($D91*INDEX(S$15:AG$81, MATCH($A91&amp;$C91, $D$15:$D$81,0),))/mill_conv</f>
        <v>0.40178491531220112</v>
      </c>
      <c r="T91" s="296" cm="1">
        <f t="array" ref="T91">MAX($D91*INDEX(T$15:AH$81, MATCH($A91&amp;$C91, $D$15:$D$81,0),))/mill_conv</f>
        <v>0.40178491531220112</v>
      </c>
      <c r="U91" s="296" cm="1">
        <f t="array" ref="U91">MAX($D91*INDEX(U$15:AI$81, MATCH($A91&amp;$C91, $D$15:$D$81,0),))/mill_conv</f>
        <v>0.40178491531220112</v>
      </c>
      <c r="V91" s="296" cm="1">
        <f t="array" ref="V91">MAX($D91*INDEX(V$15:AJ$81, MATCH($A91&amp;$C91, $D$15:$D$81,0),))/mill_conv</f>
        <v>0.40178491531220112</v>
      </c>
      <c r="W91" s="296" cm="1">
        <f t="array" ref="W91">MAX($D91*INDEX(W$15:AK$81, MATCH($A91&amp;$C91, $D$15:$D$81,0),))/mill_conv</f>
        <v>0.40178491531220112</v>
      </c>
      <c r="X91" s="296" cm="1">
        <f t="array" ref="X91">MAX($D91*INDEX(X$15:AL$81, MATCH($A91&amp;$C91, $D$15:$D$81,0),))/mill_conv</f>
        <v>0.40178491531220112</v>
      </c>
      <c r="Y91" s="296" cm="1">
        <f t="array" ref="Y91">MAX($D91*INDEX(Y$15:AM$81, MATCH($A91&amp;$C91, $D$15:$D$81,0),))/mill_conv</f>
        <v>0.40178491531220112</v>
      </c>
      <c r="Z91" s="296" cm="1">
        <f t="array" ref="Z91">MAX($D91*INDEX(Z$15:AN$81, MATCH($A91&amp;$C91, $D$15:$D$81,0),))/mill_conv</f>
        <v>0.40178491531220112</v>
      </c>
      <c r="AA91" s="296" cm="1">
        <f t="array" ref="AA91">MAX($D91*INDEX(AA$15:AO$81, MATCH($A91&amp;$C91, $D$15:$D$81,0),))/mill_conv</f>
        <v>0.40178491531220112</v>
      </c>
      <c r="AB91" s="296" cm="1">
        <f t="array" ref="AB91">MAX($D91*INDEX(AB$15:AP$81, MATCH($A91&amp;$C91, $D$15:$D$81,0),))/mill_conv</f>
        <v>0.40178491531220112</v>
      </c>
      <c r="AC91" s="296" cm="1">
        <f t="array" ref="AC91">MAX($D91*INDEX(AC$15:AQ$81, MATCH($A91&amp;$C91, $D$15:$D$81,0),))/mill_conv</f>
        <v>0.40178491531220112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9"/>
      <c r="C92" s="196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6">
        <f t="shared" ref="I92:R92" si="23">$D92*INDEX(I$15:I$81, MATCH($A92&amp;$C92, $D$15:$D$81,0))/mill_conv</f>
        <v>0.29740657819154737</v>
      </c>
      <c r="J92" s="296">
        <f t="shared" si="23"/>
        <v>0.305982371693166</v>
      </c>
      <c r="K92" s="296">
        <f t="shared" si="23"/>
        <v>0.3205491033404072</v>
      </c>
      <c r="L92" s="296">
        <f t="shared" si="23"/>
        <v>0.33405215351933926</v>
      </c>
      <c r="M92" s="296">
        <f t="shared" si="23"/>
        <v>0.34320369601214257</v>
      </c>
      <c r="N92" s="296">
        <f t="shared" si="23"/>
        <v>0.35562551778809187</v>
      </c>
      <c r="O92" s="296">
        <f t="shared" si="23"/>
        <v>0.37479177503443467</v>
      </c>
      <c r="P92" s="296">
        <f t="shared" si="23"/>
        <v>0.39619257117111262</v>
      </c>
      <c r="Q92" s="296">
        <f t="shared" si="23"/>
        <v>0.41408531934506038</v>
      </c>
      <c r="R92" s="296">
        <f t="shared" si="23"/>
        <v>0.43243498075225711</v>
      </c>
      <c r="S92" s="296">
        <f t="shared" ref="S92:AG92" si="24">$D92*INDEX(S$15:S$81, MATCH($A92&amp;$C92, $D$15:$D$81,0))/mill_conv</f>
        <v>0.45520876240477942</v>
      </c>
      <c r="T92" s="296">
        <f t="shared" si="24"/>
        <v>0.48375211319304379</v>
      </c>
      <c r="U92" s="296">
        <f t="shared" si="24"/>
        <v>0.51985943008300706</v>
      </c>
      <c r="V92" s="296">
        <f t="shared" si="24"/>
        <v>0.56593518322943892</v>
      </c>
      <c r="W92" s="296">
        <f t="shared" si="24"/>
        <v>0.62520189511401081</v>
      </c>
      <c r="X92" s="296">
        <f t="shared" si="24"/>
        <v>0.70198537031216834</v>
      </c>
      <c r="Y92" s="296">
        <f t="shared" si="24"/>
        <v>0.80210037286530922</v>
      </c>
      <c r="Z92" s="296">
        <f t="shared" si="24"/>
        <v>0.93337229902508823</v>
      </c>
      <c r="AA92" s="296">
        <f t="shared" si="24"/>
        <v>0.97065566744789433</v>
      </c>
      <c r="AB92" s="296">
        <f t="shared" si="24"/>
        <v>1.0118139922355129</v>
      </c>
      <c r="AC92" s="296">
        <f t="shared" si="24"/>
        <v>1.0360227327674241</v>
      </c>
      <c r="AD92" s="296">
        <f t="shared" si="24"/>
        <v>1.059206806265339</v>
      </c>
      <c r="AE92" s="296">
        <f t="shared" si="24"/>
        <v>1.085016802516571</v>
      </c>
      <c r="AF92" s="296">
        <f t="shared" si="24"/>
        <v>1.1138346564367767</v>
      </c>
      <c r="AG92" s="296">
        <f t="shared" si="24"/>
        <v>1.1461221308302834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234</v>
      </c>
      <c r="B98" s="139"/>
      <c r="C98" s="195" t="s">
        <v>123</v>
      </c>
      <c r="D98" s="189">
        <f>MAX(H98:AG98)</f>
        <v>0</v>
      </c>
      <c r="E98" s="292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9"/>
      <c r="C99" s="196" t="s">
        <v>124</v>
      </c>
      <c r="D99" s="189">
        <f>MAX(H99:AG99)</f>
        <v>0.58402982565227557</v>
      </c>
      <c r="E99" s="292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0.20541728652276783</v>
      </c>
      <c r="J99" s="119">
        <f>INDEX('Option1 (base case)'!J$14:J$87, MATCH($C99, 'Option1 (base case)'!$C$14:$C$87,0))/10^6</f>
        <v>0.21047808119034173</v>
      </c>
      <c r="K99" s="119">
        <f>INDEX('Option1 (base case)'!K$14:K$87, MATCH($C99, 'Option1 (base case)'!$C$14:$C$87,0))/10^6</f>
        <v>0.22058601122335358</v>
      </c>
      <c r="L99" s="119">
        <f>INDEX('Option1 (base case)'!L$14:L$87, MATCH($C99, 'Option1 (base case)'!$C$14:$C$87,0))/10^6</f>
        <v>0.22933720500357913</v>
      </c>
      <c r="M99" s="119">
        <f>INDEX('Option1 (base case)'!M$14:M$87, MATCH($C99, 'Option1 (base case)'!$C$14:$C$87,0))/10^6</f>
        <v>0.23370505291404775</v>
      </c>
      <c r="N99" s="119">
        <f>INDEX('Option1 (base case)'!N$14:N$87, MATCH($C99, 'Option1 (base case)'!$C$14:$C$87,0))/10^6</f>
        <v>0.24044031807132851</v>
      </c>
      <c r="O99" s="119">
        <f>INDEX('Option1 (base case)'!O$14:O$87, MATCH($C99, 'Option1 (base case)'!$C$14:$C$87,0))/10^6</f>
        <v>0.25253959553155791</v>
      </c>
      <c r="P99" s="119">
        <f>INDEX('Option1 (base case)'!P$14:P$87, MATCH($C99, 'Option1 (base case)'!$C$14:$C$87,0))/10^6</f>
        <v>0.26578334514271296</v>
      </c>
      <c r="Q99" s="119">
        <f>INDEX('Option1 (base case)'!Q$14:Q$87, MATCH($C99, 'Option1 (base case)'!$C$14:$C$87,0))/10^6</f>
        <v>0.2748025701733634</v>
      </c>
      <c r="R99" s="119">
        <f>INDEX('Option1 (base case)'!R$14:R$87, MATCH($C99, 'Option1 (base case)'!$C$14:$C$87,0))/10^6</f>
        <v>0.28288905687803345</v>
      </c>
      <c r="S99" s="119">
        <f>INDEX('Option1 (base case)'!S$14:S$87, MATCH($C99, 'Option1 (base case)'!$C$14:$C$87,0))/10^6</f>
        <v>0.29324136051750932</v>
      </c>
      <c r="T99" s="119">
        <f>INDEX('Option1 (base case)'!T$14:T$87, MATCH($C99, 'Option1 (base case)'!$C$14:$C$87,0))/10^6</f>
        <v>0.30659345508716546</v>
      </c>
      <c r="U99" s="119">
        <f>INDEX('Option1 (base case)'!U$14:U$87, MATCH($C99, 'Option1 (base case)'!$C$14:$C$87,0))/10^6</f>
        <v>0.32392967300039743</v>
      </c>
      <c r="V99" s="119">
        <f>INDEX('Option1 (base case)'!V$14:V$87, MATCH($C99, 'Option1 (base case)'!$C$14:$C$87,0))/10^6</f>
        <v>0.34657176452980565</v>
      </c>
      <c r="W99" s="119">
        <f>INDEX('Option1 (base case)'!W$14:W$87, MATCH($C99, 'Option1 (base case)'!$C$14:$C$87,0))/10^6</f>
        <v>0.37629648615760602</v>
      </c>
      <c r="X99" s="119">
        <f>INDEX('Option1 (base case)'!X$14:X$87, MATCH($C99, 'Option1 (base case)'!$C$14:$C$87,0))/10^6</f>
        <v>0.41549446919867306</v>
      </c>
      <c r="Y99" s="119">
        <f>INDEX('Option1 (base case)'!Y$14:Y$87, MATCH($C99, 'Option1 (base case)'!$C$14:$C$87,0))/10^6</f>
        <v>0.46738491561321555</v>
      </c>
      <c r="Z99" s="119">
        <f>INDEX('Option1 (base case)'!Z$14:Z$87, MATCH($C99, 'Option1 (base case)'!$C$14:$C$87,0))/10^6</f>
        <v>0.53630580541280914</v>
      </c>
      <c r="AA99" s="119">
        <f>INDEX('Option1 (base case)'!AA$14:AA$87, MATCH($C99, 'Option1 (base case)'!$C$14:$C$87,0))/10^6</f>
        <v>0.54338885020668715</v>
      </c>
      <c r="AB99" s="119">
        <f>INDEX('Option1 (base case)'!AB$14:AB$87, MATCH($C99, 'Option1 (base case)'!$C$14:$C$87,0))/10^6</f>
        <v>0.54906312361349563</v>
      </c>
      <c r="AC99" s="119">
        <f>INDEX('Option1 (base case)'!AC$14:AC$87, MATCH($C99, 'Option1 (base case)'!$C$14:$C$87,0))/10^6</f>
        <v>0.55460422878281967</v>
      </c>
      <c r="AD99" s="119">
        <f>INDEX('Option1 (base case)'!AD$14:AD$87, MATCH($C99, 'Option1 (base case)'!$C$14:$C$87,0))/10^6</f>
        <v>0.56070186315429449</v>
      </c>
      <c r="AE99" s="119">
        <f>INDEX('Option1 (base case)'!AE$14:AE$87, MATCH($C99, 'Option1 (base case)'!$C$14:$C$87,0))/10^6</f>
        <v>0.56755169413073547</v>
      </c>
      <c r="AF99" s="119">
        <f>INDEX('Option1 (base case)'!AF$14:AF$87, MATCH($C99, 'Option1 (base case)'!$C$14:$C$87,0))/10^6</f>
        <v>0.57527748817611879</v>
      </c>
      <c r="AG99" s="119">
        <f>INDEX('Option1 (base case)'!AG$14:AG$87, MATCH($C99, 'Option1 (base case)'!$C$14:$C$87,0))/10^6</f>
        <v>0.58402982565227557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4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RD switchboard and relay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6"/>
      <c r="D6" s="117"/>
      <c r="E6" s="116"/>
      <c r="F6" s="116"/>
      <c r="G6" s="101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6" t="s">
        <v>195</v>
      </c>
      <c r="B7" s="116"/>
      <c r="D7" s="117"/>
      <c r="E7" s="116"/>
      <c r="F7" s="116"/>
      <c r="G7" s="101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1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1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523085.66175132076</v>
      </c>
      <c r="AA12" s="31">
        <f>Consol!AB36</f>
        <v>554152.79669622192</v>
      </c>
      <c r="AB12" s="31">
        <f>Consol!AC36</f>
        <v>566372.63049124624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142</v>
      </c>
      <c r="B14" s="252" t="s">
        <v>119</v>
      </c>
      <c r="C14" s="252" t="s">
        <v>188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142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142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142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142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142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142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142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142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131</v>
      </c>
      <c r="B28" s="252" t="s">
        <v>119</v>
      </c>
      <c r="C28" s="252" t="s">
        <v>188</v>
      </c>
      <c r="D28" s="252" t="str">
        <f>A28&amp;B28</f>
        <v>Option 2NPV</v>
      </c>
      <c r="E28" s="253"/>
      <c r="F28" s="31">
        <f>SUMPRODUCT($H28:$AG28, $H$5:$AG$5)</f>
        <v>1546823.6392763418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-267856.61020813405</v>
      </c>
      <c r="L28" s="31">
        <f>(INDEX(Option2!L$106:L$117, MATCH($D28, Option2!$G$106:$G$117,0)))*conv_2026*L$7</f>
        <v>-48574.331364671409</v>
      </c>
      <c r="M28" s="31">
        <f>(INDEX(Option2!M$106:M$117, MATCH($D28, Option2!$G$106:$G$117,0)))*conv_2026*M$7</f>
        <v>-41331.591040761115</v>
      </c>
      <c r="N28" s="31">
        <f>(INDEX(Option2!N$106:N$117, MATCH($D28, Option2!$G$106:$G$117,0)))*conv_2026*N$7</f>
        <v>-31114.145019292391</v>
      </c>
      <c r="O28" s="31">
        <f>(INDEX(Option2!O$106:O$117, MATCH($D28, Option2!$G$106:$G$117,0)))*conv_2026*O$7</f>
        <v>-14653.918348155585</v>
      </c>
      <c r="P28" s="31">
        <f>(INDEX(Option2!P$106:P$117, MATCH($D28, Option2!$G$106:$G$117,0)))*conv_2026*P$7</f>
        <v>3800.2275098573655</v>
      </c>
      <c r="Q28" s="31">
        <f>(INDEX(Option2!Q$106:Q$117, MATCH($D28, Option2!$G$106:$G$117,0)))*conv_2026*Q$7</f>
        <v>18849.986893873775</v>
      </c>
      <c r="R28" s="31">
        <f>(INDEX(Option2!R$106:R$117, MATCH($D28, Option2!$G$106:$G$117,0)))*conv_2026*R$7</f>
        <v>34240.654648716183</v>
      </c>
      <c r="S28" s="31">
        <f>(INDEX(Option2!S$106:S$117, MATCH($D28, Option2!$G$106:$G$117,0)))*conv_2026*S$7</f>
        <v>53729.97358660218</v>
      </c>
      <c r="T28" s="31">
        <f>(INDEX(Option2!T$106:T$117, MATCH($D28, Option2!$G$106:$G$117,0)))*conv_2026*T$7</f>
        <v>78618.275489729189</v>
      </c>
      <c r="U28" s="31">
        <f>(INDEX(Option2!U$106:U$117, MATCH($D28, Option2!$G$106:$G$117,0)))*conv_2026*U$7</f>
        <v>110645.93367538418</v>
      </c>
      <c r="V28" s="31">
        <f>(INDEX(Option2!V$106:V$117, MATCH($D28, Option2!$G$106:$G$117,0)))*conv_2026*V$7</f>
        <v>152152.06115314562</v>
      </c>
      <c r="W28" s="31">
        <f>(INDEX(Option2!W$106:W$117, MATCH($D28, Option2!$G$106:$G$117,0)))*conv_2026*W$7</f>
        <v>206279.27633290386</v>
      </c>
      <c r="X28" s="31">
        <f>(INDEX(Option2!X$106:X$117, MATCH($D28, Option2!$G$106:$G$117,0)))*conv_2026*X$7</f>
        <v>277254.66014619049</v>
      </c>
      <c r="Y28" s="31">
        <f>(INDEX(Option2!Y$106:Y$117, MATCH($D28, Option2!$G$106:$G$117,0)))*conv_2026*Y$7</f>
        <v>370769.73190733918</v>
      </c>
      <c r="Z28" s="31">
        <f>(INDEX(Option2!Z$106:Z$117, MATCH($D28, Option2!$G$106:$G$117,0)))*conv_2026*Z$7</f>
        <v>494494.49036427954</v>
      </c>
      <c r="AA28" s="31">
        <f>(INDEX(Option2!AA$106:AA$117, MATCH($D28, Option2!$G$106:$G$117,0)))*conv_2026*AA$7</f>
        <v>523085.66175132076</v>
      </c>
      <c r="AB28" s="31">
        <f>(INDEX(Option2!AB$106:AB$117, MATCH($D28, Option2!$G$106:$G$117,0)))*conv_2026*AB$7</f>
        <v>554152.79669622204</v>
      </c>
      <c r="AC28" s="31">
        <f>(INDEX(Option2!AC$106:AC$117, MATCH($D28, Option2!$G$106:$G$117,0)))*conv_2026*AC$7</f>
        <v>566372.63049124624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1035975.815762111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-294642.27122894744</v>
      </c>
      <c r="L30" s="31">
        <f>IF($B30=0,0, (INDEX(Option2!L$106:L$117, MATCH($D30, Option2!$G$106:$G$117,0)))*conv_2026*L$7)</f>
        <v>-88752.822895891528</v>
      </c>
      <c r="M30" s="31">
        <f>IF($B30=0,0, (INDEX(Option2!M$106:M$117, MATCH($D30, Option2!$G$106:$G$117,0)))*conv_2026*M$7)</f>
        <v>-81510.082571981227</v>
      </c>
      <c r="N30" s="31">
        <f>IF($B30=0,0, (INDEX(Option2!N$106:N$117, MATCH($D30, Option2!$G$106:$G$117,0)))*conv_2026*N$7)</f>
        <v>-71292.636550512514</v>
      </c>
      <c r="O30" s="31">
        <f>IF($B30=0,0, (INDEX(Option2!O$106:O$117, MATCH($D30, Option2!$G$106:$G$117,0)))*conv_2026*O$7)</f>
        <v>-54832.4098793757</v>
      </c>
      <c r="P30" s="31">
        <f>IF($B30=0,0, (INDEX(Option2!P$106:P$117, MATCH($D30, Option2!$G$106:$G$117,0)))*conv_2026*P$7)</f>
        <v>-36378.264021362753</v>
      </c>
      <c r="Q30" s="31">
        <f>IF($B30=0,0, (INDEX(Option2!Q$106:Q$117, MATCH($D30, Option2!$G$106:$G$117,0)))*conv_2026*Q$7)</f>
        <v>-21328.504637346341</v>
      </c>
      <c r="R30" s="31">
        <f>IF($B30=0,0, (INDEX(Option2!R$106:R$117, MATCH($D30, Option2!$G$106:$G$117,0)))*conv_2026*R$7)</f>
        <v>-5937.8368825039361</v>
      </c>
      <c r="S30" s="31">
        <f>IF($B30=0,0, (INDEX(Option2!S$106:S$117, MATCH($D30, Option2!$G$106:$G$117,0)))*conv_2026*S$7)</f>
        <v>13551.482055382061</v>
      </c>
      <c r="T30" s="31">
        <f>IF($B30=0,0, (INDEX(Option2!T$106:T$117, MATCH($D30, Option2!$G$106:$G$117,0)))*conv_2026*T$7)</f>
        <v>38439.78395850907</v>
      </c>
      <c r="U30" s="31">
        <f>IF($B30=0,0, (INDEX(Option2!U$106:U$117, MATCH($D30, Option2!$G$106:$G$117,0)))*conv_2026*U$7)</f>
        <v>70467.442144164059</v>
      </c>
      <c r="V30" s="31">
        <f>IF($B30=0,0, (INDEX(Option2!V$106:V$117, MATCH($D30, Option2!$G$106:$G$117,0)))*conv_2026*V$7)</f>
        <v>111973.56962192549</v>
      </c>
      <c r="W30" s="31">
        <f>IF($B30=0,0, (INDEX(Option2!W$106:W$117, MATCH($D30, Option2!$G$106:$G$117,0)))*conv_2026*W$7)</f>
        <v>166100.78480168371</v>
      </c>
      <c r="X30" s="31">
        <f>IF($B30=0,0, (INDEX(Option2!X$106:X$117, MATCH($D30, Option2!$G$106:$G$117,0)))*conv_2026*X$7)</f>
        <v>237076.16861497035</v>
      </c>
      <c r="Y30" s="31">
        <f>IF($B30=0,0, (INDEX(Option2!Y$106:Y$117, MATCH($D30, Option2!$G$106:$G$117,0)))*conv_2026*Y$7)</f>
        <v>330591.24037611904</v>
      </c>
      <c r="Z30" s="31">
        <f>IF($B30=0,0, (INDEX(Option2!Z$106:Z$117, MATCH($D30, Option2!$G$106:$G$117,0)))*conv_2026*Z$7)</f>
        <v>454315.99883305939</v>
      </c>
      <c r="AA30" s="31">
        <f>IF($B30=0,0, (INDEX(Option2!AA$106:AA$117, MATCH($D30, Option2!$G$106:$G$117,0)))*conv_2026*AA$7)</f>
        <v>482907.17022010067</v>
      </c>
      <c r="AB30" s="31">
        <f>IF($B30=0,0, (INDEX(Option2!AB$106:AB$117, MATCH($D30, Option2!$G$106:$G$117,0)))*conv_2026*AB$7)</f>
        <v>513974.30516500183</v>
      </c>
      <c r="AC30" s="31">
        <f>IF($B30=0,0, (INDEX(Option2!AC$106:AC$117, MATCH($D30, Option2!$G$106:$G$117,0)))*conv_2026*AC$7)</f>
        <v>526194.13896002609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2057671.462790573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-241070.94918732063</v>
      </c>
      <c r="L31" s="31">
        <f>IF($B31=0,0, (INDEX(Option2!L$106:L$117, MATCH($D31, Option2!$G$106:$G$117,0)))*conv_2026*L$7)</f>
        <v>-8395.8398334512949</v>
      </c>
      <c r="M31" s="31">
        <f>IF($B31=0,0, (INDEX(Option2!M$106:M$117, MATCH($D31, Option2!$G$106:$G$117,0)))*conv_2026*M$7)</f>
        <v>-1153.0995095409962</v>
      </c>
      <c r="N31" s="31">
        <f>IF($B31=0,0, (INDEX(Option2!N$106:N$117, MATCH($D31, Option2!$G$106:$G$117,0)))*conv_2026*N$7)</f>
        <v>9064.3465119277262</v>
      </c>
      <c r="O31" s="31">
        <f>IF($B31=0,0, (INDEX(Option2!O$106:O$117, MATCH($D31, Option2!$G$106:$G$117,0)))*conv_2026*O$7)</f>
        <v>25524.573183064535</v>
      </c>
      <c r="P31" s="31">
        <f>IF($B31=0,0, (INDEX(Option2!P$106:P$117, MATCH($D31, Option2!$G$106:$G$117,0)))*conv_2026*P$7)</f>
        <v>43978.719041077486</v>
      </c>
      <c r="Q31" s="31">
        <f>IF($B31=0,0, (INDEX(Option2!Q$106:Q$117, MATCH($D31, Option2!$G$106:$G$117,0)))*conv_2026*Q$7)</f>
        <v>59028.47842509389</v>
      </c>
      <c r="R31" s="31">
        <f>IF($B31=0,0, (INDEX(Option2!R$106:R$117, MATCH($D31, Option2!$G$106:$G$117,0)))*conv_2026*R$7)</f>
        <v>74419.146179936302</v>
      </c>
      <c r="S31" s="31">
        <f>IF($B31=0,0, (INDEX(Option2!S$106:S$117, MATCH($D31, Option2!$G$106:$G$117,0)))*conv_2026*S$7)</f>
        <v>93908.465117822299</v>
      </c>
      <c r="T31" s="31">
        <f>IF($B31=0,0, (INDEX(Option2!T$106:T$117, MATCH($D31, Option2!$G$106:$G$117,0)))*conv_2026*T$7)</f>
        <v>118796.76702094931</v>
      </c>
      <c r="U31" s="31">
        <f>IF($B31=0,0, (INDEX(Option2!U$106:U$117, MATCH($D31, Option2!$G$106:$G$117,0)))*conv_2026*U$7)</f>
        <v>150824.42520660433</v>
      </c>
      <c r="V31" s="31">
        <f>IF($B31=0,0, (INDEX(Option2!V$106:V$117, MATCH($D31, Option2!$G$106:$G$117,0)))*conv_2026*V$7)</f>
        <v>192330.55268436574</v>
      </c>
      <c r="W31" s="31">
        <f>IF($B31=0,0, (INDEX(Option2!W$106:W$117, MATCH($D31, Option2!$G$106:$G$117,0)))*conv_2026*W$7)</f>
        <v>246457.76786412398</v>
      </c>
      <c r="X31" s="31">
        <f>IF($B31=0,0, (INDEX(Option2!X$106:X$117, MATCH($D31, Option2!$G$106:$G$117,0)))*conv_2026*X$7)</f>
        <v>317433.15167741064</v>
      </c>
      <c r="Y31" s="31">
        <f>IF($B31=0,0, (INDEX(Option2!Y$106:Y$117, MATCH($D31, Option2!$G$106:$G$117,0)))*conv_2026*Y$7)</f>
        <v>410948.22343855933</v>
      </c>
      <c r="Z31" s="31">
        <f>IF($B31=0,0, (INDEX(Option2!Z$106:Z$117, MATCH($D31, Option2!$G$106:$G$117,0)))*conv_2026*Z$7)</f>
        <v>534672.98189549963</v>
      </c>
      <c r="AA31" s="31">
        <f>IF($B31=0,0, (INDEX(Option2!AA$106:AA$117, MATCH($D31, Option2!$G$106:$G$117,0)))*conv_2026*AA$7)</f>
        <v>563264.15328254097</v>
      </c>
      <c r="AB31" s="31">
        <f>IF($B31=0,0, (INDEX(Option2!AB$106:AB$117, MATCH($D31, Option2!$G$106:$G$117,0)))*conv_2026*AB$7)</f>
        <v>594331.28822744207</v>
      </c>
      <c r="AC31" s="31">
        <f>IF($B31=0,0, (INDEX(Option2!AC$106:AC$117, MATCH($D31, Option2!$G$106:$G$117,0)))*conv_2026*AC$7)</f>
        <v>606551.12202246638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2212353.826718207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-267856.61020813405</v>
      </c>
      <c r="L32" s="31">
        <f>IF($B32=0,0, (INDEX(Option2!L$106:L$117, MATCH($D32, Option2!$G$106:$G$117,0)))*conv_2026*L$7)</f>
        <v>-13253.272969918438</v>
      </c>
      <c r="M32" s="31">
        <f>IF($B32=0,0, (INDEX(Option2!M$106:M$117, MATCH($D32, Option2!$G$106:$G$117,0)))*conv_2026*M$7)</f>
        <v>-5286.2586136171094</v>
      </c>
      <c r="N32" s="31">
        <f>IF($B32=0,0, (INDEX(Option2!N$106:N$117, MATCH($D32, Option2!$G$106:$G$117,0)))*conv_2026*N$7)</f>
        <v>5952.9320099984852</v>
      </c>
      <c r="O32" s="31">
        <f>IF($B32=0,0, (INDEX(Option2!O$106:O$117, MATCH($D32, Option2!$G$106:$G$117,0)))*conv_2026*O$7)</f>
        <v>24059.181348248978</v>
      </c>
      <c r="P32" s="31">
        <f>IF($B32=0,0, (INDEX(Option2!P$106:P$117, MATCH($D32, Option2!$G$106:$G$117,0)))*conv_2026*P$7)</f>
        <v>44358.741792063214</v>
      </c>
      <c r="Q32" s="31">
        <f>IF($B32=0,0, (INDEX(Option2!Q$106:Q$117, MATCH($D32, Option2!$G$106:$G$117,0)))*conv_2026*Q$7)</f>
        <v>60913.477114481269</v>
      </c>
      <c r="R32" s="31">
        <f>IF($B32=0,0, (INDEX(Option2!R$106:R$117, MATCH($D32, Option2!$G$106:$G$117,0)))*conv_2026*R$7)</f>
        <v>77843.211644807918</v>
      </c>
      <c r="S32" s="31">
        <f>IF($B32=0,0, (INDEX(Option2!S$106:S$117, MATCH($D32, Option2!$G$106:$G$117,0)))*conv_2026*S$7)</f>
        <v>99281.462476482528</v>
      </c>
      <c r="T32" s="31">
        <f>IF($B32=0,0, (INDEX(Option2!T$106:T$117, MATCH($D32, Option2!$G$106:$G$117,0)))*conv_2026*T$7)</f>
        <v>126658.59456992222</v>
      </c>
      <c r="U32" s="31">
        <f>IF($B32=0,0, (INDEX(Option2!U$106:U$117, MATCH($D32, Option2!$G$106:$G$117,0)))*conv_2026*U$7)</f>
        <v>161889.01857414271</v>
      </c>
      <c r="V32" s="31">
        <f>IF($B32=0,0, (INDEX(Option2!V$106:V$117, MATCH($D32, Option2!$G$106:$G$117,0)))*conv_2026*V$7)</f>
        <v>207545.7587996803</v>
      </c>
      <c r="W32" s="31">
        <f>IF($B32=0,0, (INDEX(Option2!W$106:W$117, MATCH($D32, Option2!$G$106:$G$117,0)))*conv_2026*W$7)</f>
        <v>267085.69549741433</v>
      </c>
      <c r="X32" s="31">
        <f>IF($B32=0,0, (INDEX(Option2!X$106:X$117, MATCH($D32, Option2!$G$106:$G$117,0)))*conv_2026*X$7)</f>
        <v>345158.61769202963</v>
      </c>
      <c r="Y32" s="31">
        <f>IF($B32=0,0, (INDEX(Option2!Y$106:Y$117, MATCH($D32, Option2!$G$106:$G$117,0)))*conv_2026*Y$7)</f>
        <v>448025.1966292932</v>
      </c>
      <c r="Z32" s="31">
        <f>IF($B32=0,0, (INDEX(Option2!Z$106:Z$117, MATCH($D32, Option2!$G$106:$G$117,0)))*conv_2026*Z$7)</f>
        <v>584122.43093192764</v>
      </c>
      <c r="AA32" s="31">
        <f>IF($B32=0,0, (INDEX(Option2!AA$106:AA$117, MATCH($D32, Option2!$G$106:$G$117,0)))*conv_2026*AA$7)</f>
        <v>615572.71945767303</v>
      </c>
      <c r="AB32" s="31">
        <f>IF($B32=0,0, (INDEX(Option2!AB$106:AB$117, MATCH($D32, Option2!$G$106:$G$117,0)))*conv_2026*AB$7)</f>
        <v>649746.56789706438</v>
      </c>
      <c r="AC32" s="31">
        <f>IF($B32=0,0, (INDEX(Option2!AC$106:AC$117, MATCH($D32, Option2!$G$106:$G$117,0)))*conv_2026*AC$7)</f>
        <v>663188.38507159101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881293.45183447655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-267856.61020813405</v>
      </c>
      <c r="L33" s="31">
        <f>IF($B33=0,0, (INDEX(Option2!L$106:L$117, MATCH($D33, Option2!$G$106:$G$117,0)))*conv_2026*L$7)</f>
        <v>-83895.389759424375</v>
      </c>
      <c r="M33" s="31">
        <f>IF($B33=0,0, (INDEX(Option2!M$106:M$117, MATCH($D33, Option2!$G$106:$G$117,0)))*conv_2026*M$7)</f>
        <v>-77376.923467905115</v>
      </c>
      <c r="N33" s="31">
        <f>IF($B33=0,0, (INDEX(Option2!N$106:N$117, MATCH($D33, Option2!$G$106:$G$117,0)))*conv_2026*N$7)</f>
        <v>-68181.222048583266</v>
      </c>
      <c r="O33" s="31">
        <f>IF($B33=0,0, (INDEX(Option2!O$106:O$117, MATCH($D33, Option2!$G$106:$G$117,0)))*conv_2026*O$7)</f>
        <v>-53367.018044560144</v>
      </c>
      <c r="P33" s="31">
        <f>IF($B33=0,0, (INDEX(Option2!P$106:P$117, MATCH($D33, Option2!$G$106:$G$117,0)))*conv_2026*P$7)</f>
        <v>-36758.286772348481</v>
      </c>
      <c r="Q33" s="31">
        <f>IF($B33=0,0, (INDEX(Option2!Q$106:Q$117, MATCH($D33, Option2!$G$106:$G$117,0)))*conv_2026*Q$7)</f>
        <v>-23213.50332673372</v>
      </c>
      <c r="R33" s="31">
        <f>IF($B33=0,0, (INDEX(Option2!R$106:R$117, MATCH($D33, Option2!$G$106:$G$117,0)))*conv_2026*R$7)</f>
        <v>-9361.9023473755497</v>
      </c>
      <c r="S33" s="31">
        <f>IF($B33=0,0, (INDEX(Option2!S$106:S$117, MATCH($D33, Option2!$G$106:$G$117,0)))*conv_2026*S$7)</f>
        <v>8178.4846967218418</v>
      </c>
      <c r="T33" s="31">
        <f>IF($B33=0,0, (INDEX(Option2!T$106:T$117, MATCH($D33, Option2!$G$106:$G$117,0)))*conv_2026*T$7)</f>
        <v>30577.956409536146</v>
      </c>
      <c r="U33" s="31">
        <f>IF($B33=0,0, (INDEX(Option2!U$106:U$117, MATCH($D33, Option2!$G$106:$G$117,0)))*conv_2026*U$7)</f>
        <v>59402.848776625644</v>
      </c>
      <c r="V33" s="31">
        <f>IF($B33=0,0, (INDEX(Option2!V$106:V$117, MATCH($D33, Option2!$G$106:$G$117,0)))*conv_2026*V$7)</f>
        <v>96758.363506610927</v>
      </c>
      <c r="W33" s="31">
        <f>IF($B33=0,0, (INDEX(Option2!W$106:W$117, MATCH($D33, Option2!$G$106:$G$117,0)))*conv_2026*W$7)</f>
        <v>145472.85716839333</v>
      </c>
      <c r="X33" s="31">
        <f>IF($B33=0,0, (INDEX(Option2!X$106:X$117, MATCH($D33, Option2!$G$106:$G$117,0)))*conv_2026*X$7)</f>
        <v>209350.7026003513</v>
      </c>
      <c r="Y33" s="31">
        <f>IF($B33=0,0, (INDEX(Option2!Y$106:Y$117, MATCH($D33, Option2!$G$106:$G$117,0)))*conv_2026*Y$7)</f>
        <v>293514.26718538516</v>
      </c>
      <c r="Z33" s="31">
        <f>IF($B33=0,0, (INDEX(Option2!Z$106:Z$117, MATCH($D33, Option2!$G$106:$G$117,0)))*conv_2026*Z$7)</f>
        <v>404866.54979663144</v>
      </c>
      <c r="AA33" s="31">
        <f>IF($B33=0,0, (INDEX(Option2!AA$106:AA$117, MATCH($D33, Option2!$G$106:$G$117,0)))*conv_2026*AA$7)</f>
        <v>430598.60404496855</v>
      </c>
      <c r="AB33" s="31">
        <f>IF($B33=0,0, (INDEX(Option2!AB$106:AB$117, MATCH($D33, Option2!$G$106:$G$117,0)))*conv_2026*AB$7)</f>
        <v>458559.02549537964</v>
      </c>
      <c r="AC33" s="31">
        <f>IF($B33=0,0, (INDEX(Option2!AC$106:AC$117, MATCH($D33, Option2!$G$106:$G$117,0)))*conv_2026*AC$7)</f>
        <v>469556.87591090152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370445.62832024571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-294642.27122894744</v>
      </c>
      <c r="L34" s="31">
        <f>IF($B34=0,0, (INDEX(Option2!L$106:L$117, MATCH($D34, Option2!$G$106:$G$117,0)))*conv_2026*L$7)</f>
        <v>-124073.88129064449</v>
      </c>
      <c r="M34" s="31">
        <f>IF($B34=0,0, (INDEX(Option2!M$106:M$117, MATCH($D34, Option2!$G$106:$G$117,0)))*conv_2026*M$7)</f>
        <v>-117555.41499912525</v>
      </c>
      <c r="N34" s="31">
        <f>IF($B34=0,0, (INDEX(Option2!N$106:N$117, MATCH($D34, Option2!$G$106:$G$117,0)))*conv_2026*N$7)</f>
        <v>-108359.7135798034</v>
      </c>
      <c r="O34" s="31">
        <f>IF($B34=0,0, (INDEX(Option2!O$106:O$117, MATCH($D34, Option2!$G$106:$G$117,0)))*conv_2026*O$7)</f>
        <v>-93545.509575780248</v>
      </c>
      <c r="P34" s="31">
        <f>IF($B34=0,0, (INDEX(Option2!P$106:P$117, MATCH($D34, Option2!$G$106:$G$117,0)))*conv_2026*P$7)</f>
        <v>-76936.778303568601</v>
      </c>
      <c r="Q34" s="31">
        <f>IF($B34=0,0, (INDEX(Option2!Q$106:Q$117, MATCH($D34, Option2!$G$106:$G$117,0)))*conv_2026*Q$7)</f>
        <v>-63391.994857953832</v>
      </c>
      <c r="R34" s="31">
        <f>IF($B34=0,0, (INDEX(Option2!R$106:R$117, MATCH($D34, Option2!$G$106:$G$117,0)))*conv_2026*R$7)</f>
        <v>-49540.393878595656</v>
      </c>
      <c r="S34" s="31">
        <f>IF($B34=0,0, (INDEX(Option2!S$106:S$117, MATCH($D34, Option2!$G$106:$G$117,0)))*conv_2026*S$7)</f>
        <v>-32000.006834498268</v>
      </c>
      <c r="T34" s="31">
        <f>IF($B34=0,0, (INDEX(Option2!T$106:T$117, MATCH($D34, Option2!$G$106:$G$117,0)))*conv_2026*T$7)</f>
        <v>-9600.5351216839699</v>
      </c>
      <c r="U34" s="31">
        <f>IF($B34=0,0, (INDEX(Option2!U$106:U$117, MATCH($D34, Option2!$G$106:$G$117,0)))*conv_2026*U$7)</f>
        <v>19224.357245405528</v>
      </c>
      <c r="V34" s="31">
        <f>IF($B34=0,0, (INDEX(Option2!V$106:V$117, MATCH($D34, Option2!$G$106:$G$117,0)))*conv_2026*V$7)</f>
        <v>56579.871975390823</v>
      </c>
      <c r="W34" s="31">
        <f>IF($B34=0,0, (INDEX(Option2!W$106:W$117, MATCH($D34, Option2!$G$106:$G$117,0)))*conv_2026*W$7)</f>
        <v>105294.36563717322</v>
      </c>
      <c r="X34" s="31">
        <f>IF($B34=0,0, (INDEX(Option2!X$106:X$117, MATCH($D34, Option2!$G$106:$G$117,0)))*conv_2026*X$7)</f>
        <v>169172.21106913121</v>
      </c>
      <c r="Y34" s="31">
        <f>IF($B34=0,0, (INDEX(Option2!Y$106:Y$117, MATCH($D34, Option2!$G$106:$G$117,0)))*conv_2026*Y$7)</f>
        <v>253335.77565416505</v>
      </c>
      <c r="Z34" s="31">
        <f>IF($B34=0,0, (INDEX(Option2!Z$106:Z$117, MATCH($D34, Option2!$G$106:$G$117,0)))*conv_2026*Z$7)</f>
        <v>364688.05826541135</v>
      </c>
      <c r="AA34" s="31">
        <f>IF($B34=0,0, (INDEX(Option2!AA$106:AA$117, MATCH($D34, Option2!$G$106:$G$117,0)))*conv_2026*AA$7)</f>
        <v>390420.11251374846</v>
      </c>
      <c r="AB34" s="31">
        <f>IF($B34=0,0, (INDEX(Option2!AB$106:AB$117, MATCH($D34, Option2!$G$106:$G$117,0)))*conv_2026*AB$7)</f>
        <v>418380.53396415949</v>
      </c>
      <c r="AC34" s="31">
        <f>IF($B34=0,0, (INDEX(Option2!AC$106:AC$117, MATCH($D34, Option2!$G$106:$G$117,0)))*conv_2026*AC$7)</f>
        <v>429378.38437968137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1546823.6392763418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-267856.61020813405</v>
      </c>
      <c r="L35" s="31">
        <f>IF($B35=0,0, (INDEX(Option2!L$106:L$117, MATCH($D35, Option2!$G$106:$G$117,0)))*conv_2026*L$7)</f>
        <v>-48574.331364671409</v>
      </c>
      <c r="M35" s="31">
        <f>IF($B35=0,0, (INDEX(Option2!M$106:M$117, MATCH($D35, Option2!$G$106:$G$117,0)))*conv_2026*M$7)</f>
        <v>-41331.591040761115</v>
      </c>
      <c r="N35" s="31">
        <f>IF($B35=0,0, (INDEX(Option2!N$106:N$117, MATCH($D35, Option2!$G$106:$G$117,0)))*conv_2026*N$7)</f>
        <v>-31114.145019292391</v>
      </c>
      <c r="O35" s="31">
        <f>IF($B35=0,0, (INDEX(Option2!O$106:O$117, MATCH($D35, Option2!$G$106:$G$117,0)))*conv_2026*O$7)</f>
        <v>-14653.918348155585</v>
      </c>
      <c r="P35" s="31">
        <f>IF($B35=0,0, (INDEX(Option2!P$106:P$117, MATCH($D35, Option2!$G$106:$G$117,0)))*conv_2026*P$7)</f>
        <v>3800.2275098573655</v>
      </c>
      <c r="Q35" s="31">
        <f>IF($B35=0,0, (INDEX(Option2!Q$106:Q$117, MATCH($D35, Option2!$G$106:$G$117,0)))*conv_2026*Q$7)</f>
        <v>18849.986893873775</v>
      </c>
      <c r="R35" s="31">
        <f>IF($B35=0,0, (INDEX(Option2!R$106:R$117, MATCH($D35, Option2!$G$106:$G$117,0)))*conv_2026*R$7)</f>
        <v>34240.654648716183</v>
      </c>
      <c r="S35" s="31">
        <f>IF($B35=0,0, (INDEX(Option2!S$106:S$117, MATCH($D35, Option2!$G$106:$G$117,0)))*conv_2026*S$7)</f>
        <v>53729.97358660218</v>
      </c>
      <c r="T35" s="31">
        <f>IF($B35=0,0, (INDEX(Option2!T$106:T$117, MATCH($D35, Option2!$G$106:$G$117,0)))*conv_2026*T$7)</f>
        <v>78618.275489729189</v>
      </c>
      <c r="U35" s="31">
        <f>IF($B35=0,0, (INDEX(Option2!U$106:U$117, MATCH($D35, Option2!$G$106:$G$117,0)))*conv_2026*U$7)</f>
        <v>110645.93367538418</v>
      </c>
      <c r="V35" s="31">
        <f>IF($B35=0,0, (INDEX(Option2!V$106:V$117, MATCH($D35, Option2!$G$106:$G$117,0)))*conv_2026*V$7)</f>
        <v>152152.06115314562</v>
      </c>
      <c r="W35" s="31">
        <f>IF($B35=0,0, (INDEX(Option2!W$106:W$117, MATCH($D35, Option2!$G$106:$G$117,0)))*conv_2026*W$7)</f>
        <v>206279.27633290386</v>
      </c>
      <c r="X35" s="31">
        <f>IF($B35=0,0, (INDEX(Option2!X$106:X$117, MATCH($D35, Option2!$G$106:$G$117,0)))*conv_2026*X$7)</f>
        <v>277254.66014619049</v>
      </c>
      <c r="Y35" s="31">
        <f>IF($B35=0,0, (INDEX(Option2!Y$106:Y$117, MATCH($D35, Option2!$G$106:$G$117,0)))*conv_2026*Y$7)</f>
        <v>370769.73190733918</v>
      </c>
      <c r="Z35" s="31">
        <f>IF($B35=0,0, (INDEX(Option2!Z$106:Z$117, MATCH($D35, Option2!$G$106:$G$117,0)))*conv_2026*Z$7)</f>
        <v>494494.49036427954</v>
      </c>
      <c r="AA35" s="31">
        <f>IF($B35=0,0, (INDEX(Option2!AA$106:AA$117, MATCH($D35, Option2!$G$106:$G$117,0)))*conv_2026*AA$7)</f>
        <v>523085.66175132076</v>
      </c>
      <c r="AB35" s="31">
        <f>IF($B35=0,0, (INDEX(Option2!AB$106:AB$117, MATCH($D35, Option2!$G$106:$G$117,0)))*conv_2026*AB$7)</f>
        <v>554152.79669622204</v>
      </c>
      <c r="AC35" s="31">
        <f>IF($B35=0,0, (INDEX(Option2!AC$106:AC$117, MATCH($D35, Option2!$G$106:$G$117,0)))*conv_2026*AC$7)</f>
        <v>566372.63049124624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1546823.6392763418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-267856.61020813405</v>
      </c>
      <c r="L36" s="31">
        <f>IF($B36=0,0, (INDEX(Option2!L$106:L$117, MATCH($D36, Option2!$G$106:$G$117,0)))*conv_2026*L$7)</f>
        <v>-48574.331364671409</v>
      </c>
      <c r="M36" s="31">
        <f>IF($B36=0,0, (INDEX(Option2!M$106:M$117, MATCH($D36, Option2!$G$106:$G$117,0)))*conv_2026*M$7)</f>
        <v>-41331.591040761115</v>
      </c>
      <c r="N36" s="31">
        <f>IF($B36=0,0, (INDEX(Option2!N$106:N$117, MATCH($D36, Option2!$G$106:$G$117,0)))*conv_2026*N$7)</f>
        <v>-31114.145019292391</v>
      </c>
      <c r="O36" s="31">
        <f>IF($B36=0,0, (INDEX(Option2!O$106:O$117, MATCH($D36, Option2!$G$106:$G$117,0)))*conv_2026*O$7)</f>
        <v>-14653.918348155585</v>
      </c>
      <c r="P36" s="31">
        <f>IF($B36=0,0, (INDEX(Option2!P$106:P$117, MATCH($D36, Option2!$G$106:$G$117,0)))*conv_2026*P$7)</f>
        <v>3800.2275098573655</v>
      </c>
      <c r="Q36" s="31">
        <f>IF($B36=0,0, (INDEX(Option2!Q$106:Q$117, MATCH($D36, Option2!$G$106:$G$117,0)))*conv_2026*Q$7)</f>
        <v>18849.986893873775</v>
      </c>
      <c r="R36" s="31">
        <f>IF($B36=0,0, (INDEX(Option2!R$106:R$117, MATCH($D36, Option2!$G$106:$G$117,0)))*conv_2026*R$7)</f>
        <v>34240.654648716183</v>
      </c>
      <c r="S36" s="31">
        <f>IF($B36=0,0, (INDEX(Option2!S$106:S$117, MATCH($D36, Option2!$G$106:$G$117,0)))*conv_2026*S$7)</f>
        <v>53729.97358660218</v>
      </c>
      <c r="T36" s="31">
        <f>IF($B36=0,0, (INDEX(Option2!T$106:T$117, MATCH($D36, Option2!$G$106:$G$117,0)))*conv_2026*T$7)</f>
        <v>78618.275489729189</v>
      </c>
      <c r="U36" s="31">
        <f>IF($B36=0,0, (INDEX(Option2!U$106:U$117, MATCH($D36, Option2!$G$106:$G$117,0)))*conv_2026*U$7)</f>
        <v>110645.93367538418</v>
      </c>
      <c r="V36" s="31">
        <f>IF($B36=0,0, (INDEX(Option2!V$106:V$117, MATCH($D36, Option2!$G$106:$G$117,0)))*conv_2026*V$7)</f>
        <v>152152.06115314562</v>
      </c>
      <c r="W36" s="31">
        <f>IF($B36=0,0, (INDEX(Option2!W$106:W$117, MATCH($D36, Option2!$G$106:$G$117,0)))*conv_2026*W$7)</f>
        <v>206279.27633290386</v>
      </c>
      <c r="X36" s="31">
        <f>IF($B36=0,0, (INDEX(Option2!X$106:X$117, MATCH($D36, Option2!$G$106:$G$117,0)))*conv_2026*X$7)</f>
        <v>277254.66014619049</v>
      </c>
      <c r="Y36" s="31">
        <f>IF($B36=0,0, (INDEX(Option2!Y$106:Y$117, MATCH($D36, Option2!$G$106:$G$117,0)))*conv_2026*Y$7)</f>
        <v>370769.73190733918</v>
      </c>
      <c r="Z36" s="31">
        <f>IF($B36=0,0, (INDEX(Option2!Z$106:Z$117, MATCH($D36, Option2!$G$106:$G$117,0)))*conv_2026*Z$7)</f>
        <v>494494.49036427954</v>
      </c>
      <c r="AA36" s="31">
        <f>IF($B36=0,0, (INDEX(Option2!AA$106:AA$117, MATCH($D36, Option2!$G$106:$G$117,0)))*conv_2026*AA$7)</f>
        <v>523085.66175132076</v>
      </c>
      <c r="AB36" s="31">
        <f>IF($B36=0,0, (INDEX(Option2!AB$106:AB$117, MATCH($D36, Option2!$G$106:$G$117,0)))*conv_2026*AB$7)</f>
        <v>554152.79669622204</v>
      </c>
      <c r="AC36" s="31">
        <f>IF($B36=0,0, (INDEX(Option2!AC$106:AC$117, MATCH($D36, Option2!$G$106:$G$117,0)))*conv_2026*AC$7)</f>
        <v>566372.63049124624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1546823.6392763418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-267856.61020813405</v>
      </c>
      <c r="L37" s="31">
        <f>IF($B37=0,0, (INDEX(Option2!L$106:L$117, MATCH($D37, Option2!$G$106:$G$117,0)))*conv_2026*L$7)</f>
        <v>-48574.331364671409</v>
      </c>
      <c r="M37" s="31">
        <f>IF($B37=0,0, (INDEX(Option2!M$106:M$117, MATCH($D37, Option2!$G$106:$G$117,0)))*conv_2026*M$7)</f>
        <v>-41331.591040761115</v>
      </c>
      <c r="N37" s="31">
        <f>IF($B37=0,0, (INDEX(Option2!N$106:N$117, MATCH($D37, Option2!$G$106:$G$117,0)))*conv_2026*N$7)</f>
        <v>-31114.145019292391</v>
      </c>
      <c r="O37" s="31">
        <f>IF($B37=0,0, (INDEX(Option2!O$106:O$117, MATCH($D37, Option2!$G$106:$G$117,0)))*conv_2026*O$7)</f>
        <v>-14653.918348155585</v>
      </c>
      <c r="P37" s="31">
        <f>IF($B37=0,0, (INDEX(Option2!P$106:P$117, MATCH($D37, Option2!$G$106:$G$117,0)))*conv_2026*P$7)</f>
        <v>3800.2275098573655</v>
      </c>
      <c r="Q37" s="31">
        <f>IF($B37=0,0, (INDEX(Option2!Q$106:Q$117, MATCH($D37, Option2!$G$106:$G$117,0)))*conv_2026*Q$7)</f>
        <v>18849.986893873775</v>
      </c>
      <c r="R37" s="31">
        <f>IF($B37=0,0, (INDEX(Option2!R$106:R$117, MATCH($D37, Option2!$G$106:$G$117,0)))*conv_2026*R$7)</f>
        <v>34240.654648716183</v>
      </c>
      <c r="S37" s="31">
        <f>IF($B37=0,0, (INDEX(Option2!S$106:S$117, MATCH($D37, Option2!$G$106:$G$117,0)))*conv_2026*S$7)</f>
        <v>53729.97358660218</v>
      </c>
      <c r="T37" s="31">
        <f>IF($B37=0,0, (INDEX(Option2!T$106:T$117, MATCH($D37, Option2!$G$106:$G$117,0)))*conv_2026*T$7)</f>
        <v>78618.275489729189</v>
      </c>
      <c r="U37" s="31">
        <f>IF($B37=0,0, (INDEX(Option2!U$106:U$117, MATCH($D37, Option2!$G$106:$G$117,0)))*conv_2026*U$7)</f>
        <v>110645.93367538418</v>
      </c>
      <c r="V37" s="31">
        <f>IF($B37=0,0, (INDEX(Option2!V$106:V$117, MATCH($D37, Option2!$G$106:$G$117,0)))*conv_2026*V$7)</f>
        <v>152152.06115314562</v>
      </c>
      <c r="W37" s="31">
        <f>IF($B37=0,0, (INDEX(Option2!W$106:W$117, MATCH($D37, Option2!$G$106:$G$117,0)))*conv_2026*W$7)</f>
        <v>206279.27633290386</v>
      </c>
      <c r="X37" s="31">
        <f>IF($B37=0,0, (INDEX(Option2!X$106:X$117, MATCH($D37, Option2!$G$106:$G$117,0)))*conv_2026*X$7)</f>
        <v>277254.66014619049</v>
      </c>
      <c r="Y37" s="31">
        <f>IF($B37=0,0, (INDEX(Option2!Y$106:Y$117, MATCH($D37, Option2!$G$106:$G$117,0)))*conv_2026*Y$7)</f>
        <v>370769.73190733918</v>
      </c>
      <c r="Z37" s="31">
        <f>IF($B37=0,0, (INDEX(Option2!Z$106:Z$117, MATCH($D37, Option2!$G$106:$G$117,0)))*conv_2026*Z$7)</f>
        <v>494494.49036427954</v>
      </c>
      <c r="AA37" s="31">
        <f>IF($B37=0,0, (INDEX(Option2!AA$106:AA$117, MATCH($D37, Option2!$G$106:$G$117,0)))*conv_2026*AA$7)</f>
        <v>523085.66175132076</v>
      </c>
      <c r="AB37" s="31">
        <f>IF($B37=0,0, (INDEX(Option2!AB$106:AB$117, MATCH($D37, Option2!$G$106:$G$117,0)))*conv_2026*AB$7)</f>
        <v>554152.79669622204</v>
      </c>
      <c r="AC37" s="31">
        <f>IF($B37=0,0, (INDEX(Option2!AC$106:AC$117, MATCH($D37, Option2!$G$106:$G$117,0)))*conv_2026*AC$7)</f>
        <v>566372.63049124624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-130407.17068729053</v>
      </c>
      <c r="L40" s="31">
        <f>Consol!L50</f>
        <v>-154230.17227370085</v>
      </c>
      <c r="M40" s="31">
        <f>Consol!M50</f>
        <v>-148761.55241728842</v>
      </c>
      <c r="N40" s="31">
        <f>Consol!N50</f>
        <v>-142180.25122896922</v>
      </c>
      <c r="O40" s="31">
        <f>Consol!O50</f>
        <v>-134178.3292486525</v>
      </c>
      <c r="P40" s="31">
        <f>Consol!P50</f>
        <v>-307581.60564914288</v>
      </c>
      <c r="Q40" s="31">
        <f>Consol!Q50</f>
        <v>-49874.73286654806</v>
      </c>
      <c r="R40" s="31">
        <f>Consol!R50</f>
        <v>-34484.065111705626</v>
      </c>
      <c r="S40" s="31">
        <f>Consol!S50</f>
        <v>-14994.746173819643</v>
      </c>
      <c r="T40" s="31">
        <f>Consol!T50</f>
        <v>9893.5557293073507</v>
      </c>
      <c r="U40" s="31">
        <f>Consol!U50</f>
        <v>41921.213914962369</v>
      </c>
      <c r="V40" s="31">
        <f>Consol!V50</f>
        <v>83427.341392723785</v>
      </c>
      <c r="W40" s="31">
        <f>Consol!W50</f>
        <v>137554.55657248199</v>
      </c>
      <c r="X40" s="31">
        <f>Consol!X50</f>
        <v>208529.94038576866</v>
      </c>
      <c r="Y40" s="31">
        <f>Consol!Y50</f>
        <v>302045.0121469174</v>
      </c>
      <c r="Z40" s="31">
        <f>Consol!Z50</f>
        <v>425769.7706038577</v>
      </c>
      <c r="AA40" s="31">
        <f>Consol!AA50</f>
        <v>454360.94199089892</v>
      </c>
      <c r="AB40" s="31">
        <f>Consol!AB50</f>
        <v>485428.07693580014</v>
      </c>
      <c r="AC40" s="31">
        <f>Consol!AC50</f>
        <v>497647.91073082446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188</v>
      </c>
      <c r="D42" s="252" t="str">
        <f>A42&amp;B42</f>
        <v>Option 3NPV</v>
      </c>
      <c r="E42" s="253"/>
      <c r="F42" s="31">
        <f t="shared" ref="F42:F51" si="4">SUMPRODUCT($H42:$AG42, $H$5:$AG$5)</f>
        <v>512156.31490408204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-130407.17068729053</v>
      </c>
      <c r="L42" s="31">
        <f>(INDEX(Option3!L$106:L$117, MATCH($D42, Option3!$G$106:$G$117,0)))*conv_2026*L$7</f>
        <v>-154230.17227370085</v>
      </c>
      <c r="M42" s="31">
        <f>(INDEX(Option3!M$106:M$117, MATCH($D42, Option3!$G$106:$G$117,0)))*conv_2026*M$7</f>
        <v>-148761.55241728842</v>
      </c>
      <c r="N42" s="31">
        <f>(INDEX(Option3!N$106:N$117, MATCH($D42, Option3!$G$106:$G$117,0)))*conv_2026*N$7</f>
        <v>-142180.25122896922</v>
      </c>
      <c r="O42" s="31">
        <f>(INDEX(Option3!O$106:O$117, MATCH($D42, Option3!$G$106:$G$117,0)))*conv_2026*O$7</f>
        <v>-134178.32924865247</v>
      </c>
      <c r="P42" s="31">
        <f>(INDEX(Option3!P$106:P$117, MATCH($D42, Option3!$G$106:$G$117,0)))*conv_2026*P$7</f>
        <v>-307581.60564914288</v>
      </c>
      <c r="Q42" s="31">
        <f>(INDEX(Option3!Q$106:Q$117, MATCH($D42, Option3!$G$106:$G$117,0)))*conv_2026*Q$7</f>
        <v>-49874.732866548075</v>
      </c>
      <c r="R42" s="31">
        <f>(INDEX(Option3!R$106:R$117, MATCH($D42, Option3!$G$106:$G$117,0)))*conv_2026*R$7</f>
        <v>-34484.06511170567</v>
      </c>
      <c r="S42" s="31">
        <f>(INDEX(Option3!S$106:S$117, MATCH($D42, Option3!$G$106:$G$117,0)))*conv_2026*S$7</f>
        <v>-14994.746173819673</v>
      </c>
      <c r="T42" s="31">
        <f>(INDEX(Option3!T$106:T$117, MATCH($D42, Option3!$G$106:$G$117,0)))*conv_2026*T$7</f>
        <v>9893.5557293073343</v>
      </c>
      <c r="U42" s="31">
        <f>(INDEX(Option3!U$106:U$117, MATCH($D42, Option3!$G$106:$G$117,0)))*conv_2026*U$7</f>
        <v>41921.213914962333</v>
      </c>
      <c r="V42" s="31">
        <f>(INDEX(Option3!V$106:V$117, MATCH($D42, Option3!$G$106:$G$117,0)))*conv_2026*V$7</f>
        <v>83427.341392723756</v>
      </c>
      <c r="W42" s="31">
        <f>(INDEX(Option3!W$106:W$117, MATCH($D42, Option3!$G$106:$G$117,0)))*conv_2026*W$7</f>
        <v>137554.55657248199</v>
      </c>
      <c r="X42" s="31">
        <f>(INDEX(Option3!X$106:X$117, MATCH($D42, Option3!$G$106:$G$117,0)))*conv_2026*X$7</f>
        <v>208529.94038576863</v>
      </c>
      <c r="Y42" s="31">
        <f>(INDEX(Option3!Y$106:Y$117, MATCH($D42, Option3!$G$106:$G$117,0)))*conv_2026*Y$7</f>
        <v>302045.01214691735</v>
      </c>
      <c r="Z42" s="31">
        <f>(INDEX(Option3!Z$106:Z$117, MATCH($D42, Option3!$G$106:$G$117,0)))*conv_2026*Z$7</f>
        <v>425769.7706038577</v>
      </c>
      <c r="AA42" s="31">
        <f>(INDEX(Option3!AA$106:AA$117, MATCH($D42, Option3!$G$106:$G$117,0)))*conv_2026*AA$7</f>
        <v>454360.94199089892</v>
      </c>
      <c r="AB42" s="31">
        <f>(INDEX(Option3!AB$106:AB$117, MATCH($D42, Option3!$G$106:$G$117,0)))*conv_2026*AB$7</f>
        <v>485428.07693580014</v>
      </c>
      <c r="AC42" s="31">
        <f>(INDEX(Option3!AC$106:AC$117, MATCH($D42, Option3!$G$106:$G$117,0)))*conv_2026*AC$7</f>
        <v>497647.9107308244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30475.965223802486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-143447.8877560196</v>
      </c>
      <c r="L44" s="31">
        <f>(INDEX(Option3!L$106:L$117, MATCH($D44, Option3!$G$106:$G$117,0)))*conv_2026*L$7</f>
        <v>-173791.24787679443</v>
      </c>
      <c r="M44" s="31">
        <f>(INDEX(Option3!M$106:M$117, MATCH($D44, Option3!$G$106:$G$117,0)))*conv_2026*M$7</f>
        <v>-168322.62802038199</v>
      </c>
      <c r="N44" s="31">
        <f>(INDEX(Option3!N$106:N$117, MATCH($D44, Option3!$G$106:$G$117,0)))*conv_2026*N$7</f>
        <v>-161741.3268320628</v>
      </c>
      <c r="O44" s="31">
        <f>(INDEX(Option3!O$106:O$117, MATCH($D44, Option3!$G$106:$G$117,0)))*conv_2026*O$7</f>
        <v>-153739.40485174608</v>
      </c>
      <c r="P44" s="31">
        <f>(INDEX(Option3!P$106:P$117, MATCH($D44, Option3!$G$106:$G$117,0)))*conv_2026*P$7</f>
        <v>-345469.27318834892</v>
      </c>
      <c r="Q44" s="31">
        <f>(INDEX(Option3!Q$106:Q$117, MATCH($D44, Option3!$G$106:$G$117,0)))*conv_2026*Q$7</f>
        <v>-96925.69637381038</v>
      </c>
      <c r="R44" s="31">
        <f>(INDEX(Option3!R$106:R$117, MATCH($D44, Option3!$G$106:$G$117,0)))*conv_2026*R$7</f>
        <v>-81535.028618967975</v>
      </c>
      <c r="S44" s="31">
        <f>(INDEX(Option3!S$106:S$117, MATCH($D44, Option3!$G$106:$G$117,0)))*conv_2026*S$7</f>
        <v>-62045.709681081978</v>
      </c>
      <c r="T44" s="31">
        <f>(INDEX(Option3!T$106:T$117, MATCH($D44, Option3!$G$106:$G$117,0)))*conv_2026*T$7</f>
        <v>-37157.40777795497</v>
      </c>
      <c r="U44" s="31">
        <f>(INDEX(Option3!U$106:U$117, MATCH($D44, Option3!$G$106:$G$117,0)))*conv_2026*U$7</f>
        <v>-5129.7495922999715</v>
      </c>
      <c r="V44" s="31">
        <f>(INDEX(Option3!V$106:V$117, MATCH($D44, Option3!$G$106:$G$117,0)))*conv_2026*V$7</f>
        <v>36376.377885461457</v>
      </c>
      <c r="W44" s="31">
        <f>(INDEX(Option3!W$106:W$117, MATCH($D44, Option3!$G$106:$G$117,0)))*conv_2026*W$7</f>
        <v>90503.593065219684</v>
      </c>
      <c r="X44" s="31">
        <f>(INDEX(Option3!X$106:X$117, MATCH($D44, Option3!$G$106:$G$117,0)))*conv_2026*X$7</f>
        <v>161478.97687850634</v>
      </c>
      <c r="Y44" s="31">
        <f>(INDEX(Option3!Y$106:Y$117, MATCH($D44, Option3!$G$106:$G$117,0)))*conv_2026*Y$7</f>
        <v>254994.04863965506</v>
      </c>
      <c r="Z44" s="31">
        <f>(INDEX(Option3!Z$106:Z$117, MATCH($D44, Option3!$G$106:$G$117,0)))*conv_2026*Z$7</f>
        <v>378718.80709659541</v>
      </c>
      <c r="AA44" s="31">
        <f>(INDEX(Option3!AA$106:AA$117, MATCH($D44, Option3!$G$106:$G$117,0)))*conv_2026*AA$7</f>
        <v>407309.97848363663</v>
      </c>
      <c r="AB44" s="31">
        <f>(INDEX(Option3!AB$106:AB$117, MATCH($D44, Option3!$G$106:$G$117,0)))*conv_2026*AB$7</f>
        <v>438377.11342853785</v>
      </c>
      <c r="AC44" s="31">
        <f>(INDEX(Option3!AC$106:AC$117, MATCH($D44, Option3!$G$106:$G$117,0)))*conv_2026*AC$7</f>
        <v>450596.94722356211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993836.66458436195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-117366.45361856149</v>
      </c>
      <c r="L45" s="31">
        <f>(INDEX(Option3!L$106:L$117, MATCH($D45, Option3!$G$106:$G$117,0)))*conv_2026*L$7</f>
        <v>-134669.09667060728</v>
      </c>
      <c r="M45" s="31">
        <f>(INDEX(Option3!M$106:M$117, MATCH($D45, Option3!$G$106:$G$117,0)))*conv_2026*M$7</f>
        <v>-129200.47681419483</v>
      </c>
      <c r="N45" s="31">
        <f>(INDEX(Option3!N$106:N$117, MATCH($D45, Option3!$G$106:$G$117,0)))*conv_2026*N$7</f>
        <v>-122619.17562587564</v>
      </c>
      <c r="O45" s="31">
        <f>(INDEX(Option3!O$106:O$117, MATCH($D45, Option3!$G$106:$G$117,0)))*conv_2026*O$7</f>
        <v>-114617.25364555891</v>
      </c>
      <c r="P45" s="31">
        <f>(INDEX(Option3!P$106:P$117, MATCH($D45, Option3!$G$106:$G$117,0)))*conv_2026*P$7</f>
        <v>-269693.93810993683</v>
      </c>
      <c r="Q45" s="31">
        <f>(INDEX(Option3!Q$106:Q$117, MATCH($D45, Option3!$G$106:$G$117,0)))*conv_2026*Q$7</f>
        <v>-2823.7693592857745</v>
      </c>
      <c r="R45" s="31">
        <f>(INDEX(Option3!R$106:R$117, MATCH($D45, Option3!$G$106:$G$117,0)))*conv_2026*R$7</f>
        <v>12566.898395556631</v>
      </c>
      <c r="S45" s="31">
        <f>(INDEX(Option3!S$106:S$117, MATCH($D45, Option3!$G$106:$G$117,0)))*conv_2026*S$7</f>
        <v>32056.21733344263</v>
      </c>
      <c r="T45" s="31">
        <f>(INDEX(Option3!T$106:T$117, MATCH($D45, Option3!$G$106:$G$117,0)))*conv_2026*T$7</f>
        <v>56944.519236569635</v>
      </c>
      <c r="U45" s="31">
        <f>(INDEX(Option3!U$106:U$117, MATCH($D45, Option3!$G$106:$G$117,0)))*conv_2026*U$7</f>
        <v>88972.177422224631</v>
      </c>
      <c r="V45" s="31">
        <f>(INDEX(Option3!V$106:V$117, MATCH($D45, Option3!$G$106:$G$117,0)))*conv_2026*V$7</f>
        <v>130478.30489998606</v>
      </c>
      <c r="W45" s="31">
        <f>(INDEX(Option3!W$106:W$117, MATCH($D45, Option3!$G$106:$G$117,0)))*conv_2026*W$7</f>
        <v>184605.52007974428</v>
      </c>
      <c r="X45" s="31">
        <f>(INDEX(Option3!X$106:X$117, MATCH($D45, Option3!$G$106:$G$117,0)))*conv_2026*X$7</f>
        <v>255580.90389303092</v>
      </c>
      <c r="Y45" s="31">
        <f>(INDEX(Option3!Y$106:Y$117, MATCH($D45, Option3!$G$106:$G$117,0)))*conv_2026*Y$7</f>
        <v>349095.97565417964</v>
      </c>
      <c r="Z45" s="31">
        <f>(INDEX(Option3!Z$106:Z$117, MATCH($D45, Option3!$G$106:$G$117,0)))*conv_2026*Z$7</f>
        <v>472820.73411111999</v>
      </c>
      <c r="AA45" s="31">
        <f>(INDEX(Option3!AA$106:AA$117, MATCH($D45, Option3!$G$106:$G$117,0)))*conv_2026*AA$7</f>
        <v>501411.90549816121</v>
      </c>
      <c r="AB45" s="31">
        <f>(INDEX(Option3!AB$106:AB$117, MATCH($D45, Option3!$G$106:$G$117,0)))*conv_2026*AB$7</f>
        <v>532479.04044306243</v>
      </c>
      <c r="AC45" s="31">
        <f>(INDEX(Option3!AC$106:AC$117, MATCH($D45, Option3!$G$106:$G$117,0)))*conv_2026*AC$7</f>
        <v>544698.87423808675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1045052.2960747705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-130407.17068729053</v>
      </c>
      <c r="L46" s="31">
        <f>(INDEX(Option3!L$106:L$117, MATCH($D46, Option3!$G$106:$G$117,0)))*conv_2026*L$7</f>
        <v>-150092.11389797734</v>
      </c>
      <c r="M46" s="31">
        <f>(INDEX(Option3!M$106:M$117, MATCH($D46, Option3!$G$106:$G$117,0)))*conv_2026*M$7</f>
        <v>-144076.63205592366</v>
      </c>
      <c r="N46" s="31">
        <f>(INDEX(Option3!N$106:N$117, MATCH($D46, Option3!$G$106:$G$117,0)))*conv_2026*N$7</f>
        <v>-136837.20074877256</v>
      </c>
      <c r="O46" s="31">
        <f>(INDEX(Option3!O$106:O$117, MATCH($D46, Option3!$G$106:$G$117,0)))*conv_2026*O$7</f>
        <v>-128035.08657042416</v>
      </c>
      <c r="P46" s="31">
        <f>(INDEX(Option3!P$106:P$117, MATCH($D46, Option3!$G$106:$G$117,0)))*conv_2026*P$7</f>
        <v>-300452.09867485112</v>
      </c>
      <c r="Q46" s="31">
        <f>(INDEX(Option3!Q$106:Q$117, MATCH($D46, Option3!$G$106:$G$117,0)))*conv_2026*Q$7</f>
        <v>-7811.2426459405806</v>
      </c>
      <c r="R46" s="31">
        <f>(INDEX(Option3!R$106:R$117, MATCH($D46, Option3!$G$106:$G$117,0)))*conv_2026*R$7</f>
        <v>9118.4918843860596</v>
      </c>
      <c r="S46" s="31">
        <f>(INDEX(Option3!S$106:S$117, MATCH($D46, Option3!$G$106:$G$117,0)))*conv_2026*S$7</f>
        <v>30556.742716060664</v>
      </c>
      <c r="T46" s="31">
        <f>(INDEX(Option3!T$106:T$117, MATCH($D46, Option3!$G$106:$G$117,0)))*conv_2026*T$7</f>
        <v>57933.874809500376</v>
      </c>
      <c r="U46" s="31">
        <f>(INDEX(Option3!U$106:U$117, MATCH($D46, Option3!$G$106:$G$117,0)))*conv_2026*U$7</f>
        <v>93164.298813720874</v>
      </c>
      <c r="V46" s="31">
        <f>(INDEX(Option3!V$106:V$117, MATCH($D46, Option3!$G$106:$G$117,0)))*conv_2026*V$7</f>
        <v>138821.03903925844</v>
      </c>
      <c r="W46" s="31">
        <f>(INDEX(Option3!W$106:W$117, MATCH($D46, Option3!$G$106:$G$117,0)))*conv_2026*W$7</f>
        <v>198360.97573699249</v>
      </c>
      <c r="X46" s="31">
        <f>(INDEX(Option3!X$106:X$117, MATCH($D46, Option3!$G$106:$G$117,0)))*conv_2026*X$7</f>
        <v>276433.89793160779</v>
      </c>
      <c r="Y46" s="31">
        <f>(INDEX(Option3!Y$106:Y$117, MATCH($D46, Option3!$G$106:$G$117,0)))*conv_2026*Y$7</f>
        <v>379300.47686887137</v>
      </c>
      <c r="Z46" s="31">
        <f>(INDEX(Option3!Z$106:Z$117, MATCH($D46, Option3!$G$106:$G$117,0)))*conv_2026*Z$7</f>
        <v>515397.71117150574</v>
      </c>
      <c r="AA46" s="31">
        <f>(INDEX(Option3!AA$106:AA$117, MATCH($D46, Option3!$G$106:$G$117,0)))*conv_2026*AA$7</f>
        <v>546847.99969725113</v>
      </c>
      <c r="AB46" s="31">
        <f>(INDEX(Option3!AB$106:AB$117, MATCH($D46, Option3!$G$106:$G$117,0)))*conv_2026*AB$7</f>
        <v>581021.84813664248</v>
      </c>
      <c r="AC46" s="31">
        <f>(INDEX(Option3!AC$106:AC$117, MATCH($D46, Option3!$G$106:$G$117,0)))*conv_2026*AC$7</f>
        <v>594463.66531116923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-20739.666266606248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-130407.17068729053</v>
      </c>
      <c r="L47" s="31">
        <f>(INDEX(Option3!L$106:L$117, MATCH($D47, Option3!$G$106:$G$117,0)))*conv_2026*L$7</f>
        <v>-158368.23064942434</v>
      </c>
      <c r="M47" s="31">
        <f>(INDEX(Option3!M$106:M$117, MATCH($D47, Option3!$G$106:$G$117,0)))*conv_2026*M$7</f>
        <v>-153446.47277865317</v>
      </c>
      <c r="N47" s="31">
        <f>(INDEX(Option3!N$106:N$117, MATCH($D47, Option3!$G$106:$G$117,0)))*conv_2026*N$7</f>
        <v>-147523.30170916588</v>
      </c>
      <c r="O47" s="31">
        <f>(INDEX(Option3!O$106:O$117, MATCH($D47, Option3!$G$106:$G$117,0)))*conv_2026*O$7</f>
        <v>-140321.57192688083</v>
      </c>
      <c r="P47" s="31">
        <f>(INDEX(Option3!P$106:P$117, MATCH($D47, Option3!$G$106:$G$117,0)))*conv_2026*P$7</f>
        <v>-314711.11262343469</v>
      </c>
      <c r="Q47" s="31">
        <f>(INDEX(Option3!Q$106:Q$117, MATCH($D47, Option3!$G$106:$G$117,0)))*conv_2026*Q$7</f>
        <v>-91938.22308715558</v>
      </c>
      <c r="R47" s="31">
        <f>(INDEX(Option3!R$106:R$117, MATCH($D47, Option3!$G$106:$G$117,0)))*conv_2026*R$7</f>
        <v>-78086.622107797404</v>
      </c>
      <c r="S47" s="31">
        <f>(INDEX(Option3!S$106:S$117, MATCH($D47, Option3!$G$106:$G$117,0)))*conv_2026*S$7</f>
        <v>-60546.235063700013</v>
      </c>
      <c r="T47" s="31">
        <f>(INDEX(Option3!T$106:T$117, MATCH($D47, Option3!$G$106:$G$117,0)))*conv_2026*T$7</f>
        <v>-38146.763350885703</v>
      </c>
      <c r="U47" s="31">
        <f>(INDEX(Option3!U$106:U$117, MATCH($D47, Option3!$G$106:$G$117,0)))*conv_2026*U$7</f>
        <v>-9321.8709837962087</v>
      </c>
      <c r="V47" s="31">
        <f>(INDEX(Option3!V$106:V$117, MATCH($D47, Option3!$G$106:$G$117,0)))*conv_2026*V$7</f>
        <v>28033.643746189078</v>
      </c>
      <c r="W47" s="31">
        <f>(INDEX(Option3!W$106:W$117, MATCH($D47, Option3!$G$106:$G$117,0)))*conv_2026*W$7</f>
        <v>76748.137407971488</v>
      </c>
      <c r="X47" s="31">
        <f>(INDEX(Option3!X$106:X$117, MATCH($D47, Option3!$G$106:$G$117,0)))*conv_2026*X$7</f>
        <v>140625.98283992946</v>
      </c>
      <c r="Y47" s="31">
        <f>(INDEX(Option3!Y$106:Y$117, MATCH($D47, Option3!$G$106:$G$117,0)))*conv_2026*Y$7</f>
        <v>224789.54742496333</v>
      </c>
      <c r="Z47" s="31">
        <f>(INDEX(Option3!Z$106:Z$117, MATCH($D47, Option3!$G$106:$G$117,0)))*conv_2026*Z$7</f>
        <v>336141.83003620966</v>
      </c>
      <c r="AA47" s="31">
        <f>(INDEX(Option3!AA$106:AA$117, MATCH($D47, Option3!$G$106:$G$117,0)))*conv_2026*AA$7</f>
        <v>361873.88428454677</v>
      </c>
      <c r="AB47" s="31">
        <f>(INDEX(Option3!AB$106:AB$117, MATCH($D47, Option3!$G$106:$G$117,0)))*conv_2026*AB$7</f>
        <v>389834.3057349578</v>
      </c>
      <c r="AC47" s="31">
        <f>(INDEX(Option3!AC$106:AC$117, MATCH($D47, Option3!$G$106:$G$117,0)))*conv_2026*AC$7</f>
        <v>400832.15615047968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-502420.01594688615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-143447.8877560196</v>
      </c>
      <c r="L48" s="31">
        <f>(INDEX(Option3!L$106:L$117, MATCH($D48, Option3!$G$106:$G$117,0)))*conv_2026*L$7</f>
        <v>-177929.30625251794</v>
      </c>
      <c r="M48" s="31">
        <f>(INDEX(Option3!M$106:M$117, MATCH($D48, Option3!$G$106:$G$117,0)))*conv_2026*M$7</f>
        <v>-173007.54838174675</v>
      </c>
      <c r="N48" s="31">
        <f>(INDEX(Option3!N$106:N$117, MATCH($D48, Option3!$G$106:$G$117,0)))*conv_2026*N$7</f>
        <v>-167084.37731225946</v>
      </c>
      <c r="O48" s="31">
        <f>(INDEX(Option3!O$106:O$117, MATCH($D48, Option3!$G$106:$G$117,0)))*conv_2026*O$7</f>
        <v>-159882.64752997441</v>
      </c>
      <c r="P48" s="31">
        <f>(INDEX(Option3!P$106:P$117, MATCH($D48, Option3!$G$106:$G$117,0)))*conv_2026*P$7</f>
        <v>-352598.78016264073</v>
      </c>
      <c r="Q48" s="31">
        <f>(INDEX(Option3!Q$106:Q$117, MATCH($D48, Option3!$G$106:$G$117,0)))*conv_2026*Q$7</f>
        <v>-138989.18659441787</v>
      </c>
      <c r="R48" s="31">
        <f>(INDEX(Option3!R$106:R$117, MATCH($D48, Option3!$G$106:$G$117,0)))*conv_2026*R$7</f>
        <v>-125137.5856150597</v>
      </c>
      <c r="S48" s="31">
        <f>(INDEX(Option3!S$106:S$117, MATCH($D48, Option3!$G$106:$G$117,0)))*conv_2026*S$7</f>
        <v>-107597.19857096231</v>
      </c>
      <c r="T48" s="31">
        <f>(INDEX(Option3!T$106:T$117, MATCH($D48, Option3!$G$106:$G$117,0)))*conv_2026*T$7</f>
        <v>-85197.726858148002</v>
      </c>
      <c r="U48" s="31">
        <f>(INDEX(Option3!U$106:U$117, MATCH($D48, Option3!$G$106:$G$117,0)))*conv_2026*U$7</f>
        <v>-56372.834491058507</v>
      </c>
      <c r="V48" s="31">
        <f>(INDEX(Option3!V$106:V$117, MATCH($D48, Option3!$G$106:$G$117,0)))*conv_2026*V$7</f>
        <v>-19017.319761073217</v>
      </c>
      <c r="W48" s="31">
        <f>(INDEX(Option3!W$106:W$117, MATCH($D48, Option3!$G$106:$G$117,0)))*conv_2026*W$7</f>
        <v>29697.173900709186</v>
      </c>
      <c r="X48" s="31">
        <f>(INDEX(Option3!X$106:X$117, MATCH($D48, Option3!$G$106:$G$117,0)))*conv_2026*X$7</f>
        <v>93575.019332667158</v>
      </c>
      <c r="Y48" s="31">
        <f>(INDEX(Option3!Y$106:Y$117, MATCH($D48, Option3!$G$106:$G$117,0)))*conv_2026*Y$7</f>
        <v>177738.58391770101</v>
      </c>
      <c r="Z48" s="31">
        <f>(INDEX(Option3!Z$106:Z$117, MATCH($D48, Option3!$G$106:$G$117,0)))*conv_2026*Z$7</f>
        <v>289090.86652894731</v>
      </c>
      <c r="AA48" s="31">
        <f>(INDEX(Option3!AA$106:AA$117, MATCH($D48, Option3!$G$106:$G$117,0)))*conv_2026*AA$7</f>
        <v>314822.92077728442</v>
      </c>
      <c r="AB48" s="31">
        <f>(INDEX(Option3!AB$106:AB$117, MATCH($D48, Option3!$G$106:$G$117,0)))*conv_2026*AB$7</f>
        <v>342783.34222769551</v>
      </c>
      <c r="AC48" s="31">
        <f>(INDEX(Option3!AC$106:AC$117, MATCH($D48, Option3!$G$106:$G$117,0)))*conv_2026*AC$7</f>
        <v>353781.19264321739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512156.31490408204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-130407.17068729053</v>
      </c>
      <c r="L49" s="31">
        <f>(INDEX(Option3!L$106:L$117, MATCH($D49, Option3!$G$106:$G$117,0)))*conv_2026*L$7</f>
        <v>-154230.17227370085</v>
      </c>
      <c r="M49" s="31">
        <f>(INDEX(Option3!M$106:M$117, MATCH($D49, Option3!$G$106:$G$117,0)))*conv_2026*M$7</f>
        <v>-148761.55241728842</v>
      </c>
      <c r="N49" s="31">
        <f>(INDEX(Option3!N$106:N$117, MATCH($D49, Option3!$G$106:$G$117,0)))*conv_2026*N$7</f>
        <v>-142180.25122896922</v>
      </c>
      <c r="O49" s="31">
        <f>(INDEX(Option3!O$106:O$117, MATCH($D49, Option3!$G$106:$G$117,0)))*conv_2026*O$7</f>
        <v>-134178.32924865247</v>
      </c>
      <c r="P49" s="31">
        <f>(INDEX(Option3!P$106:P$117, MATCH($D49, Option3!$G$106:$G$117,0)))*conv_2026*P$7</f>
        <v>-307581.60564914288</v>
      </c>
      <c r="Q49" s="31">
        <f>(INDEX(Option3!Q$106:Q$117, MATCH($D49, Option3!$G$106:$G$117,0)))*conv_2026*Q$7</f>
        <v>-49874.732866548075</v>
      </c>
      <c r="R49" s="31">
        <f>(INDEX(Option3!R$106:R$117, MATCH($D49, Option3!$G$106:$G$117,0)))*conv_2026*R$7</f>
        <v>-34484.06511170567</v>
      </c>
      <c r="S49" s="31">
        <f>(INDEX(Option3!S$106:S$117, MATCH($D49, Option3!$G$106:$G$117,0)))*conv_2026*S$7</f>
        <v>-14994.746173819673</v>
      </c>
      <c r="T49" s="31">
        <f>(INDEX(Option3!T$106:T$117, MATCH($D49, Option3!$G$106:$G$117,0)))*conv_2026*T$7</f>
        <v>9893.5557293073343</v>
      </c>
      <c r="U49" s="31">
        <f>(INDEX(Option3!U$106:U$117, MATCH($D49, Option3!$G$106:$G$117,0)))*conv_2026*U$7</f>
        <v>41921.213914962333</v>
      </c>
      <c r="V49" s="31">
        <f>(INDEX(Option3!V$106:V$117, MATCH($D49, Option3!$G$106:$G$117,0)))*conv_2026*V$7</f>
        <v>83427.341392723756</v>
      </c>
      <c r="W49" s="31">
        <f>(INDEX(Option3!W$106:W$117, MATCH($D49, Option3!$G$106:$G$117,0)))*conv_2026*W$7</f>
        <v>137554.55657248199</v>
      </c>
      <c r="X49" s="31">
        <f>(INDEX(Option3!X$106:X$117, MATCH($D49, Option3!$G$106:$G$117,0)))*conv_2026*X$7</f>
        <v>208529.94038576863</v>
      </c>
      <c r="Y49" s="31">
        <f>(INDEX(Option3!Y$106:Y$117, MATCH($D49, Option3!$G$106:$G$117,0)))*conv_2026*Y$7</f>
        <v>302045.01214691735</v>
      </c>
      <c r="Z49" s="31">
        <f>(INDEX(Option3!Z$106:Z$117, MATCH($D49, Option3!$G$106:$G$117,0)))*conv_2026*Z$7</f>
        <v>425769.7706038577</v>
      </c>
      <c r="AA49" s="31">
        <f>(INDEX(Option3!AA$106:AA$117, MATCH($D49, Option3!$G$106:$G$117,0)))*conv_2026*AA$7</f>
        <v>454360.94199089892</v>
      </c>
      <c r="AB49" s="31">
        <f>(INDEX(Option3!AB$106:AB$117, MATCH($D49, Option3!$G$106:$G$117,0)))*conv_2026*AB$7</f>
        <v>485428.07693580014</v>
      </c>
      <c r="AC49" s="31">
        <f>(INDEX(Option3!AC$106:AC$117, MATCH($D49, Option3!$G$106:$G$117,0)))*conv_2026*AC$7</f>
        <v>497647.9107308244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512156.31490408204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-130407.17068729053</v>
      </c>
      <c r="L50" s="31">
        <f>(INDEX(Option3!L$106:L$117, MATCH($D50, Option3!$G$106:$G$117,0)))*conv_2026*L$7</f>
        <v>-154230.17227370085</v>
      </c>
      <c r="M50" s="31">
        <f>(INDEX(Option3!M$106:M$117, MATCH($D50, Option3!$G$106:$G$117,0)))*conv_2026*M$7</f>
        <v>-148761.55241728842</v>
      </c>
      <c r="N50" s="31">
        <f>(INDEX(Option3!N$106:N$117, MATCH($D50, Option3!$G$106:$G$117,0)))*conv_2026*N$7</f>
        <v>-142180.25122896922</v>
      </c>
      <c r="O50" s="31">
        <f>(INDEX(Option3!O$106:O$117, MATCH($D50, Option3!$G$106:$G$117,0)))*conv_2026*O$7</f>
        <v>-134178.32924865247</v>
      </c>
      <c r="P50" s="31">
        <f>(INDEX(Option3!P$106:P$117, MATCH($D50, Option3!$G$106:$G$117,0)))*conv_2026*P$7</f>
        <v>-307581.60564914288</v>
      </c>
      <c r="Q50" s="31">
        <f>(INDEX(Option3!Q$106:Q$117, MATCH($D50, Option3!$G$106:$G$117,0)))*conv_2026*Q$7</f>
        <v>-49874.732866548075</v>
      </c>
      <c r="R50" s="31">
        <f>(INDEX(Option3!R$106:R$117, MATCH($D50, Option3!$G$106:$G$117,0)))*conv_2026*R$7</f>
        <v>-34484.06511170567</v>
      </c>
      <c r="S50" s="31">
        <f>(INDEX(Option3!S$106:S$117, MATCH($D50, Option3!$G$106:$G$117,0)))*conv_2026*S$7</f>
        <v>-14994.746173819673</v>
      </c>
      <c r="T50" s="31">
        <f>(INDEX(Option3!T$106:T$117, MATCH($D50, Option3!$G$106:$G$117,0)))*conv_2026*T$7</f>
        <v>9893.5557293073343</v>
      </c>
      <c r="U50" s="31">
        <f>(INDEX(Option3!U$106:U$117, MATCH($D50, Option3!$G$106:$G$117,0)))*conv_2026*U$7</f>
        <v>41921.213914962333</v>
      </c>
      <c r="V50" s="31">
        <f>(INDEX(Option3!V$106:V$117, MATCH($D50, Option3!$G$106:$G$117,0)))*conv_2026*V$7</f>
        <v>83427.341392723756</v>
      </c>
      <c r="W50" s="31">
        <f>(INDEX(Option3!W$106:W$117, MATCH($D50, Option3!$G$106:$G$117,0)))*conv_2026*W$7</f>
        <v>137554.55657248199</v>
      </c>
      <c r="X50" s="31">
        <f>(INDEX(Option3!X$106:X$117, MATCH($D50, Option3!$G$106:$G$117,0)))*conv_2026*X$7</f>
        <v>208529.94038576863</v>
      </c>
      <c r="Y50" s="31">
        <f>(INDEX(Option3!Y$106:Y$117, MATCH($D50, Option3!$G$106:$G$117,0)))*conv_2026*Y$7</f>
        <v>302045.01214691735</v>
      </c>
      <c r="Z50" s="31">
        <f>(INDEX(Option3!Z$106:Z$117, MATCH($D50, Option3!$G$106:$G$117,0)))*conv_2026*Z$7</f>
        <v>425769.7706038577</v>
      </c>
      <c r="AA50" s="31">
        <f>(INDEX(Option3!AA$106:AA$117, MATCH($D50, Option3!$G$106:$G$117,0)))*conv_2026*AA$7</f>
        <v>454360.94199089892</v>
      </c>
      <c r="AB50" s="31">
        <f>(INDEX(Option3!AB$106:AB$117, MATCH($D50, Option3!$G$106:$G$117,0)))*conv_2026*AB$7</f>
        <v>485428.07693580014</v>
      </c>
      <c r="AC50" s="31">
        <f>(INDEX(Option3!AC$106:AC$117, MATCH($D50, Option3!$G$106:$G$117,0)))*conv_2026*AC$7</f>
        <v>497647.9107308244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512156.31490408204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-130407.17068729053</v>
      </c>
      <c r="L51" s="31">
        <f>(INDEX(Option3!L$106:L$117, MATCH($D51, Option3!$G$106:$G$117,0)))*conv_2026*L$7</f>
        <v>-154230.17227370085</v>
      </c>
      <c r="M51" s="31">
        <f>(INDEX(Option3!M$106:M$117, MATCH($D51, Option3!$G$106:$G$117,0)))*conv_2026*M$7</f>
        <v>-148761.55241728842</v>
      </c>
      <c r="N51" s="31">
        <f>(INDEX(Option3!N$106:N$117, MATCH($D51, Option3!$G$106:$G$117,0)))*conv_2026*N$7</f>
        <v>-142180.25122896922</v>
      </c>
      <c r="O51" s="31">
        <f>(INDEX(Option3!O$106:O$117, MATCH($D51, Option3!$G$106:$G$117,0)))*conv_2026*O$7</f>
        <v>-134178.32924865247</v>
      </c>
      <c r="P51" s="31">
        <f>(INDEX(Option3!P$106:P$117, MATCH($D51, Option3!$G$106:$G$117,0)))*conv_2026*P$7</f>
        <v>-307581.60564914288</v>
      </c>
      <c r="Q51" s="31">
        <f>(INDEX(Option3!Q$106:Q$117, MATCH($D51, Option3!$G$106:$G$117,0)))*conv_2026*Q$7</f>
        <v>-49874.732866548075</v>
      </c>
      <c r="R51" s="31">
        <f>(INDEX(Option3!R$106:R$117, MATCH($D51, Option3!$G$106:$G$117,0)))*conv_2026*R$7</f>
        <v>-34484.06511170567</v>
      </c>
      <c r="S51" s="31">
        <f>(INDEX(Option3!S$106:S$117, MATCH($D51, Option3!$G$106:$G$117,0)))*conv_2026*S$7</f>
        <v>-14994.746173819673</v>
      </c>
      <c r="T51" s="31">
        <f>(INDEX(Option3!T$106:T$117, MATCH($D51, Option3!$G$106:$G$117,0)))*conv_2026*T$7</f>
        <v>9893.5557293073343</v>
      </c>
      <c r="U51" s="31">
        <f>(INDEX(Option3!U$106:U$117, MATCH($D51, Option3!$G$106:$G$117,0)))*conv_2026*U$7</f>
        <v>41921.213914962333</v>
      </c>
      <c r="V51" s="31">
        <f>(INDEX(Option3!V$106:V$117, MATCH($D51, Option3!$G$106:$G$117,0)))*conv_2026*V$7</f>
        <v>83427.341392723756</v>
      </c>
      <c r="W51" s="31">
        <f>(INDEX(Option3!W$106:W$117, MATCH($D51, Option3!$G$106:$G$117,0)))*conv_2026*W$7</f>
        <v>137554.55657248199</v>
      </c>
      <c r="X51" s="31">
        <f>(INDEX(Option3!X$106:X$117, MATCH($D51, Option3!$G$106:$G$117,0)))*conv_2026*X$7</f>
        <v>208529.94038576863</v>
      </c>
      <c r="Y51" s="31">
        <f>(INDEX(Option3!Y$106:Y$117, MATCH($D51, Option3!$G$106:$G$117,0)))*conv_2026*Y$7</f>
        <v>302045.01214691735</v>
      </c>
      <c r="Z51" s="31">
        <f>(INDEX(Option3!Z$106:Z$117, MATCH($D51, Option3!$G$106:$G$117,0)))*conv_2026*Z$7</f>
        <v>425769.7706038577</v>
      </c>
      <c r="AA51" s="31">
        <f>(INDEX(Option3!AA$106:AA$117, MATCH($D51, Option3!$G$106:$G$117,0)))*conv_2026*AA$7</f>
        <v>454360.94199089892</v>
      </c>
      <c r="AB51" s="31">
        <f>(INDEX(Option3!AB$106:AB$117, MATCH($D51, Option3!$G$106:$G$117,0)))*conv_2026*AB$7</f>
        <v>485428.07693580014</v>
      </c>
      <c r="AC51" s="31">
        <f>(INDEX(Option3!AC$106:AC$117, MATCH($D51, Option3!$G$106:$G$117,0)))*conv_2026*AC$7</f>
        <v>497647.9107308244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188</v>
      </c>
      <c r="D56" s="252" t="str">
        <f>A56&amp;B56</f>
        <v>Option 4NPV</v>
      </c>
      <c r="E56" s="253"/>
      <c r="F56" s="31">
        <f t="shared" ref="F56:F65" si="6">SUMPRODUCT($H56:$AG56, $H$5:$AG$5)</f>
        <v>0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0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0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154</v>
      </c>
      <c r="B70" s="252" t="s">
        <v>119</v>
      </c>
      <c r="C70" s="252" t="s">
        <v>188</v>
      </c>
      <c r="D70" s="252" t="str">
        <f>A70&amp;B70</f>
        <v>Option 5NPV</v>
      </c>
      <c r="E70" s="253"/>
      <c r="F70" s="31">
        <f t="shared" ref="F70:F79" si="8">SUMPRODUCT($H70:$AG70, $H$5:$AG$5)</f>
        <v>0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154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0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154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0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154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154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154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154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154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154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159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0</v>
      </c>
      <c r="D88" s="274" t="b">
        <v>0</v>
      </c>
      <c r="E88" s="275" t="b">
        <v>0</v>
      </c>
      <c r="F88" s="274" t="b">
        <v>1</v>
      </c>
      <c r="G88" s="274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228</v>
      </c>
      <c r="K89" s="282" t="s">
        <v>229</v>
      </c>
    </row>
    <row r="90" spans="1:34" s="8" customFormat="1" x14ac:dyDescent="0.2">
      <c r="A90" s="260" t="s">
        <v>119</v>
      </c>
      <c r="B90" s="260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1.5468236392763417</v>
      </c>
      <c r="E90" s="105">
        <f t="shared" si="10"/>
        <v>0.51215631490408209</v>
      </c>
      <c r="F90" s="105" t="str">
        <f t="shared" si="10"/>
        <v/>
      </c>
      <c r="G90" s="105" t="str">
        <f t="shared" si="10"/>
        <v/>
      </c>
      <c r="H90" s="185"/>
      <c r="I90" s="105">
        <f t="shared" ref="I90:I98" si="11">_xlfn.MAXIFS(C90:G90,_xlfn.ANCHORARRAY( C$88),FALSE)</f>
        <v>1.5468236392763417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5">
        <f t="shared" si="10"/>
        <v>0</v>
      </c>
      <c r="D91" s="105">
        <f t="shared" si="10"/>
        <v>1.0359758157621111</v>
      </c>
      <c r="E91" s="105">
        <f t="shared" si="10"/>
        <v>3.0475965223802488E-2</v>
      </c>
      <c r="F91" s="105" t="str">
        <f t="shared" si="10"/>
        <v/>
      </c>
      <c r="G91" s="105" t="str">
        <f t="shared" si="10"/>
        <v/>
      </c>
      <c r="H91" s="185"/>
      <c r="I91" s="105">
        <f t="shared" si="11"/>
        <v>1.0359758157621111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5">
        <f t="shared" si="10"/>
        <v>0</v>
      </c>
      <c r="D92" s="105">
        <f t="shared" si="10"/>
        <v>2.057671462790573</v>
      </c>
      <c r="E92" s="105">
        <f t="shared" si="10"/>
        <v>0.99383666458436193</v>
      </c>
      <c r="F92" s="105" t="str">
        <f t="shared" si="10"/>
        <v/>
      </c>
      <c r="G92" s="105" t="str">
        <f t="shared" si="10"/>
        <v/>
      </c>
      <c r="H92" s="185"/>
      <c r="I92" s="105">
        <f t="shared" si="11"/>
        <v>2.057671462790573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5">
        <f t="shared" si="10"/>
        <v>0</v>
      </c>
      <c r="D93" s="105">
        <f t="shared" si="10"/>
        <v>2.212353826718207</v>
      </c>
      <c r="E93" s="105">
        <f t="shared" si="10"/>
        <v>1.0450522960747706</v>
      </c>
      <c r="F93" s="105" t="str">
        <f t="shared" si="10"/>
        <v/>
      </c>
      <c r="G93" s="105" t="str">
        <f t="shared" si="10"/>
        <v/>
      </c>
      <c r="H93" s="185"/>
      <c r="I93" s="105">
        <f t="shared" si="11"/>
        <v>2.212353826718207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5">
        <f t="shared" si="10"/>
        <v>0</v>
      </c>
      <c r="D94" s="105">
        <f t="shared" si="10"/>
        <v>0.8812934518344766</v>
      </c>
      <c r="E94" s="105">
        <f t="shared" si="10"/>
        <v>-2.0739666266606248E-2</v>
      </c>
      <c r="F94" s="105" t="str">
        <f t="shared" si="10"/>
        <v/>
      </c>
      <c r="G94" s="105" t="str">
        <f t="shared" si="10"/>
        <v/>
      </c>
      <c r="H94" s="185"/>
      <c r="I94" s="105">
        <f t="shared" si="11"/>
        <v>0.8812934518344766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5">
        <f t="shared" si="10"/>
        <v>0</v>
      </c>
      <c r="D95" s="105">
        <f t="shared" si="10"/>
        <v>0.37044562832024569</v>
      </c>
      <c r="E95" s="105">
        <f t="shared" si="10"/>
        <v>-0.50242001594688612</v>
      </c>
      <c r="F95" s="105" t="str">
        <f t="shared" si="10"/>
        <v/>
      </c>
      <c r="G95" s="105" t="str">
        <f t="shared" si="10"/>
        <v/>
      </c>
      <c r="H95" s="185"/>
      <c r="I95" s="105">
        <f t="shared" si="11"/>
        <v>0.37044562832024569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5"/>
      <c r="I96" s="105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1"/>
      <c r="I97" s="105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1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142A-B12B-46D9-840D-9E47896C2DDB}">
  <sheetPr codeName="Sheet4">
    <tabColor rgb="FFFFFF00"/>
  </sheetPr>
  <dimension ref="A1:AQ47"/>
  <sheetViews>
    <sheetView showGridLines="0" zoomScale="90" zoomScaleNormal="90" workbookViewId="0">
      <pane xSplit="4" ySplit="5" topLeftCell="E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x14ac:dyDescent="0.2"/>
  <cols>
    <col min="1" max="1" width="2.625" style="1" customWidth="1"/>
    <col min="2" max="2" width="10.75" style="1" customWidth="1"/>
    <col min="3" max="3" width="17" style="1" customWidth="1"/>
    <col min="4" max="4" width="24.375" style="1" customWidth="1"/>
    <col min="5" max="5" width="10.125" style="1" customWidth="1"/>
    <col min="6" max="6" width="10.125" style="329" customWidth="1"/>
    <col min="7" max="7" width="10.75" style="1" customWidth="1"/>
    <col min="8" max="8" width="10.5" style="1" customWidth="1"/>
    <col min="9" max="9" width="10.25" style="1" customWidth="1"/>
    <col min="10" max="10" width="9.75" style="12" customWidth="1"/>
    <col min="11" max="14" width="9.625" style="12" bestFit="1" customWidth="1"/>
    <col min="15" max="27" width="8.625" style="12" customWidth="1"/>
    <col min="28" max="28" width="12.125" style="12" customWidth="1"/>
    <col min="29" max="29" width="8.625" style="12" customWidth="1"/>
    <col min="30" max="30" width="9.5" style="1" bestFit="1" customWidth="1"/>
    <col min="31" max="16384" width="8" style="1"/>
  </cols>
  <sheetData>
    <row r="1" spans="1:43" ht="18.75" x14ac:dyDescent="0.3">
      <c r="A1" s="15" t="str">
        <f>bus</f>
        <v>CitiPower</v>
      </c>
      <c r="B1" s="11"/>
      <c r="C1" s="15"/>
      <c r="D1" s="15"/>
      <c r="E1" s="15"/>
      <c r="F1" s="409"/>
      <c r="G1" s="15"/>
      <c r="H1" s="15"/>
      <c r="I1" s="15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08"/>
      <c r="AE1" s="408"/>
      <c r="AF1" s="408"/>
      <c r="AG1" s="408"/>
    </row>
    <row r="2" spans="1:43" ht="18.75" x14ac:dyDescent="0.3">
      <c r="A2" s="56" t="str">
        <f>proj</f>
        <v>RD switchboard and relay replacement</v>
      </c>
      <c r="B2" s="11"/>
      <c r="C2" s="15"/>
      <c r="D2" s="15"/>
      <c r="E2" s="15"/>
      <c r="F2" s="409"/>
      <c r="G2" s="15"/>
      <c r="H2" s="15"/>
      <c r="I2" s="15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08"/>
      <c r="AE2" s="408"/>
      <c r="AF2" s="408"/>
      <c r="AG2" s="408"/>
    </row>
    <row r="3" spans="1:43" ht="18.75" x14ac:dyDescent="0.3">
      <c r="A3" s="5" t="s">
        <v>247</v>
      </c>
      <c r="B3" s="328"/>
      <c r="C3" s="5"/>
      <c r="D3" s="5"/>
    </row>
    <row r="5" spans="1:43" ht="15" x14ac:dyDescent="0.2">
      <c r="A5" s="330"/>
      <c r="B5" s="330"/>
      <c r="C5" s="330"/>
      <c r="D5" s="330"/>
      <c r="E5" s="330"/>
      <c r="F5" s="331"/>
      <c r="G5" s="330"/>
      <c r="H5" s="330"/>
      <c r="I5" s="330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</row>
    <row r="6" spans="1:43" x14ac:dyDescent="0.2">
      <c r="C6" s="3"/>
      <c r="D6" s="3"/>
    </row>
    <row r="8" spans="1:43" s="333" customFormat="1" x14ac:dyDescent="0.2">
      <c r="B8" s="334" t="s">
        <v>248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</row>
    <row r="9" spans="1:43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3" x14ac:dyDescent="0.2">
      <c r="D10" s="336"/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3" x14ac:dyDescent="0.2">
      <c r="E11" s="337" t="s">
        <v>19</v>
      </c>
      <c r="F11" s="337" t="str">
        <f t="shared" ref="F11:AC11" si="0">LEFT(E11,4)+1&amp;"-"&amp;RIGHT(E11,2)+1</f>
        <v>2027-28</v>
      </c>
      <c r="G11" s="337" t="str">
        <f t="shared" si="0"/>
        <v>2028-29</v>
      </c>
      <c r="H11" s="337" t="str">
        <f t="shared" si="0"/>
        <v>2029-30</v>
      </c>
      <c r="I11" s="337" t="str">
        <f t="shared" si="0"/>
        <v>2030-31</v>
      </c>
      <c r="J11" s="337" t="str">
        <f t="shared" si="0"/>
        <v>2031-32</v>
      </c>
      <c r="K11" s="337" t="str">
        <f t="shared" si="0"/>
        <v>2032-33</v>
      </c>
      <c r="L11" s="337" t="str">
        <f t="shared" si="0"/>
        <v>2033-34</v>
      </c>
      <c r="M11" s="337" t="str">
        <f t="shared" si="0"/>
        <v>2034-35</v>
      </c>
      <c r="N11" s="337" t="str">
        <f t="shared" si="0"/>
        <v>2035-36</v>
      </c>
      <c r="O11" s="337" t="str">
        <f t="shared" si="0"/>
        <v>2036-37</v>
      </c>
      <c r="P11" s="337" t="str">
        <f t="shared" si="0"/>
        <v>2037-38</v>
      </c>
      <c r="Q11" s="337" t="str">
        <f t="shared" si="0"/>
        <v>2038-39</v>
      </c>
      <c r="R11" s="337" t="str">
        <f t="shared" si="0"/>
        <v>2039-40</v>
      </c>
      <c r="S11" s="337" t="str">
        <f t="shared" si="0"/>
        <v>2040-41</v>
      </c>
      <c r="T11" s="337" t="str">
        <f t="shared" si="0"/>
        <v>2041-42</v>
      </c>
      <c r="U11" s="337" t="str">
        <f t="shared" si="0"/>
        <v>2042-43</v>
      </c>
      <c r="V11" s="337" t="str">
        <f t="shared" si="0"/>
        <v>2043-44</v>
      </c>
      <c r="W11" s="337" t="str">
        <f t="shared" si="0"/>
        <v>2044-45</v>
      </c>
      <c r="X11" s="337" t="str">
        <f t="shared" si="0"/>
        <v>2045-46</v>
      </c>
      <c r="Y11" s="337" t="str">
        <f t="shared" si="0"/>
        <v>2046-47</v>
      </c>
      <c r="Z11" s="337" t="str">
        <f t="shared" si="0"/>
        <v>2047-48</v>
      </c>
      <c r="AA11" s="337" t="str">
        <f t="shared" si="0"/>
        <v>2048-49</v>
      </c>
      <c r="AB11" s="337" t="str">
        <f t="shared" si="0"/>
        <v>2049-50</v>
      </c>
      <c r="AC11" s="337" t="str">
        <f t="shared" si="0"/>
        <v>2050-51</v>
      </c>
    </row>
    <row r="12" spans="1:43" x14ac:dyDescent="0.2">
      <c r="D12" s="338" t="s">
        <v>2</v>
      </c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3" x14ac:dyDescent="0.2">
      <c r="D13" s="2" t="s">
        <v>249</v>
      </c>
      <c r="E13" s="361">
        <v>50000</v>
      </c>
      <c r="F13" s="361">
        <v>50000</v>
      </c>
      <c r="G13" s="361">
        <v>50000</v>
      </c>
      <c r="H13" s="361">
        <v>50000</v>
      </c>
      <c r="I13" s="361">
        <v>50000</v>
      </c>
      <c r="J13" s="361">
        <v>50000</v>
      </c>
      <c r="K13" s="361">
        <v>50000</v>
      </c>
      <c r="L13" s="361">
        <v>50000</v>
      </c>
      <c r="M13" s="361">
        <v>50000</v>
      </c>
      <c r="N13" s="361">
        <v>50000</v>
      </c>
      <c r="O13" s="361">
        <v>50000</v>
      </c>
      <c r="P13" s="361">
        <v>50000</v>
      </c>
      <c r="Q13" s="361">
        <v>50000</v>
      </c>
      <c r="R13" s="361">
        <v>50000</v>
      </c>
      <c r="S13" s="361">
        <v>50000</v>
      </c>
      <c r="T13" s="361">
        <v>50000</v>
      </c>
      <c r="U13" s="361">
        <v>50000</v>
      </c>
      <c r="V13" s="361">
        <v>50000</v>
      </c>
      <c r="W13" s="361">
        <v>50000</v>
      </c>
      <c r="X13" s="361">
        <v>50000</v>
      </c>
      <c r="Y13" s="361">
        <v>50000</v>
      </c>
      <c r="Z13" s="361">
        <v>50000</v>
      </c>
      <c r="AA13" s="361">
        <v>50000</v>
      </c>
      <c r="AB13" s="361">
        <v>50000</v>
      </c>
      <c r="AC13" s="361">
        <v>50000</v>
      </c>
    </row>
    <row r="14" spans="1:43" x14ac:dyDescent="0.2">
      <c r="D14" s="2" t="s">
        <v>250</v>
      </c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</row>
    <row r="15" spans="1:43" x14ac:dyDescent="0.2">
      <c r="D15" s="340" t="s">
        <v>251</v>
      </c>
      <c r="E15" s="341">
        <f>SUM(E13:E14)</f>
        <v>50000</v>
      </c>
      <c r="F15" s="341">
        <f t="shared" ref="F15:AC15" si="1">SUM(F13:F14)</f>
        <v>50000</v>
      </c>
      <c r="G15" s="341">
        <f t="shared" si="1"/>
        <v>50000</v>
      </c>
      <c r="H15" s="341">
        <f t="shared" si="1"/>
        <v>50000</v>
      </c>
      <c r="I15" s="341">
        <f t="shared" si="1"/>
        <v>50000</v>
      </c>
      <c r="J15" s="341">
        <f t="shared" si="1"/>
        <v>50000</v>
      </c>
      <c r="K15" s="341">
        <f t="shared" si="1"/>
        <v>50000</v>
      </c>
      <c r="L15" s="341">
        <f t="shared" si="1"/>
        <v>50000</v>
      </c>
      <c r="M15" s="341">
        <f t="shared" si="1"/>
        <v>50000</v>
      </c>
      <c r="N15" s="341">
        <f t="shared" si="1"/>
        <v>50000</v>
      </c>
      <c r="O15" s="341">
        <f t="shared" si="1"/>
        <v>50000</v>
      </c>
      <c r="P15" s="341">
        <f t="shared" si="1"/>
        <v>50000</v>
      </c>
      <c r="Q15" s="341">
        <f t="shared" si="1"/>
        <v>50000</v>
      </c>
      <c r="R15" s="341">
        <f t="shared" si="1"/>
        <v>50000</v>
      </c>
      <c r="S15" s="341">
        <f t="shared" si="1"/>
        <v>50000</v>
      </c>
      <c r="T15" s="341">
        <f t="shared" si="1"/>
        <v>50000</v>
      </c>
      <c r="U15" s="341">
        <f t="shared" si="1"/>
        <v>50000</v>
      </c>
      <c r="V15" s="341">
        <f t="shared" si="1"/>
        <v>50000</v>
      </c>
      <c r="W15" s="341">
        <f t="shared" si="1"/>
        <v>50000</v>
      </c>
      <c r="X15" s="341">
        <f t="shared" si="1"/>
        <v>50000</v>
      </c>
      <c r="Y15" s="341">
        <f t="shared" si="1"/>
        <v>50000</v>
      </c>
      <c r="Z15" s="341">
        <f t="shared" si="1"/>
        <v>50000</v>
      </c>
      <c r="AA15" s="341">
        <f t="shared" si="1"/>
        <v>50000</v>
      </c>
      <c r="AB15" s="341">
        <f t="shared" si="1"/>
        <v>50000</v>
      </c>
      <c r="AC15" s="341">
        <f t="shared" si="1"/>
        <v>50000</v>
      </c>
    </row>
    <row r="16" spans="1:43" x14ac:dyDescent="0.2"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342" customFormat="1" x14ac:dyDescent="0.2">
      <c r="B18" s="334" t="str">
        <f>"Option 2 - "&amp;Assumptions!E15</f>
        <v>Option 2 - Combined replacement of SWBD (i.e. all three buses) and relays completed in 2028-29</v>
      </c>
    </row>
    <row r="19" spans="2:29" x14ac:dyDescent="0.2"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E21" s="337" t="s">
        <v>19</v>
      </c>
      <c r="F21" s="337" t="str">
        <f t="shared" ref="F21:AC21" si="2">LEFT(E21,4)+1&amp;"-"&amp;RIGHT(E21,2)+1</f>
        <v>2027-28</v>
      </c>
      <c r="G21" s="337" t="str">
        <f t="shared" si="2"/>
        <v>2028-29</v>
      </c>
      <c r="H21" s="337" t="str">
        <f t="shared" si="2"/>
        <v>2029-30</v>
      </c>
      <c r="I21" s="337" t="str">
        <f t="shared" si="2"/>
        <v>2030-31</v>
      </c>
      <c r="J21" s="337" t="str">
        <f t="shared" si="2"/>
        <v>2031-32</v>
      </c>
      <c r="K21" s="337" t="str">
        <f t="shared" si="2"/>
        <v>2032-33</v>
      </c>
      <c r="L21" s="337" t="str">
        <f t="shared" si="2"/>
        <v>2033-34</v>
      </c>
      <c r="M21" s="337" t="str">
        <f t="shared" si="2"/>
        <v>2034-35</v>
      </c>
      <c r="N21" s="337" t="str">
        <f t="shared" si="2"/>
        <v>2035-36</v>
      </c>
      <c r="O21" s="337" t="str">
        <f t="shared" si="2"/>
        <v>2036-37</v>
      </c>
      <c r="P21" s="337" t="str">
        <f t="shared" si="2"/>
        <v>2037-38</v>
      </c>
      <c r="Q21" s="337" t="str">
        <f t="shared" si="2"/>
        <v>2038-39</v>
      </c>
      <c r="R21" s="337" t="str">
        <f t="shared" si="2"/>
        <v>2039-40</v>
      </c>
      <c r="S21" s="337" t="str">
        <f t="shared" si="2"/>
        <v>2040-41</v>
      </c>
      <c r="T21" s="337" t="str">
        <f t="shared" si="2"/>
        <v>2041-42</v>
      </c>
      <c r="U21" s="337" t="str">
        <f t="shared" si="2"/>
        <v>2042-43</v>
      </c>
      <c r="V21" s="337" t="str">
        <f t="shared" si="2"/>
        <v>2043-44</v>
      </c>
      <c r="W21" s="337" t="str">
        <f t="shared" si="2"/>
        <v>2044-45</v>
      </c>
      <c r="X21" s="337" t="str">
        <f t="shared" si="2"/>
        <v>2045-46</v>
      </c>
      <c r="Y21" s="337" t="str">
        <f t="shared" si="2"/>
        <v>2046-47</v>
      </c>
      <c r="Z21" s="337" t="str">
        <f t="shared" si="2"/>
        <v>2047-48</v>
      </c>
      <c r="AA21" s="337" t="str">
        <f t="shared" si="2"/>
        <v>2048-49</v>
      </c>
      <c r="AB21" s="337" t="str">
        <f t="shared" si="2"/>
        <v>2049-50</v>
      </c>
      <c r="AC21" s="337" t="str">
        <f t="shared" si="2"/>
        <v>2050-51</v>
      </c>
    </row>
    <row r="22" spans="2:29" x14ac:dyDescent="0.2">
      <c r="D22" s="338" t="s">
        <v>252</v>
      </c>
      <c r="E22" s="361"/>
      <c r="F22" s="361">
        <v>2896868.4472340425</v>
      </c>
      <c r="G22" s="361">
        <v>1448434.2236170212</v>
      </c>
      <c r="H22" s="361"/>
      <c r="I22" s="361"/>
      <c r="J22" s="361"/>
      <c r="K22" s="361">
        <v>0</v>
      </c>
      <c r="L22" s="361">
        <v>0</v>
      </c>
      <c r="M22" s="361">
        <v>0</v>
      </c>
      <c r="N22" s="361">
        <v>0</v>
      </c>
      <c r="O22" s="361">
        <v>0</v>
      </c>
      <c r="P22" s="361">
        <v>0</v>
      </c>
      <c r="Q22" s="361">
        <v>0</v>
      </c>
      <c r="R22" s="361">
        <v>0</v>
      </c>
      <c r="S22" s="361">
        <v>0</v>
      </c>
      <c r="T22" s="361">
        <v>0</v>
      </c>
      <c r="U22" s="361">
        <v>0</v>
      </c>
      <c r="V22" s="361">
        <v>0</v>
      </c>
      <c r="W22" s="361">
        <v>0</v>
      </c>
      <c r="X22" s="361">
        <v>0</v>
      </c>
      <c r="Y22" s="361">
        <v>0</v>
      </c>
      <c r="Z22" s="361">
        <v>0</v>
      </c>
      <c r="AA22" s="361">
        <v>0</v>
      </c>
      <c r="AB22" s="361">
        <v>0</v>
      </c>
      <c r="AC22" s="361">
        <v>0</v>
      </c>
    </row>
    <row r="23" spans="2:29" x14ac:dyDescent="0.2">
      <c r="D23" s="338" t="s">
        <v>253</v>
      </c>
      <c r="E23" s="361"/>
      <c r="F23" s="361">
        <v>1931245.6314893619</v>
      </c>
      <c r="G23" s="361">
        <v>965622.81574468093</v>
      </c>
      <c r="H23" s="361"/>
      <c r="I23" s="361"/>
      <c r="J23" s="361"/>
      <c r="K23" s="361">
        <v>0</v>
      </c>
      <c r="L23" s="361">
        <v>0</v>
      </c>
      <c r="M23" s="361">
        <v>0</v>
      </c>
      <c r="N23" s="361">
        <v>0</v>
      </c>
      <c r="O23" s="361">
        <v>0</v>
      </c>
      <c r="P23" s="361">
        <v>0</v>
      </c>
      <c r="Q23" s="361">
        <v>0</v>
      </c>
      <c r="R23" s="361">
        <v>0</v>
      </c>
      <c r="S23" s="361">
        <v>0</v>
      </c>
      <c r="T23" s="361">
        <v>0</v>
      </c>
      <c r="U23" s="361">
        <v>0</v>
      </c>
      <c r="V23" s="361">
        <v>0</v>
      </c>
      <c r="W23" s="361">
        <v>0</v>
      </c>
      <c r="X23" s="361">
        <v>0</v>
      </c>
      <c r="Y23" s="361">
        <v>0</v>
      </c>
      <c r="Z23" s="361">
        <v>0</v>
      </c>
      <c r="AA23" s="361">
        <v>0</v>
      </c>
      <c r="AB23" s="361">
        <v>0</v>
      </c>
      <c r="AC23" s="361">
        <v>0</v>
      </c>
    </row>
    <row r="24" spans="2:29" x14ac:dyDescent="0.2">
      <c r="D24" s="345" t="s">
        <v>254</v>
      </c>
      <c r="E24" s="346">
        <f>SUM(E22:E23)</f>
        <v>0</v>
      </c>
      <c r="F24" s="346">
        <f>SUM(F22:F23)</f>
        <v>4828114.0787234046</v>
      </c>
      <c r="G24" s="346">
        <f t="shared" ref="G24:I24" si="3">SUM(G22:G23)</f>
        <v>2414057.0393617023</v>
      </c>
      <c r="H24" s="346">
        <f t="shared" si="3"/>
        <v>0</v>
      </c>
      <c r="I24" s="346">
        <f t="shared" si="3"/>
        <v>0</v>
      </c>
      <c r="J24" s="346">
        <f>SUM(J22:J23)</f>
        <v>0</v>
      </c>
      <c r="K24" s="346">
        <f t="shared" ref="K24:AC24" si="4">SUM(K22:K23)</f>
        <v>0</v>
      </c>
      <c r="L24" s="346">
        <f t="shared" si="4"/>
        <v>0</v>
      </c>
      <c r="M24" s="346">
        <f t="shared" si="4"/>
        <v>0</v>
      </c>
      <c r="N24" s="346">
        <f t="shared" si="4"/>
        <v>0</v>
      </c>
      <c r="O24" s="346">
        <f t="shared" si="4"/>
        <v>0</v>
      </c>
      <c r="P24" s="346">
        <f t="shared" si="4"/>
        <v>0</v>
      </c>
      <c r="Q24" s="346">
        <f t="shared" si="4"/>
        <v>0</v>
      </c>
      <c r="R24" s="346">
        <f t="shared" si="4"/>
        <v>0</v>
      </c>
      <c r="S24" s="346">
        <f t="shared" si="4"/>
        <v>0</v>
      </c>
      <c r="T24" s="346">
        <f t="shared" si="4"/>
        <v>0</v>
      </c>
      <c r="U24" s="346">
        <f t="shared" si="4"/>
        <v>0</v>
      </c>
      <c r="V24" s="346">
        <f t="shared" si="4"/>
        <v>0</v>
      </c>
      <c r="W24" s="346">
        <f t="shared" si="4"/>
        <v>0</v>
      </c>
      <c r="X24" s="346">
        <f t="shared" si="4"/>
        <v>0</v>
      </c>
      <c r="Y24" s="346">
        <f t="shared" si="4"/>
        <v>0</v>
      </c>
      <c r="Z24" s="346">
        <f t="shared" si="4"/>
        <v>0</v>
      </c>
      <c r="AA24" s="346">
        <f t="shared" si="4"/>
        <v>0</v>
      </c>
      <c r="AB24" s="346">
        <f t="shared" si="4"/>
        <v>0</v>
      </c>
      <c r="AC24" s="346">
        <f t="shared" si="4"/>
        <v>0</v>
      </c>
    </row>
    <row r="25" spans="2:29" x14ac:dyDescent="0.2"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E26" s="337" t="s">
        <v>19</v>
      </c>
      <c r="F26" s="337" t="str">
        <f t="shared" ref="F26:AC26" si="5">LEFT(E26,4)+1&amp;"-"&amp;RIGHT(E26,2)+1</f>
        <v>2027-28</v>
      </c>
      <c r="G26" s="337" t="str">
        <f t="shared" si="5"/>
        <v>2028-29</v>
      </c>
      <c r="H26" s="337" t="str">
        <f t="shared" si="5"/>
        <v>2029-30</v>
      </c>
      <c r="I26" s="337" t="str">
        <f t="shared" si="5"/>
        <v>2030-31</v>
      </c>
      <c r="J26" s="337" t="str">
        <f t="shared" si="5"/>
        <v>2031-32</v>
      </c>
      <c r="K26" s="337" t="str">
        <f t="shared" si="5"/>
        <v>2032-33</v>
      </c>
      <c r="L26" s="337" t="str">
        <f t="shared" si="5"/>
        <v>2033-34</v>
      </c>
      <c r="M26" s="337" t="str">
        <f t="shared" si="5"/>
        <v>2034-35</v>
      </c>
      <c r="N26" s="337" t="str">
        <f t="shared" si="5"/>
        <v>2035-36</v>
      </c>
      <c r="O26" s="337" t="str">
        <f t="shared" si="5"/>
        <v>2036-37</v>
      </c>
      <c r="P26" s="337" t="str">
        <f t="shared" si="5"/>
        <v>2037-38</v>
      </c>
      <c r="Q26" s="337" t="str">
        <f t="shared" si="5"/>
        <v>2038-39</v>
      </c>
      <c r="R26" s="337" t="str">
        <f t="shared" si="5"/>
        <v>2039-40</v>
      </c>
      <c r="S26" s="337" t="str">
        <f t="shared" si="5"/>
        <v>2040-41</v>
      </c>
      <c r="T26" s="337" t="str">
        <f t="shared" si="5"/>
        <v>2041-42</v>
      </c>
      <c r="U26" s="337" t="str">
        <f t="shared" si="5"/>
        <v>2042-43</v>
      </c>
      <c r="V26" s="337" t="str">
        <f t="shared" si="5"/>
        <v>2043-44</v>
      </c>
      <c r="W26" s="337" t="str">
        <f t="shared" si="5"/>
        <v>2044-45</v>
      </c>
      <c r="X26" s="337" t="str">
        <f t="shared" si="5"/>
        <v>2045-46</v>
      </c>
      <c r="Y26" s="337" t="str">
        <f t="shared" si="5"/>
        <v>2046-47</v>
      </c>
      <c r="Z26" s="337" t="str">
        <f t="shared" si="5"/>
        <v>2047-48</v>
      </c>
      <c r="AA26" s="337" t="str">
        <f t="shared" si="5"/>
        <v>2048-49</v>
      </c>
      <c r="AB26" s="337" t="str">
        <f t="shared" si="5"/>
        <v>2049-50</v>
      </c>
      <c r="AC26" s="337" t="str">
        <f t="shared" si="5"/>
        <v>2050-51</v>
      </c>
    </row>
    <row r="27" spans="2:29" x14ac:dyDescent="0.2">
      <c r="D27" s="338" t="s">
        <v>2</v>
      </c>
      <c r="F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D28" s="2" t="s">
        <v>249</v>
      </c>
      <c r="E28" s="361">
        <v>50000</v>
      </c>
      <c r="F28" s="361">
        <v>50000</v>
      </c>
      <c r="G28" s="361">
        <v>50000</v>
      </c>
      <c r="H28" s="361">
        <v>0</v>
      </c>
      <c r="I28" s="361">
        <v>0</v>
      </c>
      <c r="J28" s="361">
        <v>0</v>
      </c>
      <c r="K28" s="361">
        <v>0</v>
      </c>
      <c r="L28" s="361">
        <v>0</v>
      </c>
      <c r="M28" s="361">
        <v>0</v>
      </c>
      <c r="N28" s="361">
        <v>0</v>
      </c>
      <c r="O28" s="361">
        <v>0</v>
      </c>
      <c r="P28" s="361">
        <v>0</v>
      </c>
      <c r="Q28" s="361">
        <v>0</v>
      </c>
      <c r="R28" s="361">
        <v>0</v>
      </c>
      <c r="S28" s="361">
        <v>0</v>
      </c>
      <c r="T28" s="361">
        <v>0</v>
      </c>
      <c r="U28" s="361">
        <v>0</v>
      </c>
      <c r="V28" s="361">
        <v>0</v>
      </c>
      <c r="W28" s="361">
        <v>0</v>
      </c>
      <c r="X28" s="361">
        <v>0</v>
      </c>
      <c r="Y28" s="361">
        <v>0</v>
      </c>
      <c r="Z28" s="361">
        <v>0</v>
      </c>
      <c r="AA28" s="361">
        <v>0</v>
      </c>
      <c r="AB28" s="361">
        <v>0</v>
      </c>
      <c r="AC28" s="361">
        <v>0</v>
      </c>
    </row>
    <row r="29" spans="2:29" x14ac:dyDescent="0.2">
      <c r="D29" s="2" t="s">
        <v>250</v>
      </c>
      <c r="E29" s="361">
        <v>0</v>
      </c>
      <c r="F29" s="361">
        <v>0</v>
      </c>
      <c r="G29" s="361">
        <v>0</v>
      </c>
      <c r="H29" s="361">
        <v>0</v>
      </c>
      <c r="I29" s="361">
        <v>0</v>
      </c>
      <c r="J29" s="361">
        <v>0</v>
      </c>
      <c r="K29" s="361">
        <v>0</v>
      </c>
      <c r="L29" s="361">
        <v>0</v>
      </c>
      <c r="M29" s="361">
        <v>0</v>
      </c>
      <c r="N29" s="361">
        <v>0</v>
      </c>
      <c r="O29" s="361">
        <v>0</v>
      </c>
      <c r="P29" s="361">
        <v>0</v>
      </c>
      <c r="Q29" s="361">
        <v>0</v>
      </c>
      <c r="R29" s="361">
        <v>0</v>
      </c>
      <c r="S29" s="361">
        <v>0</v>
      </c>
      <c r="T29" s="361">
        <v>0</v>
      </c>
      <c r="U29" s="361">
        <v>0</v>
      </c>
      <c r="V29" s="361">
        <v>0</v>
      </c>
      <c r="W29" s="361">
        <v>0</v>
      </c>
      <c r="X29" s="361">
        <v>0</v>
      </c>
      <c r="Y29" s="361">
        <v>0</v>
      </c>
      <c r="Z29" s="361">
        <v>0</v>
      </c>
      <c r="AA29" s="361">
        <v>0</v>
      </c>
      <c r="AB29" s="361">
        <v>0</v>
      </c>
      <c r="AC29" s="361">
        <v>0</v>
      </c>
    </row>
    <row r="30" spans="2:29" x14ac:dyDescent="0.2">
      <c r="D30" s="340" t="s">
        <v>251</v>
      </c>
      <c r="E30" s="341">
        <f>SUM(E28:E29)</f>
        <v>50000</v>
      </c>
      <c r="F30" s="341">
        <f t="shared" ref="F30:AC30" si="6">SUM(F28:F29)</f>
        <v>50000</v>
      </c>
      <c r="G30" s="341">
        <f t="shared" si="6"/>
        <v>50000</v>
      </c>
      <c r="H30" s="341">
        <f t="shared" si="6"/>
        <v>0</v>
      </c>
      <c r="I30" s="341">
        <f t="shared" si="6"/>
        <v>0</v>
      </c>
      <c r="J30" s="341">
        <f t="shared" si="6"/>
        <v>0</v>
      </c>
      <c r="K30" s="341">
        <f t="shared" si="6"/>
        <v>0</v>
      </c>
      <c r="L30" s="341">
        <f t="shared" si="6"/>
        <v>0</v>
      </c>
      <c r="M30" s="341">
        <f t="shared" si="6"/>
        <v>0</v>
      </c>
      <c r="N30" s="341">
        <f t="shared" si="6"/>
        <v>0</v>
      </c>
      <c r="O30" s="341">
        <f t="shared" si="6"/>
        <v>0</v>
      </c>
      <c r="P30" s="341">
        <f t="shared" si="6"/>
        <v>0</v>
      </c>
      <c r="Q30" s="341">
        <f t="shared" si="6"/>
        <v>0</v>
      </c>
      <c r="R30" s="341">
        <f t="shared" si="6"/>
        <v>0</v>
      </c>
      <c r="S30" s="341">
        <f t="shared" si="6"/>
        <v>0</v>
      </c>
      <c r="T30" s="341">
        <f t="shared" si="6"/>
        <v>0</v>
      </c>
      <c r="U30" s="341">
        <f t="shared" si="6"/>
        <v>0</v>
      </c>
      <c r="V30" s="341">
        <f t="shared" si="6"/>
        <v>0</v>
      </c>
      <c r="W30" s="341">
        <f t="shared" si="6"/>
        <v>0</v>
      </c>
      <c r="X30" s="341">
        <f t="shared" si="6"/>
        <v>0</v>
      </c>
      <c r="Y30" s="341">
        <f t="shared" si="6"/>
        <v>0</v>
      </c>
      <c r="Z30" s="341">
        <f t="shared" si="6"/>
        <v>0</v>
      </c>
      <c r="AA30" s="341">
        <f t="shared" si="6"/>
        <v>0</v>
      </c>
      <c r="AB30" s="341">
        <f t="shared" si="6"/>
        <v>0</v>
      </c>
      <c r="AC30" s="341">
        <f t="shared" si="6"/>
        <v>0</v>
      </c>
    </row>
    <row r="31" spans="2:29" x14ac:dyDescent="0.2">
      <c r="D31" s="2" t="s">
        <v>313</v>
      </c>
      <c r="E31" s="392">
        <f>E$13-E30</f>
        <v>0</v>
      </c>
      <c r="F31" s="392">
        <f t="shared" ref="F31:AC31" si="7">F$13-F30</f>
        <v>0</v>
      </c>
      <c r="G31" s="392">
        <f t="shared" si="7"/>
        <v>0</v>
      </c>
      <c r="H31" s="392">
        <f t="shared" si="7"/>
        <v>50000</v>
      </c>
      <c r="I31" s="392">
        <f t="shared" si="7"/>
        <v>50000</v>
      </c>
      <c r="J31" s="392">
        <f t="shared" si="7"/>
        <v>50000</v>
      </c>
      <c r="K31" s="392">
        <f t="shared" si="7"/>
        <v>50000</v>
      </c>
      <c r="L31" s="392">
        <f t="shared" si="7"/>
        <v>50000</v>
      </c>
      <c r="M31" s="392">
        <f t="shared" si="7"/>
        <v>50000</v>
      </c>
      <c r="N31" s="392">
        <f t="shared" si="7"/>
        <v>50000</v>
      </c>
      <c r="O31" s="392">
        <f t="shared" si="7"/>
        <v>50000</v>
      </c>
      <c r="P31" s="392">
        <f t="shared" si="7"/>
        <v>50000</v>
      </c>
      <c r="Q31" s="392">
        <f t="shared" si="7"/>
        <v>50000</v>
      </c>
      <c r="R31" s="392">
        <f t="shared" si="7"/>
        <v>50000</v>
      </c>
      <c r="S31" s="392">
        <f t="shared" si="7"/>
        <v>50000</v>
      </c>
      <c r="T31" s="392">
        <f t="shared" si="7"/>
        <v>50000</v>
      </c>
      <c r="U31" s="392">
        <f t="shared" si="7"/>
        <v>50000</v>
      </c>
      <c r="V31" s="392">
        <f t="shared" si="7"/>
        <v>50000</v>
      </c>
      <c r="W31" s="392">
        <f t="shared" si="7"/>
        <v>50000</v>
      </c>
      <c r="X31" s="392">
        <f t="shared" si="7"/>
        <v>50000</v>
      </c>
      <c r="Y31" s="392">
        <f t="shared" si="7"/>
        <v>50000</v>
      </c>
      <c r="Z31" s="392">
        <f t="shared" si="7"/>
        <v>50000</v>
      </c>
      <c r="AA31" s="392">
        <f t="shared" si="7"/>
        <v>50000</v>
      </c>
      <c r="AB31" s="392">
        <f t="shared" si="7"/>
        <v>50000</v>
      </c>
      <c r="AC31" s="392">
        <f t="shared" si="7"/>
        <v>50000</v>
      </c>
    </row>
    <row r="32" spans="2:29" ht="14.45" customHeight="1" x14ac:dyDescent="0.2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F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s="342" customFormat="1" x14ac:dyDescent="0.2">
      <c r="B34" s="334" t="str">
        <f>"Option 3 - "&amp;Assumptions!E16</f>
        <v>Option 3 - Relay replacement completed in 2028-29 and SWBD replacement completed in 2033-34</v>
      </c>
    </row>
    <row r="35" spans="2:29" x14ac:dyDescent="0.2"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F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E37" s="337" t="s">
        <v>19</v>
      </c>
      <c r="F37" s="337" t="str">
        <f t="shared" ref="F37:AC37" si="8">LEFT(E37,4)+1&amp;"-"&amp;RIGHT(E37,2)+1</f>
        <v>2027-28</v>
      </c>
      <c r="G37" s="337" t="str">
        <f t="shared" si="8"/>
        <v>2028-29</v>
      </c>
      <c r="H37" s="337" t="str">
        <f t="shared" si="8"/>
        <v>2029-30</v>
      </c>
      <c r="I37" s="337" t="str">
        <f t="shared" si="8"/>
        <v>2030-31</v>
      </c>
      <c r="J37" s="337" t="str">
        <f t="shared" si="8"/>
        <v>2031-32</v>
      </c>
      <c r="K37" s="337" t="str">
        <f t="shared" si="8"/>
        <v>2032-33</v>
      </c>
      <c r="L37" s="337" t="str">
        <f t="shared" si="8"/>
        <v>2033-34</v>
      </c>
      <c r="M37" s="337" t="str">
        <f t="shared" si="8"/>
        <v>2034-35</v>
      </c>
      <c r="N37" s="337" t="str">
        <f t="shared" si="8"/>
        <v>2035-36</v>
      </c>
      <c r="O37" s="337" t="str">
        <f t="shared" si="8"/>
        <v>2036-37</v>
      </c>
      <c r="P37" s="337" t="str">
        <f t="shared" si="8"/>
        <v>2037-38</v>
      </c>
      <c r="Q37" s="337" t="str">
        <f t="shared" si="8"/>
        <v>2038-39</v>
      </c>
      <c r="R37" s="337" t="str">
        <f t="shared" si="8"/>
        <v>2039-40</v>
      </c>
      <c r="S37" s="337" t="str">
        <f t="shared" si="8"/>
        <v>2040-41</v>
      </c>
      <c r="T37" s="337" t="str">
        <f t="shared" si="8"/>
        <v>2041-42</v>
      </c>
      <c r="U37" s="337" t="str">
        <f t="shared" si="8"/>
        <v>2042-43</v>
      </c>
      <c r="V37" s="337" t="str">
        <f t="shared" si="8"/>
        <v>2043-44</v>
      </c>
      <c r="W37" s="337" t="str">
        <f t="shared" si="8"/>
        <v>2044-45</v>
      </c>
      <c r="X37" s="337" t="str">
        <f t="shared" si="8"/>
        <v>2045-46</v>
      </c>
      <c r="Y37" s="337" t="str">
        <f t="shared" si="8"/>
        <v>2046-47</v>
      </c>
      <c r="Z37" s="337" t="str">
        <f t="shared" si="8"/>
        <v>2047-48</v>
      </c>
      <c r="AA37" s="337" t="str">
        <f t="shared" si="8"/>
        <v>2048-49</v>
      </c>
      <c r="AB37" s="337" t="str">
        <f t="shared" si="8"/>
        <v>2049-50</v>
      </c>
      <c r="AC37" s="337" t="str">
        <f t="shared" si="8"/>
        <v>2050-51</v>
      </c>
    </row>
    <row r="38" spans="2:29" x14ac:dyDescent="0.2">
      <c r="D38" s="338" t="s">
        <v>252</v>
      </c>
      <c r="E38" s="361"/>
      <c r="F38" s="361"/>
      <c r="G38" s="361"/>
      <c r="H38" s="361"/>
      <c r="I38" s="361"/>
      <c r="J38" s="361"/>
      <c r="K38" s="361">
        <v>3862491.2629787237</v>
      </c>
      <c r="L38" s="361">
        <v>1931245.6314893619</v>
      </c>
      <c r="M38" s="361"/>
      <c r="N38" s="361"/>
      <c r="O38" s="361"/>
      <c r="P38" s="361"/>
      <c r="Q38" s="361"/>
      <c r="R38" s="361">
        <v>0</v>
      </c>
      <c r="S38" s="361">
        <v>0</v>
      </c>
      <c r="T38" s="361">
        <v>0</v>
      </c>
      <c r="U38" s="361">
        <v>0</v>
      </c>
      <c r="V38" s="361">
        <v>0</v>
      </c>
      <c r="W38" s="361">
        <v>0</v>
      </c>
      <c r="X38" s="361">
        <v>0</v>
      </c>
      <c r="Y38" s="361">
        <v>0</v>
      </c>
      <c r="Z38" s="361">
        <v>0</v>
      </c>
      <c r="AA38" s="361">
        <v>0</v>
      </c>
      <c r="AB38" s="361">
        <v>0</v>
      </c>
      <c r="AC38" s="361">
        <v>0</v>
      </c>
    </row>
    <row r="39" spans="2:29" x14ac:dyDescent="0.2">
      <c r="D39" s="338" t="s">
        <v>253</v>
      </c>
      <c r="E39" s="361"/>
      <c r="F39" s="361">
        <v>1931245.6314893619</v>
      </c>
      <c r="G39" s="361">
        <v>965622.81574468093</v>
      </c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>
        <v>0</v>
      </c>
      <c r="S39" s="361">
        <v>0</v>
      </c>
      <c r="T39" s="361">
        <v>0</v>
      </c>
      <c r="U39" s="361">
        <v>0</v>
      </c>
      <c r="V39" s="361">
        <v>0</v>
      </c>
      <c r="W39" s="361">
        <v>0</v>
      </c>
      <c r="X39" s="361">
        <v>0</v>
      </c>
      <c r="Y39" s="361">
        <v>0</v>
      </c>
      <c r="Z39" s="361">
        <v>0</v>
      </c>
      <c r="AA39" s="361">
        <v>0</v>
      </c>
      <c r="AB39" s="361">
        <v>0</v>
      </c>
      <c r="AC39" s="361">
        <v>0</v>
      </c>
    </row>
    <row r="40" spans="2:29" x14ac:dyDescent="0.2">
      <c r="D40" s="345" t="s">
        <v>254</v>
      </c>
      <c r="E40" s="346">
        <f>SUM(E38:E39)</f>
        <v>0</v>
      </c>
      <c r="F40" s="346">
        <f>SUM(F38:F39)</f>
        <v>1931245.6314893619</v>
      </c>
      <c r="G40" s="346">
        <f t="shared" ref="G40:AC40" si="9">SUM(G38:G39)</f>
        <v>965622.81574468093</v>
      </c>
      <c r="H40" s="346">
        <f t="shared" si="9"/>
        <v>0</v>
      </c>
      <c r="I40" s="346">
        <f t="shared" si="9"/>
        <v>0</v>
      </c>
      <c r="J40" s="346">
        <f t="shared" si="9"/>
        <v>0</v>
      </c>
      <c r="K40" s="346">
        <f t="shared" si="9"/>
        <v>3862491.2629787237</v>
      </c>
      <c r="L40" s="346">
        <f t="shared" si="9"/>
        <v>1931245.6314893619</v>
      </c>
      <c r="M40" s="346">
        <f t="shared" si="9"/>
        <v>0</v>
      </c>
      <c r="N40" s="346">
        <f t="shared" si="9"/>
        <v>0</v>
      </c>
      <c r="O40" s="346">
        <f t="shared" si="9"/>
        <v>0</v>
      </c>
      <c r="P40" s="346">
        <f t="shared" si="9"/>
        <v>0</v>
      </c>
      <c r="Q40" s="346">
        <f t="shared" si="9"/>
        <v>0</v>
      </c>
      <c r="R40" s="346">
        <f t="shared" si="9"/>
        <v>0</v>
      </c>
      <c r="S40" s="346">
        <f t="shared" si="9"/>
        <v>0</v>
      </c>
      <c r="T40" s="346">
        <f t="shared" si="9"/>
        <v>0</v>
      </c>
      <c r="U40" s="346">
        <f t="shared" si="9"/>
        <v>0</v>
      </c>
      <c r="V40" s="346">
        <f t="shared" si="9"/>
        <v>0</v>
      </c>
      <c r="W40" s="346">
        <f t="shared" si="9"/>
        <v>0</v>
      </c>
      <c r="X40" s="346">
        <f t="shared" si="9"/>
        <v>0</v>
      </c>
      <c r="Y40" s="346">
        <f t="shared" si="9"/>
        <v>0</v>
      </c>
      <c r="Z40" s="346">
        <f t="shared" si="9"/>
        <v>0</v>
      </c>
      <c r="AA40" s="346">
        <f t="shared" si="9"/>
        <v>0</v>
      </c>
      <c r="AB40" s="346">
        <f t="shared" si="9"/>
        <v>0</v>
      </c>
      <c r="AC40" s="346">
        <f t="shared" si="9"/>
        <v>0</v>
      </c>
    </row>
    <row r="41" spans="2:29" x14ac:dyDescent="0.2"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E42" s="337" t="s">
        <v>19</v>
      </c>
      <c r="F42" s="337" t="str">
        <f t="shared" ref="F42:AC42" si="10">LEFT(E42,4)+1&amp;"-"&amp;RIGHT(E42,2)+1</f>
        <v>2027-28</v>
      </c>
      <c r="G42" s="337" t="str">
        <f t="shared" si="10"/>
        <v>2028-29</v>
      </c>
      <c r="H42" s="337" t="str">
        <f t="shared" si="10"/>
        <v>2029-30</v>
      </c>
      <c r="I42" s="337" t="str">
        <f t="shared" si="10"/>
        <v>2030-31</v>
      </c>
      <c r="J42" s="337" t="str">
        <f t="shared" si="10"/>
        <v>2031-32</v>
      </c>
      <c r="K42" s="337" t="str">
        <f t="shared" si="10"/>
        <v>2032-33</v>
      </c>
      <c r="L42" s="337" t="str">
        <f t="shared" si="10"/>
        <v>2033-34</v>
      </c>
      <c r="M42" s="337" t="str">
        <f t="shared" si="10"/>
        <v>2034-35</v>
      </c>
      <c r="N42" s="337" t="str">
        <f t="shared" si="10"/>
        <v>2035-36</v>
      </c>
      <c r="O42" s="337" t="str">
        <f t="shared" si="10"/>
        <v>2036-37</v>
      </c>
      <c r="P42" s="337" t="str">
        <f t="shared" si="10"/>
        <v>2037-38</v>
      </c>
      <c r="Q42" s="337" t="str">
        <f t="shared" si="10"/>
        <v>2038-39</v>
      </c>
      <c r="R42" s="337" t="str">
        <f t="shared" si="10"/>
        <v>2039-40</v>
      </c>
      <c r="S42" s="337" t="str">
        <f t="shared" si="10"/>
        <v>2040-41</v>
      </c>
      <c r="T42" s="337" t="str">
        <f t="shared" si="10"/>
        <v>2041-42</v>
      </c>
      <c r="U42" s="337" t="str">
        <f t="shared" si="10"/>
        <v>2042-43</v>
      </c>
      <c r="V42" s="337" t="str">
        <f t="shared" si="10"/>
        <v>2043-44</v>
      </c>
      <c r="W42" s="337" t="str">
        <f t="shared" si="10"/>
        <v>2044-45</v>
      </c>
      <c r="X42" s="337" t="str">
        <f t="shared" si="10"/>
        <v>2045-46</v>
      </c>
      <c r="Y42" s="337" t="str">
        <f t="shared" si="10"/>
        <v>2046-47</v>
      </c>
      <c r="Z42" s="337" t="str">
        <f t="shared" si="10"/>
        <v>2047-48</v>
      </c>
      <c r="AA42" s="337" t="str">
        <f t="shared" si="10"/>
        <v>2048-49</v>
      </c>
      <c r="AB42" s="337" t="str">
        <f t="shared" si="10"/>
        <v>2049-50</v>
      </c>
      <c r="AC42" s="337" t="str">
        <f t="shared" si="10"/>
        <v>2050-51</v>
      </c>
    </row>
    <row r="43" spans="2:29" x14ac:dyDescent="0.2">
      <c r="D43" s="338" t="s">
        <v>2</v>
      </c>
      <c r="F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D44" s="2" t="s">
        <v>249</v>
      </c>
      <c r="E44" s="361">
        <v>50000</v>
      </c>
      <c r="F44" s="361">
        <v>50000</v>
      </c>
      <c r="G44" s="361">
        <v>50000</v>
      </c>
      <c r="H44" s="361">
        <v>50000</v>
      </c>
      <c r="I44" s="361">
        <v>50000</v>
      </c>
      <c r="J44" s="361">
        <v>50000</v>
      </c>
      <c r="K44" s="361">
        <v>50000</v>
      </c>
      <c r="L44" s="361">
        <v>50000</v>
      </c>
      <c r="M44" s="361">
        <v>0</v>
      </c>
      <c r="N44" s="361">
        <v>0</v>
      </c>
      <c r="O44" s="361">
        <v>0</v>
      </c>
      <c r="P44" s="361">
        <v>0</v>
      </c>
      <c r="Q44" s="361">
        <v>0</v>
      </c>
      <c r="R44" s="361">
        <v>0</v>
      </c>
      <c r="S44" s="361">
        <v>0</v>
      </c>
      <c r="T44" s="361">
        <v>0</v>
      </c>
      <c r="U44" s="361">
        <v>0</v>
      </c>
      <c r="V44" s="361">
        <v>0</v>
      </c>
      <c r="W44" s="361">
        <v>0</v>
      </c>
      <c r="X44" s="361">
        <v>0</v>
      </c>
      <c r="Y44" s="361">
        <v>0</v>
      </c>
      <c r="Z44" s="361">
        <v>0</v>
      </c>
      <c r="AA44" s="361">
        <v>0</v>
      </c>
      <c r="AB44" s="361">
        <v>0</v>
      </c>
      <c r="AC44" s="361">
        <v>0</v>
      </c>
    </row>
    <row r="45" spans="2:29" x14ac:dyDescent="0.2">
      <c r="D45" s="2" t="s">
        <v>250</v>
      </c>
      <c r="E45" s="361">
        <v>0</v>
      </c>
      <c r="F45" s="361">
        <v>0</v>
      </c>
      <c r="G45" s="361">
        <v>0</v>
      </c>
      <c r="H45" s="361">
        <v>0</v>
      </c>
      <c r="I45" s="361">
        <v>0</v>
      </c>
      <c r="J45" s="361">
        <v>0</v>
      </c>
      <c r="K45" s="361">
        <v>0</v>
      </c>
      <c r="L45" s="361">
        <v>0</v>
      </c>
      <c r="M45" s="361">
        <v>0</v>
      </c>
      <c r="N45" s="361">
        <v>0</v>
      </c>
      <c r="O45" s="361">
        <v>0</v>
      </c>
      <c r="P45" s="361">
        <v>0</v>
      </c>
      <c r="Q45" s="361">
        <v>0</v>
      </c>
      <c r="R45" s="361">
        <v>0</v>
      </c>
      <c r="S45" s="361">
        <v>0</v>
      </c>
      <c r="T45" s="361">
        <v>0</v>
      </c>
      <c r="U45" s="361">
        <v>0</v>
      </c>
      <c r="V45" s="361">
        <v>0</v>
      </c>
      <c r="W45" s="361">
        <v>0</v>
      </c>
      <c r="X45" s="361">
        <v>0</v>
      </c>
      <c r="Y45" s="361">
        <v>0</v>
      </c>
      <c r="Z45" s="361">
        <v>0</v>
      </c>
      <c r="AA45" s="361">
        <v>0</v>
      </c>
      <c r="AB45" s="361">
        <v>0</v>
      </c>
      <c r="AC45" s="361">
        <v>0</v>
      </c>
    </row>
    <row r="46" spans="2:29" x14ac:dyDescent="0.2">
      <c r="D46" s="340" t="s">
        <v>251</v>
      </c>
      <c r="E46" s="341">
        <f>SUM(E44:E45)</f>
        <v>50000</v>
      </c>
      <c r="F46" s="341">
        <f t="shared" ref="F46:AC46" si="11">SUM(F44:F45)</f>
        <v>50000</v>
      </c>
      <c r="G46" s="341">
        <f t="shared" si="11"/>
        <v>50000</v>
      </c>
      <c r="H46" s="341">
        <f t="shared" si="11"/>
        <v>50000</v>
      </c>
      <c r="I46" s="341">
        <f t="shared" si="11"/>
        <v>50000</v>
      </c>
      <c r="J46" s="341">
        <f t="shared" si="11"/>
        <v>50000</v>
      </c>
      <c r="K46" s="341">
        <f t="shared" si="11"/>
        <v>50000</v>
      </c>
      <c r="L46" s="341">
        <f t="shared" si="11"/>
        <v>50000</v>
      </c>
      <c r="M46" s="341">
        <f t="shared" si="11"/>
        <v>0</v>
      </c>
      <c r="N46" s="341">
        <f t="shared" si="11"/>
        <v>0</v>
      </c>
      <c r="O46" s="341">
        <f t="shared" si="11"/>
        <v>0</v>
      </c>
      <c r="P46" s="341">
        <f t="shared" si="11"/>
        <v>0</v>
      </c>
      <c r="Q46" s="341">
        <f t="shared" si="11"/>
        <v>0</v>
      </c>
      <c r="R46" s="341">
        <f t="shared" si="11"/>
        <v>0</v>
      </c>
      <c r="S46" s="341">
        <f t="shared" si="11"/>
        <v>0</v>
      </c>
      <c r="T46" s="341">
        <f t="shared" si="11"/>
        <v>0</v>
      </c>
      <c r="U46" s="341">
        <f t="shared" si="11"/>
        <v>0</v>
      </c>
      <c r="V46" s="341">
        <f t="shared" si="11"/>
        <v>0</v>
      </c>
      <c r="W46" s="341">
        <f t="shared" si="11"/>
        <v>0</v>
      </c>
      <c r="X46" s="341">
        <f t="shared" si="11"/>
        <v>0</v>
      </c>
      <c r="Y46" s="341">
        <f t="shared" si="11"/>
        <v>0</v>
      </c>
      <c r="Z46" s="341">
        <f t="shared" si="11"/>
        <v>0</v>
      </c>
      <c r="AA46" s="341">
        <f t="shared" si="11"/>
        <v>0</v>
      </c>
      <c r="AB46" s="341">
        <f t="shared" si="11"/>
        <v>0</v>
      </c>
      <c r="AC46" s="341">
        <f t="shared" si="11"/>
        <v>0</v>
      </c>
    </row>
    <row r="47" spans="2:29" x14ac:dyDescent="0.2">
      <c r="D47" s="2" t="s">
        <v>313</v>
      </c>
      <c r="E47" s="392">
        <f>E$13-E46</f>
        <v>0</v>
      </c>
      <c r="F47" s="392">
        <f t="shared" ref="F47:T47" si="12">F$13-F46</f>
        <v>0</v>
      </c>
      <c r="G47" s="392">
        <f t="shared" si="12"/>
        <v>0</v>
      </c>
      <c r="H47" s="392">
        <f t="shared" si="12"/>
        <v>0</v>
      </c>
      <c r="I47" s="392">
        <f t="shared" si="12"/>
        <v>0</v>
      </c>
      <c r="J47" s="392">
        <f t="shared" si="12"/>
        <v>0</v>
      </c>
      <c r="K47" s="392">
        <f t="shared" si="12"/>
        <v>0</v>
      </c>
      <c r="L47" s="392">
        <f t="shared" si="12"/>
        <v>0</v>
      </c>
      <c r="M47" s="392">
        <f t="shared" si="12"/>
        <v>50000</v>
      </c>
      <c r="N47" s="392">
        <f t="shared" si="12"/>
        <v>50000</v>
      </c>
      <c r="O47" s="392">
        <f t="shared" si="12"/>
        <v>50000</v>
      </c>
      <c r="P47" s="392">
        <f t="shared" si="12"/>
        <v>50000</v>
      </c>
      <c r="Q47" s="392">
        <f t="shared" si="12"/>
        <v>50000</v>
      </c>
      <c r="R47" s="392">
        <f t="shared" si="12"/>
        <v>50000</v>
      </c>
      <c r="S47" s="392">
        <f t="shared" si="12"/>
        <v>50000</v>
      </c>
      <c r="T47" s="392">
        <f t="shared" si="12"/>
        <v>50000</v>
      </c>
      <c r="U47" s="392">
        <f t="shared" ref="U47" si="13">U$13-U46</f>
        <v>50000</v>
      </c>
      <c r="V47" s="392">
        <f t="shared" ref="V47" si="14">V$13-V46</f>
        <v>50000</v>
      </c>
      <c r="W47" s="392">
        <f t="shared" ref="W47" si="15">W$13-W46</f>
        <v>50000</v>
      </c>
      <c r="X47" s="392">
        <f t="shared" ref="X47" si="16">X$13-X46</f>
        <v>50000</v>
      </c>
      <c r="Y47" s="392">
        <f t="shared" ref="Y47" si="17">Y$13-Y46</f>
        <v>50000</v>
      </c>
      <c r="Z47" s="392">
        <f t="shared" ref="Z47" si="18">Z$13-Z46</f>
        <v>50000</v>
      </c>
      <c r="AA47" s="392">
        <f t="shared" ref="AA47" si="19">AA$13-AA46</f>
        <v>50000</v>
      </c>
      <c r="AB47" s="392">
        <f t="shared" ref="AB47" si="20">AB$13-AB46</f>
        <v>50000</v>
      </c>
      <c r="AC47" s="392">
        <f t="shared" ref="AC47" si="21">AC$13-AC46</f>
        <v>50000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D63-2C6C-4BBF-A140-019FE0CDC2A8}">
  <sheetPr codeName="Sheet10">
    <tabColor rgb="FFFFFF00"/>
  </sheetPr>
  <dimension ref="A1:AQ83"/>
  <sheetViews>
    <sheetView showGridLines="0" zoomScale="90" zoomScaleNormal="90" workbookViewId="0">
      <pane xSplit="4" ySplit="5" topLeftCell="E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x14ac:dyDescent="0.2"/>
  <cols>
    <col min="1" max="1" width="2.625" style="1" customWidth="1"/>
    <col min="2" max="2" width="11.5" style="1" customWidth="1"/>
    <col min="3" max="3" width="3.75" style="1" customWidth="1"/>
    <col min="4" max="4" width="27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9" width="9.625" style="1" bestFit="1" customWidth="1"/>
    <col min="30" max="16384" width="8" style="1"/>
  </cols>
  <sheetData>
    <row r="1" spans="1:43" ht="18.75" x14ac:dyDescent="0.3">
      <c r="A1" s="15" t="str">
        <f>bus</f>
        <v>CitiPower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408"/>
      <c r="AE1" s="408"/>
      <c r="AF1" s="408"/>
      <c r="AG1" s="408"/>
    </row>
    <row r="2" spans="1:43" ht="18.75" x14ac:dyDescent="0.3">
      <c r="A2" s="56" t="str">
        <f>proj</f>
        <v>RD switchboard and relay replacement</v>
      </c>
      <c r="B2" s="1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408"/>
      <c r="AE2" s="408"/>
      <c r="AF2" s="408"/>
      <c r="AG2" s="408"/>
    </row>
    <row r="3" spans="1:43" ht="18.75" x14ac:dyDescent="0.3">
      <c r="A3" s="5" t="s">
        <v>255</v>
      </c>
      <c r="B3" s="328"/>
      <c r="C3" s="5"/>
      <c r="D3" s="5"/>
    </row>
    <row r="5" spans="1:43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</row>
    <row r="6" spans="1:43" x14ac:dyDescent="0.2">
      <c r="C6" s="3"/>
      <c r="D6" s="3"/>
    </row>
    <row r="8" spans="1:43" s="333" customFormat="1" x14ac:dyDescent="0.2">
      <c r="B8" s="334" t="str">
        <f>Workings_costs!B8</f>
        <v>Option 1 - continue existing maintenance with no proactive replacement cost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</row>
    <row r="10" spans="1:43" x14ac:dyDescent="0.2">
      <c r="E10" s="337" t="s">
        <v>19</v>
      </c>
      <c r="F10" s="337" t="str">
        <f t="shared" ref="F10:AC10" si="0">LEFT(E10,4)+1&amp;"-"&amp;RIGHT(E10,2)+1</f>
        <v>2027-28</v>
      </c>
      <c r="G10" s="337" t="str">
        <f t="shared" si="0"/>
        <v>2028-29</v>
      </c>
      <c r="H10" s="337" t="str">
        <f t="shared" si="0"/>
        <v>2029-30</v>
      </c>
      <c r="I10" s="337" t="str">
        <f t="shared" si="0"/>
        <v>2030-31</v>
      </c>
      <c r="J10" s="337" t="str">
        <f t="shared" si="0"/>
        <v>2031-32</v>
      </c>
      <c r="K10" s="337" t="str">
        <f t="shared" si="0"/>
        <v>2032-33</v>
      </c>
      <c r="L10" s="337" t="str">
        <f t="shared" si="0"/>
        <v>2033-34</v>
      </c>
      <c r="M10" s="337" t="str">
        <f t="shared" si="0"/>
        <v>2034-35</v>
      </c>
      <c r="N10" s="337" t="str">
        <f t="shared" si="0"/>
        <v>2035-36</v>
      </c>
      <c r="O10" s="337" t="str">
        <f t="shared" si="0"/>
        <v>2036-37</v>
      </c>
      <c r="P10" s="337" t="str">
        <f t="shared" si="0"/>
        <v>2037-38</v>
      </c>
      <c r="Q10" s="337" t="str">
        <f t="shared" si="0"/>
        <v>2038-39</v>
      </c>
      <c r="R10" s="337" t="str">
        <f t="shared" si="0"/>
        <v>2039-40</v>
      </c>
      <c r="S10" s="337" t="str">
        <f t="shared" si="0"/>
        <v>2040-41</v>
      </c>
      <c r="T10" s="337" t="str">
        <f t="shared" si="0"/>
        <v>2041-42</v>
      </c>
      <c r="U10" s="337" t="str">
        <f t="shared" si="0"/>
        <v>2042-43</v>
      </c>
      <c r="V10" s="337" t="str">
        <f t="shared" si="0"/>
        <v>2043-44</v>
      </c>
      <c r="W10" s="337" t="str">
        <f t="shared" si="0"/>
        <v>2044-45</v>
      </c>
      <c r="X10" s="337" t="str">
        <f t="shared" si="0"/>
        <v>2045-46</v>
      </c>
      <c r="Y10" s="337" t="str">
        <f t="shared" si="0"/>
        <v>2046-47</v>
      </c>
      <c r="Z10" s="337" t="str">
        <f t="shared" si="0"/>
        <v>2047-48</v>
      </c>
      <c r="AA10" s="337" t="str">
        <f t="shared" si="0"/>
        <v>2048-49</v>
      </c>
      <c r="AB10" s="337" t="str">
        <f t="shared" si="0"/>
        <v>2049-50</v>
      </c>
      <c r="AC10" s="337" t="str">
        <f t="shared" si="0"/>
        <v>2050-51</v>
      </c>
    </row>
    <row r="11" spans="1:43" x14ac:dyDescent="0.2">
      <c r="D11" s="3" t="s">
        <v>256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43" x14ac:dyDescent="0.2">
      <c r="D12" s="1" t="s">
        <v>257</v>
      </c>
      <c r="E12" s="365">
        <v>191723.11587608335</v>
      </c>
      <c r="F12" s="365">
        <v>195217.61392461049</v>
      </c>
      <c r="G12" s="365">
        <v>203472.65735880091</v>
      </c>
      <c r="H12" s="365">
        <v>210009.14418407672</v>
      </c>
      <c r="I12" s="365">
        <v>211701.61554213663</v>
      </c>
      <c r="J12" s="365">
        <v>215170.42169270676</v>
      </c>
      <c r="K12" s="365">
        <v>223239.4923212055</v>
      </c>
      <c r="L12" s="365">
        <v>231435.64266437641</v>
      </c>
      <c r="M12" s="365">
        <v>234086.1047884709</v>
      </c>
      <c r="N12" s="365">
        <v>234086.1047884709</v>
      </c>
      <c r="O12" s="365">
        <v>234086.1047884709</v>
      </c>
      <c r="P12" s="365">
        <v>234086.1047884709</v>
      </c>
      <c r="Q12" s="365">
        <v>234086.1047884709</v>
      </c>
      <c r="R12" s="365">
        <v>234086.1047884709</v>
      </c>
      <c r="S12" s="365">
        <v>234086.1047884709</v>
      </c>
      <c r="T12" s="365">
        <v>234086.1047884709</v>
      </c>
      <c r="U12" s="365">
        <v>234086.1047884709</v>
      </c>
      <c r="V12" s="365">
        <v>234086.1047884709</v>
      </c>
      <c r="W12" s="365">
        <v>234086.1047884709</v>
      </c>
      <c r="X12" s="365">
        <v>234086.1047884709</v>
      </c>
      <c r="Y12" s="365">
        <v>234086.1047884709</v>
      </c>
      <c r="Z12" s="365">
        <v>234086.1047884709</v>
      </c>
      <c r="AA12" s="365">
        <v>234086.1047884709</v>
      </c>
      <c r="AB12" s="365">
        <v>234086.1047884709</v>
      </c>
      <c r="AC12" s="365">
        <v>234086.1047884709</v>
      </c>
    </row>
    <row r="13" spans="1:43" x14ac:dyDescent="0.2">
      <c r="D13" s="1" t="s">
        <v>258</v>
      </c>
      <c r="E13" s="365">
        <v>452.56946316750015</v>
      </c>
      <c r="F13" s="365">
        <v>452.56946316750015</v>
      </c>
      <c r="G13" s="365">
        <v>452.56946316750015</v>
      </c>
      <c r="H13" s="365">
        <v>452.56946316750015</v>
      </c>
      <c r="I13" s="365">
        <v>452.56946316750015</v>
      </c>
      <c r="J13" s="365">
        <v>452.56946316750015</v>
      </c>
      <c r="K13" s="365">
        <v>452.56946316750015</v>
      </c>
      <c r="L13" s="365">
        <v>452.56946316750015</v>
      </c>
      <c r="M13" s="365">
        <v>452.56946316750015</v>
      </c>
      <c r="N13" s="365">
        <v>452.56946316750015</v>
      </c>
      <c r="O13" s="365">
        <v>452.56946316750015</v>
      </c>
      <c r="P13" s="365">
        <v>452.56946316750015</v>
      </c>
      <c r="Q13" s="365">
        <v>452.56946316750015</v>
      </c>
      <c r="R13" s="365">
        <v>452.56946316750015</v>
      </c>
      <c r="S13" s="365">
        <v>452.56946316750015</v>
      </c>
      <c r="T13" s="365">
        <v>452.56946316750015</v>
      </c>
      <c r="U13" s="365">
        <v>452.56946316750015</v>
      </c>
      <c r="V13" s="365">
        <v>452.56946316750015</v>
      </c>
      <c r="W13" s="365">
        <v>452.56946316750015</v>
      </c>
      <c r="X13" s="365">
        <v>452.56946316750015</v>
      </c>
      <c r="Y13" s="365">
        <v>452.56946316750015</v>
      </c>
      <c r="Z13" s="365">
        <v>452.56946316750015</v>
      </c>
      <c r="AA13" s="365">
        <v>452.56946316750015</v>
      </c>
      <c r="AB13" s="365">
        <v>452.56946316750015</v>
      </c>
      <c r="AC13" s="365">
        <v>452.56946316750015</v>
      </c>
    </row>
    <row r="14" spans="1:43" x14ac:dyDescent="0.2">
      <c r="D14" s="1" t="s">
        <v>259</v>
      </c>
      <c r="E14" s="365">
        <v>33577.338820212768</v>
      </c>
      <c r="F14" s="365">
        <v>33577.338820212768</v>
      </c>
      <c r="G14" s="365">
        <v>33577.338820212768</v>
      </c>
      <c r="H14" s="365">
        <v>33577.338820212768</v>
      </c>
      <c r="I14" s="365">
        <v>33577.338820212768</v>
      </c>
      <c r="J14" s="365">
        <v>33577.338820212768</v>
      </c>
      <c r="K14" s="365">
        <v>33577.338820212768</v>
      </c>
      <c r="L14" s="365">
        <v>33577.338820212768</v>
      </c>
      <c r="M14" s="365">
        <v>33577.338820212768</v>
      </c>
      <c r="N14" s="365">
        <v>33577.338820212768</v>
      </c>
      <c r="O14" s="365">
        <v>33577.338820212768</v>
      </c>
      <c r="P14" s="365">
        <v>33577.338820212768</v>
      </c>
      <c r="Q14" s="365">
        <v>33577.338820212768</v>
      </c>
      <c r="R14" s="365">
        <v>33577.338820212768</v>
      </c>
      <c r="S14" s="365">
        <v>33577.338820212768</v>
      </c>
      <c r="T14" s="365">
        <v>33577.338820212768</v>
      </c>
      <c r="U14" s="365">
        <v>33577.338820212768</v>
      </c>
      <c r="V14" s="365">
        <v>33577.338820212768</v>
      </c>
      <c r="W14" s="365">
        <v>33577.338820212768</v>
      </c>
      <c r="X14" s="365">
        <v>33577.338820212768</v>
      </c>
      <c r="Y14" s="365">
        <v>33577.338820212768</v>
      </c>
      <c r="Z14" s="365">
        <v>33577.338820212768</v>
      </c>
      <c r="AA14" s="365">
        <v>33577.338820212768</v>
      </c>
      <c r="AB14" s="365">
        <v>33577.338820212768</v>
      </c>
      <c r="AC14" s="365">
        <v>33577.338820212768</v>
      </c>
    </row>
    <row r="15" spans="1:43" x14ac:dyDescent="0.2">
      <c r="D15" s="1" t="s">
        <v>260</v>
      </c>
      <c r="E15" s="365">
        <v>431.8</v>
      </c>
      <c r="F15" s="365">
        <v>431.8</v>
      </c>
      <c r="G15" s="365">
        <v>431.8</v>
      </c>
      <c r="H15" s="365">
        <v>431.8</v>
      </c>
      <c r="I15" s="365">
        <v>431.8</v>
      </c>
      <c r="J15" s="365">
        <v>431.8</v>
      </c>
      <c r="K15" s="365">
        <v>431.8</v>
      </c>
      <c r="L15" s="365">
        <v>431.8</v>
      </c>
      <c r="M15" s="365">
        <v>431.8</v>
      </c>
      <c r="N15" s="365">
        <v>431.8</v>
      </c>
      <c r="O15" s="365">
        <v>431.8</v>
      </c>
      <c r="P15" s="365">
        <v>431.8</v>
      </c>
      <c r="Q15" s="365">
        <v>431.8</v>
      </c>
      <c r="R15" s="365">
        <v>431.8</v>
      </c>
      <c r="S15" s="365">
        <v>431.8</v>
      </c>
      <c r="T15" s="365">
        <v>431.8</v>
      </c>
      <c r="U15" s="365">
        <v>431.8</v>
      </c>
      <c r="V15" s="365">
        <v>431.8</v>
      </c>
      <c r="W15" s="365">
        <v>431.8</v>
      </c>
      <c r="X15" s="365">
        <v>431.8</v>
      </c>
      <c r="Y15" s="365">
        <v>431.8</v>
      </c>
      <c r="Z15" s="365">
        <v>431.8</v>
      </c>
      <c r="AA15" s="365">
        <v>431.8</v>
      </c>
      <c r="AB15" s="365">
        <v>431.8</v>
      </c>
      <c r="AC15" s="365">
        <v>431.8</v>
      </c>
    </row>
    <row r="16" spans="1:43" x14ac:dyDescent="0.2">
      <c r="D16" s="347" t="s">
        <v>261</v>
      </c>
      <c r="E16" s="346">
        <f t="shared" ref="E16:AC16" si="1">SUM(E12:E15)</f>
        <v>226184.82415946363</v>
      </c>
      <c r="F16" s="346">
        <f t="shared" si="1"/>
        <v>229679.32220799074</v>
      </c>
      <c r="G16" s="346">
        <f t="shared" si="1"/>
        <v>237934.36564218119</v>
      </c>
      <c r="H16" s="346">
        <f t="shared" si="1"/>
        <v>244470.85246745701</v>
      </c>
      <c r="I16" s="346">
        <f t="shared" si="1"/>
        <v>246163.32382551691</v>
      </c>
      <c r="J16" s="346">
        <f t="shared" si="1"/>
        <v>249632.12997608702</v>
      </c>
      <c r="K16" s="346">
        <f t="shared" si="1"/>
        <v>257701.20060458576</v>
      </c>
      <c r="L16" s="346">
        <f t="shared" si="1"/>
        <v>265897.35094775667</v>
      </c>
      <c r="M16" s="346">
        <f t="shared" si="1"/>
        <v>268547.81307185115</v>
      </c>
      <c r="N16" s="346">
        <f t="shared" si="1"/>
        <v>268547.81307185115</v>
      </c>
      <c r="O16" s="346">
        <f t="shared" si="1"/>
        <v>268547.81307185115</v>
      </c>
      <c r="P16" s="346">
        <f t="shared" si="1"/>
        <v>268547.81307185115</v>
      </c>
      <c r="Q16" s="346">
        <f t="shared" si="1"/>
        <v>268547.81307185115</v>
      </c>
      <c r="R16" s="346">
        <f t="shared" si="1"/>
        <v>268547.81307185115</v>
      </c>
      <c r="S16" s="346">
        <f t="shared" si="1"/>
        <v>268547.81307185115</v>
      </c>
      <c r="T16" s="346">
        <f t="shared" si="1"/>
        <v>268547.81307185115</v>
      </c>
      <c r="U16" s="346">
        <f t="shared" si="1"/>
        <v>268547.81307185115</v>
      </c>
      <c r="V16" s="346">
        <f t="shared" si="1"/>
        <v>268547.81307185115</v>
      </c>
      <c r="W16" s="346">
        <f t="shared" si="1"/>
        <v>268547.81307185115</v>
      </c>
      <c r="X16" s="346">
        <f t="shared" si="1"/>
        <v>268547.81307185115</v>
      </c>
      <c r="Y16" s="346">
        <f t="shared" si="1"/>
        <v>268547.81307185115</v>
      </c>
      <c r="Z16" s="346">
        <f t="shared" si="1"/>
        <v>268547.81307185115</v>
      </c>
      <c r="AA16" s="346">
        <f t="shared" si="1"/>
        <v>268547.81307185115</v>
      </c>
      <c r="AB16" s="346">
        <f t="shared" si="1"/>
        <v>268547.81307185115</v>
      </c>
      <c r="AC16" s="346">
        <f t="shared" si="1"/>
        <v>268547.81307185115</v>
      </c>
    </row>
    <row r="18" spans="4:29" x14ac:dyDescent="0.2">
      <c r="D18" s="3" t="s">
        <v>262</v>
      </c>
    </row>
    <row r="19" spans="4:29" x14ac:dyDescent="0.2">
      <c r="D19" s="166" t="s">
        <v>263</v>
      </c>
      <c r="E19" s="365">
        <v>142.04786429366874</v>
      </c>
      <c r="F19" s="365">
        <v>162.05688977686194</v>
      </c>
      <c r="G19" s="365">
        <v>186.60488911690064</v>
      </c>
      <c r="H19" s="365">
        <v>217.22212426541458</v>
      </c>
      <c r="I19" s="365">
        <v>255.28879814521</v>
      </c>
      <c r="J19" s="365">
        <v>303.04962863108716</v>
      </c>
      <c r="K19" s="365">
        <v>363.49267616355439</v>
      </c>
      <c r="L19" s="365">
        <v>440.65243654294875</v>
      </c>
      <c r="M19" s="365">
        <v>539.85959221974724</v>
      </c>
      <c r="N19" s="365">
        <v>668.24130995474434</v>
      </c>
      <c r="O19" s="365">
        <v>835.80777619884975</v>
      </c>
      <c r="P19" s="365">
        <v>1055.4625636373351</v>
      </c>
      <c r="Q19" s="365">
        <v>1344.493469789496</v>
      </c>
      <c r="R19" s="365">
        <v>1726.4580478235898</v>
      </c>
      <c r="S19" s="365">
        <v>2233.1573961048298</v>
      </c>
      <c r="T19" s="365">
        <v>2907.5641026313419</v>
      </c>
      <c r="U19" s="365">
        <v>3807.7996029957094</v>
      </c>
      <c r="V19" s="365">
        <v>5012.5395471661086</v>
      </c>
      <c r="W19" s="365">
        <v>6036.4744799308692</v>
      </c>
      <c r="X19" s="365">
        <v>7361.2575325664602</v>
      </c>
      <c r="Y19" s="365">
        <v>7619.443486380269</v>
      </c>
      <c r="Z19" s="365">
        <v>7698.0702648855768</v>
      </c>
      <c r="AA19" s="365">
        <v>7791.9557189536999</v>
      </c>
      <c r="AB19" s="365">
        <v>7905.713001897956</v>
      </c>
      <c r="AC19" s="365">
        <v>8045.7167728301974</v>
      </c>
    </row>
    <row r="20" spans="4:29" s="348" customFormat="1" x14ac:dyDescent="0.2">
      <c r="D20" s="166" t="s">
        <v>257</v>
      </c>
      <c r="E20" s="365">
        <v>13694.170646684472</v>
      </c>
      <c r="F20" s="365">
        <v>15260.467265731251</v>
      </c>
      <c r="G20" s="365">
        <v>17113.353864552675</v>
      </c>
      <c r="H20" s="365">
        <v>19328.060819502389</v>
      </c>
      <c r="I20" s="365">
        <v>22003.437371911128</v>
      </c>
      <c r="J20" s="365">
        <v>25269.896378621739</v>
      </c>
      <c r="K20" s="365">
        <v>29300.103210352412</v>
      </c>
      <c r="L20" s="365">
        <v>34347.702478336541</v>
      </c>
      <c r="M20" s="365">
        <v>40716.465384892457</v>
      </c>
      <c r="N20" s="365">
        <v>48802.952089562576</v>
      </c>
      <c r="O20" s="365">
        <v>59155.255729038443</v>
      </c>
      <c r="P20" s="365">
        <v>72507.350298694553</v>
      </c>
      <c r="Q20" s="365">
        <v>89843.56821192654</v>
      </c>
      <c r="R20" s="365">
        <v>112485.65974133472</v>
      </c>
      <c r="S20" s="365">
        <v>142210.38136913511</v>
      </c>
      <c r="T20" s="365">
        <v>181408.36441020216</v>
      </c>
      <c r="U20" s="365">
        <v>233298.81082474464</v>
      </c>
      <c r="V20" s="365">
        <v>302219.70062433829</v>
      </c>
      <c r="W20" s="365">
        <v>309302.74541821622</v>
      </c>
      <c r="X20" s="365">
        <v>314977.01882502472</v>
      </c>
      <c r="Y20" s="365">
        <v>320518.1239943488</v>
      </c>
      <c r="Z20" s="365">
        <v>326615.7583658236</v>
      </c>
      <c r="AA20" s="365">
        <v>333465.58934226452</v>
      </c>
      <c r="AB20" s="365">
        <v>341191.38338764798</v>
      </c>
      <c r="AC20" s="365">
        <v>349943.72086380469</v>
      </c>
    </row>
    <row r="21" spans="4:29" x14ac:dyDescent="0.2">
      <c r="D21" s="1" t="s">
        <v>258</v>
      </c>
      <c r="E21" s="365">
        <v>1351.0384332584272</v>
      </c>
      <c r="F21" s="365">
        <v>1528.6557714952719</v>
      </c>
      <c r="G21" s="365">
        <v>1743.8119541254098</v>
      </c>
      <c r="H21" s="365">
        <v>2008.5485558556059</v>
      </c>
      <c r="I21" s="365">
        <v>2334.1863344601102</v>
      </c>
      <c r="J21" s="365">
        <v>2738.6358848492696</v>
      </c>
      <c r="K21" s="365">
        <v>3245.6889521132412</v>
      </c>
      <c r="L21" s="365">
        <v>3887.7120210880025</v>
      </c>
      <c r="M21" s="365">
        <v>4706.9886878584257</v>
      </c>
      <c r="N21" s="365">
        <v>5759.8677595534855</v>
      </c>
      <c r="O21" s="365">
        <v>7125.2956475687379</v>
      </c>
      <c r="P21" s="365">
        <v>8905.3726750413571</v>
      </c>
      <c r="Q21" s="365">
        <v>11236.834529872707</v>
      </c>
      <c r="R21" s="365">
        <v>14305.649981965909</v>
      </c>
      <c r="S21" s="365">
        <v>18362.671929334323</v>
      </c>
      <c r="T21" s="365">
        <v>23746.635453369512</v>
      </c>
      <c r="U21" s="365">
        <v>30915.382139808804</v>
      </c>
      <c r="V21" s="365">
        <v>40488.271960783197</v>
      </c>
      <c r="W21" s="365">
        <v>47919.521316941507</v>
      </c>
      <c r="X21" s="365">
        <v>57472.18601480854</v>
      </c>
      <c r="Y21" s="339">
        <v>59464.05435297612</v>
      </c>
      <c r="Z21" s="339">
        <v>60198.251618396695</v>
      </c>
      <c r="AA21" s="339">
        <v>61060.470464439102</v>
      </c>
      <c r="AB21" s="339">
        <v>62086.128503916872</v>
      </c>
      <c r="AC21" s="339">
        <v>63323.616392894663</v>
      </c>
    </row>
    <row r="22" spans="4:29" x14ac:dyDescent="0.2">
      <c r="D22" s="1" t="s">
        <v>259</v>
      </c>
      <c r="E22" s="365">
        <v>25860.553145851773</v>
      </c>
      <c r="F22" s="365">
        <v>28307.852351659458</v>
      </c>
      <c r="G22" s="365">
        <v>31049.054618268074</v>
      </c>
      <c r="H22" s="365">
        <v>34135.579819061808</v>
      </c>
      <c r="I22" s="365">
        <v>37627.08298725936</v>
      </c>
      <c r="J22" s="365">
        <v>41601.149925905753</v>
      </c>
      <c r="K22" s="365">
        <v>46156.084908200377</v>
      </c>
      <c r="L22" s="365">
        <v>51422.690568084872</v>
      </c>
      <c r="M22" s="365">
        <v>57562.387458878853</v>
      </c>
      <c r="N22" s="365">
        <v>64782.60195018677</v>
      </c>
      <c r="O22" s="365">
        <v>73360.528743994626</v>
      </c>
      <c r="P22" s="365">
        <v>83656.133790968277</v>
      </c>
      <c r="Q22" s="365">
        <v>96143.404238023228</v>
      </c>
      <c r="R22" s="365">
        <v>111451.58360084779</v>
      </c>
      <c r="S22" s="365">
        <v>130416.83680116906</v>
      </c>
      <c r="T22" s="365">
        <v>154153.74678824114</v>
      </c>
      <c r="U22" s="365">
        <v>184151.96479599358</v>
      </c>
      <c r="V22" s="365">
        <v>222406.9311427091</v>
      </c>
      <c r="W22" s="365">
        <v>240369.41619309073</v>
      </c>
      <c r="X22" s="365">
        <v>260800.22454529849</v>
      </c>
      <c r="Y22" s="339">
        <v>274761.66229803255</v>
      </c>
      <c r="Z22" s="339">
        <v>288683.09358445555</v>
      </c>
      <c r="AA22" s="339">
        <v>304068.55282959971</v>
      </c>
      <c r="AB22" s="339">
        <v>321097.4277935655</v>
      </c>
      <c r="AC22" s="339">
        <v>339979.28658958129</v>
      </c>
    </row>
    <row r="23" spans="4:29" x14ac:dyDescent="0.2">
      <c r="D23" s="347" t="s">
        <v>264</v>
      </c>
      <c r="E23" s="346">
        <f t="shared" ref="E23:AC23" si="2">SUM(E19:E22)</f>
        <v>41047.810090088344</v>
      </c>
      <c r="F23" s="346">
        <f t="shared" si="2"/>
        <v>45259.032278662839</v>
      </c>
      <c r="G23" s="346">
        <f t="shared" si="2"/>
        <v>50092.825326063059</v>
      </c>
      <c r="H23" s="346">
        <f t="shared" si="2"/>
        <v>55689.411318685219</v>
      </c>
      <c r="I23" s="346">
        <f t="shared" si="2"/>
        <v>62219.995491775815</v>
      </c>
      <c r="J23" s="346">
        <f t="shared" si="2"/>
        <v>69912.731818007858</v>
      </c>
      <c r="K23" s="346">
        <f t="shared" si="2"/>
        <v>79065.369746829587</v>
      </c>
      <c r="L23" s="346">
        <f t="shared" si="2"/>
        <v>90098.757504052366</v>
      </c>
      <c r="M23" s="346">
        <f t="shared" si="2"/>
        <v>103525.70112384949</v>
      </c>
      <c r="N23" s="346">
        <f t="shared" si="2"/>
        <v>120013.66310925757</v>
      </c>
      <c r="O23" s="346">
        <f t="shared" si="2"/>
        <v>140476.88789680065</v>
      </c>
      <c r="P23" s="346">
        <f t="shared" si="2"/>
        <v>166124.31932834152</v>
      </c>
      <c r="Q23" s="346">
        <f t="shared" si="2"/>
        <v>198568.30044961197</v>
      </c>
      <c r="R23" s="346">
        <f t="shared" si="2"/>
        <v>239969.35137197201</v>
      </c>
      <c r="S23" s="346">
        <f t="shared" si="2"/>
        <v>293223.04749574332</v>
      </c>
      <c r="T23" s="346">
        <f t="shared" si="2"/>
        <v>362216.31075444416</v>
      </c>
      <c r="U23" s="346">
        <f t="shared" si="2"/>
        <v>452173.95736354275</v>
      </c>
      <c r="V23" s="346">
        <f t="shared" si="2"/>
        <v>570127.44327499671</v>
      </c>
      <c r="W23" s="346">
        <f t="shared" si="2"/>
        <v>603628.15740817937</v>
      </c>
      <c r="X23" s="346">
        <f t="shared" si="2"/>
        <v>640610.68691769824</v>
      </c>
      <c r="Y23" s="346">
        <f t="shared" si="2"/>
        <v>662363.28413173778</v>
      </c>
      <c r="Z23" s="346">
        <f t="shared" si="2"/>
        <v>683195.17383356136</v>
      </c>
      <c r="AA23" s="346">
        <f t="shared" si="2"/>
        <v>706386.56835525704</v>
      </c>
      <c r="AB23" s="346">
        <f t="shared" si="2"/>
        <v>732280.65268702828</v>
      </c>
      <c r="AC23" s="346">
        <f t="shared" si="2"/>
        <v>761292.34061911074</v>
      </c>
    </row>
    <row r="25" spans="4:29" x14ac:dyDescent="0.2">
      <c r="D25" s="3" t="s">
        <v>265</v>
      </c>
    </row>
    <row r="26" spans="4:29" x14ac:dyDescent="0.2">
      <c r="D26" s="3" t="s">
        <v>257</v>
      </c>
      <c r="E26" s="349">
        <f t="shared" ref="E26:AC26" si="3">E12+E20</f>
        <v>205417.28652276783</v>
      </c>
      <c r="F26" s="349">
        <f t="shared" si="3"/>
        <v>210478.08119034173</v>
      </c>
      <c r="G26" s="349">
        <f t="shared" si="3"/>
        <v>220586.01122335359</v>
      </c>
      <c r="H26" s="349">
        <f t="shared" si="3"/>
        <v>229337.20500357912</v>
      </c>
      <c r="I26" s="349">
        <f t="shared" si="3"/>
        <v>233705.05291404776</v>
      </c>
      <c r="J26" s="349">
        <f t="shared" si="3"/>
        <v>240440.31807132851</v>
      </c>
      <c r="K26" s="349">
        <f t="shared" si="3"/>
        <v>252539.59553155792</v>
      </c>
      <c r="L26" s="349">
        <f t="shared" si="3"/>
        <v>265783.34514271293</v>
      </c>
      <c r="M26" s="349">
        <f t="shared" si="3"/>
        <v>274802.57017336338</v>
      </c>
      <c r="N26" s="349">
        <f t="shared" si="3"/>
        <v>282889.05687803344</v>
      </c>
      <c r="O26" s="349">
        <f t="shared" si="3"/>
        <v>293241.36051750934</v>
      </c>
      <c r="P26" s="349">
        <f t="shared" si="3"/>
        <v>306593.45508716546</v>
      </c>
      <c r="Q26" s="349">
        <f t="shared" si="3"/>
        <v>323929.67300039745</v>
      </c>
      <c r="R26" s="349">
        <f t="shared" si="3"/>
        <v>346571.76452980563</v>
      </c>
      <c r="S26" s="349">
        <f t="shared" si="3"/>
        <v>376296.48615760601</v>
      </c>
      <c r="T26" s="349">
        <f t="shared" si="3"/>
        <v>415494.46919867303</v>
      </c>
      <c r="U26" s="349">
        <f t="shared" si="3"/>
        <v>467384.91561321553</v>
      </c>
      <c r="V26" s="349">
        <f t="shared" si="3"/>
        <v>536305.80541280913</v>
      </c>
      <c r="W26" s="349">
        <f t="shared" si="3"/>
        <v>543388.85020668712</v>
      </c>
      <c r="X26" s="349">
        <f t="shared" si="3"/>
        <v>549063.12361349561</v>
      </c>
      <c r="Y26" s="349">
        <f t="shared" si="3"/>
        <v>554604.2287828197</v>
      </c>
      <c r="Z26" s="349">
        <f t="shared" si="3"/>
        <v>560701.86315429443</v>
      </c>
      <c r="AA26" s="349">
        <f t="shared" si="3"/>
        <v>567551.69413073547</v>
      </c>
      <c r="AB26" s="349">
        <f t="shared" si="3"/>
        <v>575277.48817611882</v>
      </c>
      <c r="AC26" s="349">
        <f t="shared" si="3"/>
        <v>584029.82565227558</v>
      </c>
    </row>
    <row r="27" spans="4:29" x14ac:dyDescent="0.2">
      <c r="D27" s="3" t="s">
        <v>310</v>
      </c>
      <c r="E27" s="349">
        <f t="shared" ref="E27:AC27" si="4">E13+E21</f>
        <v>1803.6078964259273</v>
      </c>
      <c r="F27" s="349">
        <f t="shared" si="4"/>
        <v>1981.225234662772</v>
      </c>
      <c r="G27" s="349">
        <f t="shared" si="4"/>
        <v>2196.3814172929101</v>
      </c>
      <c r="H27" s="349">
        <f t="shared" si="4"/>
        <v>2461.1180190231062</v>
      </c>
      <c r="I27" s="349">
        <f t="shared" si="4"/>
        <v>2786.7557976276103</v>
      </c>
      <c r="J27" s="349">
        <f t="shared" si="4"/>
        <v>3191.2053480167697</v>
      </c>
      <c r="K27" s="349">
        <f t="shared" si="4"/>
        <v>3698.2584152807412</v>
      </c>
      <c r="L27" s="349">
        <f t="shared" si="4"/>
        <v>4340.2814842555026</v>
      </c>
      <c r="M27" s="349">
        <f t="shared" si="4"/>
        <v>5159.5581510259262</v>
      </c>
      <c r="N27" s="349">
        <f t="shared" si="4"/>
        <v>6212.437222720986</v>
      </c>
      <c r="O27" s="349">
        <f t="shared" si="4"/>
        <v>7577.8651107362384</v>
      </c>
      <c r="P27" s="349">
        <f t="shared" si="4"/>
        <v>9357.9421382088567</v>
      </c>
      <c r="Q27" s="349">
        <f t="shared" si="4"/>
        <v>11689.403993040207</v>
      </c>
      <c r="R27" s="349">
        <f t="shared" si="4"/>
        <v>14758.219445133409</v>
      </c>
      <c r="S27" s="349">
        <f t="shared" si="4"/>
        <v>18815.241392501823</v>
      </c>
      <c r="T27" s="349">
        <f t="shared" si="4"/>
        <v>24199.204916537012</v>
      </c>
      <c r="U27" s="349">
        <f t="shared" si="4"/>
        <v>31367.951602976304</v>
      </c>
      <c r="V27" s="349">
        <f t="shared" si="4"/>
        <v>40940.841423950696</v>
      </c>
      <c r="W27" s="349">
        <f t="shared" si="4"/>
        <v>48372.090780109007</v>
      </c>
      <c r="X27" s="349">
        <f t="shared" si="4"/>
        <v>57924.755477976039</v>
      </c>
      <c r="Y27" s="349">
        <f t="shared" si="4"/>
        <v>59916.623816143619</v>
      </c>
      <c r="Z27" s="349">
        <f t="shared" si="4"/>
        <v>60650.821081564194</v>
      </c>
      <c r="AA27" s="349">
        <f t="shared" si="4"/>
        <v>61513.039927606602</v>
      </c>
      <c r="AB27" s="349">
        <f t="shared" si="4"/>
        <v>62538.697967084372</v>
      </c>
      <c r="AC27" s="349">
        <f t="shared" si="4"/>
        <v>63776.185856062162</v>
      </c>
    </row>
    <row r="28" spans="4:29" x14ac:dyDescent="0.2">
      <c r="D28" s="3" t="s">
        <v>108</v>
      </c>
      <c r="E28" s="349">
        <f t="shared" ref="E28:AC28" si="5">E14+E22</f>
        <v>59437.891966064541</v>
      </c>
      <c r="F28" s="349">
        <f t="shared" si="5"/>
        <v>61885.191171872226</v>
      </c>
      <c r="G28" s="349">
        <f t="shared" si="5"/>
        <v>64626.393438480838</v>
      </c>
      <c r="H28" s="349">
        <f t="shared" si="5"/>
        <v>67712.918639274576</v>
      </c>
      <c r="I28" s="349">
        <f t="shared" si="5"/>
        <v>71204.421807472128</v>
      </c>
      <c r="J28" s="349">
        <f t="shared" si="5"/>
        <v>75178.488746118528</v>
      </c>
      <c r="K28" s="349">
        <f t="shared" si="5"/>
        <v>79733.423728413152</v>
      </c>
      <c r="L28" s="349">
        <f t="shared" si="5"/>
        <v>85000.02938829764</v>
      </c>
      <c r="M28" s="349">
        <f t="shared" si="5"/>
        <v>91139.726279091614</v>
      </c>
      <c r="N28" s="349">
        <f t="shared" si="5"/>
        <v>98359.940770399538</v>
      </c>
      <c r="O28" s="349">
        <f t="shared" si="5"/>
        <v>106937.86756420739</v>
      </c>
      <c r="P28" s="349">
        <f t="shared" si="5"/>
        <v>117233.47261118105</v>
      </c>
      <c r="Q28" s="349">
        <f t="shared" si="5"/>
        <v>129720.743058236</v>
      </c>
      <c r="R28" s="349">
        <f t="shared" si="5"/>
        <v>145028.92242106056</v>
      </c>
      <c r="S28" s="349">
        <f t="shared" si="5"/>
        <v>163994.17562138184</v>
      </c>
      <c r="T28" s="349">
        <f t="shared" si="5"/>
        <v>187731.0856084539</v>
      </c>
      <c r="U28" s="349">
        <f t="shared" si="5"/>
        <v>217729.30361620634</v>
      </c>
      <c r="V28" s="349">
        <f t="shared" si="5"/>
        <v>255984.26996292186</v>
      </c>
      <c r="W28" s="349">
        <f t="shared" si="5"/>
        <v>273946.75501330348</v>
      </c>
      <c r="X28" s="349">
        <f t="shared" si="5"/>
        <v>294377.56336551125</v>
      </c>
      <c r="Y28" s="349">
        <f t="shared" si="5"/>
        <v>308339.0011182453</v>
      </c>
      <c r="Z28" s="349">
        <f t="shared" si="5"/>
        <v>322260.4324046683</v>
      </c>
      <c r="AA28" s="349">
        <f t="shared" si="5"/>
        <v>337645.89164981246</v>
      </c>
      <c r="AB28" s="349">
        <f t="shared" si="5"/>
        <v>354674.76661377825</v>
      </c>
      <c r="AC28" s="349">
        <f t="shared" si="5"/>
        <v>373556.62540979404</v>
      </c>
    </row>
    <row r="29" spans="4:29" x14ac:dyDescent="0.2">
      <c r="D29" s="3" t="s">
        <v>311</v>
      </c>
      <c r="E29" s="349">
        <f t="shared" ref="E29:AC29" si="6">E15</f>
        <v>431.8</v>
      </c>
      <c r="F29" s="349">
        <f t="shared" si="6"/>
        <v>431.8</v>
      </c>
      <c r="G29" s="349">
        <f t="shared" si="6"/>
        <v>431.8</v>
      </c>
      <c r="H29" s="349">
        <f t="shared" si="6"/>
        <v>431.8</v>
      </c>
      <c r="I29" s="349">
        <f t="shared" si="6"/>
        <v>431.8</v>
      </c>
      <c r="J29" s="349">
        <f t="shared" si="6"/>
        <v>431.8</v>
      </c>
      <c r="K29" s="349">
        <f t="shared" si="6"/>
        <v>431.8</v>
      </c>
      <c r="L29" s="349">
        <f t="shared" si="6"/>
        <v>431.8</v>
      </c>
      <c r="M29" s="349">
        <f t="shared" si="6"/>
        <v>431.8</v>
      </c>
      <c r="N29" s="349">
        <f t="shared" si="6"/>
        <v>431.8</v>
      </c>
      <c r="O29" s="349">
        <f t="shared" si="6"/>
        <v>431.8</v>
      </c>
      <c r="P29" s="349">
        <f t="shared" si="6"/>
        <v>431.8</v>
      </c>
      <c r="Q29" s="349">
        <f t="shared" si="6"/>
        <v>431.8</v>
      </c>
      <c r="R29" s="349">
        <f t="shared" si="6"/>
        <v>431.8</v>
      </c>
      <c r="S29" s="349">
        <f t="shared" si="6"/>
        <v>431.8</v>
      </c>
      <c r="T29" s="349">
        <f t="shared" si="6"/>
        <v>431.8</v>
      </c>
      <c r="U29" s="349">
        <f t="shared" si="6"/>
        <v>431.8</v>
      </c>
      <c r="V29" s="349">
        <f t="shared" si="6"/>
        <v>431.8</v>
      </c>
      <c r="W29" s="349">
        <f t="shared" si="6"/>
        <v>431.8</v>
      </c>
      <c r="X29" s="349">
        <f t="shared" si="6"/>
        <v>431.8</v>
      </c>
      <c r="Y29" s="349">
        <f t="shared" si="6"/>
        <v>431.8</v>
      </c>
      <c r="Z29" s="349">
        <f t="shared" si="6"/>
        <v>431.8</v>
      </c>
      <c r="AA29" s="349">
        <f t="shared" si="6"/>
        <v>431.8</v>
      </c>
      <c r="AB29" s="349">
        <f t="shared" si="6"/>
        <v>431.8</v>
      </c>
      <c r="AC29" s="349">
        <f t="shared" si="6"/>
        <v>431.8</v>
      </c>
    </row>
    <row r="30" spans="4:29" x14ac:dyDescent="0.2">
      <c r="D30" s="3" t="s">
        <v>312</v>
      </c>
      <c r="E30" s="349">
        <f t="shared" ref="E30:AC30" si="7">E19</f>
        <v>142.04786429366874</v>
      </c>
      <c r="F30" s="349">
        <f t="shared" si="7"/>
        <v>162.05688977686194</v>
      </c>
      <c r="G30" s="349">
        <f t="shared" si="7"/>
        <v>186.60488911690064</v>
      </c>
      <c r="H30" s="349">
        <f t="shared" si="7"/>
        <v>217.22212426541458</v>
      </c>
      <c r="I30" s="349">
        <f t="shared" si="7"/>
        <v>255.28879814521</v>
      </c>
      <c r="J30" s="349">
        <f t="shared" si="7"/>
        <v>303.04962863108716</v>
      </c>
      <c r="K30" s="349">
        <f t="shared" si="7"/>
        <v>363.49267616355439</v>
      </c>
      <c r="L30" s="349">
        <f t="shared" si="7"/>
        <v>440.65243654294875</v>
      </c>
      <c r="M30" s="349">
        <f t="shared" si="7"/>
        <v>539.85959221974724</v>
      </c>
      <c r="N30" s="349">
        <f t="shared" si="7"/>
        <v>668.24130995474434</v>
      </c>
      <c r="O30" s="349">
        <f t="shared" si="7"/>
        <v>835.80777619884975</v>
      </c>
      <c r="P30" s="349">
        <f t="shared" si="7"/>
        <v>1055.4625636373351</v>
      </c>
      <c r="Q30" s="349">
        <f t="shared" si="7"/>
        <v>1344.493469789496</v>
      </c>
      <c r="R30" s="349">
        <f t="shared" si="7"/>
        <v>1726.4580478235898</v>
      </c>
      <c r="S30" s="349">
        <f t="shared" si="7"/>
        <v>2233.1573961048298</v>
      </c>
      <c r="T30" s="349">
        <f t="shared" si="7"/>
        <v>2907.5641026313419</v>
      </c>
      <c r="U30" s="349">
        <f t="shared" si="7"/>
        <v>3807.7996029957094</v>
      </c>
      <c r="V30" s="349">
        <f t="shared" si="7"/>
        <v>5012.5395471661086</v>
      </c>
      <c r="W30" s="349">
        <f t="shared" si="7"/>
        <v>6036.4744799308692</v>
      </c>
      <c r="X30" s="349">
        <f t="shared" si="7"/>
        <v>7361.2575325664602</v>
      </c>
      <c r="Y30" s="349">
        <f t="shared" si="7"/>
        <v>7619.443486380269</v>
      </c>
      <c r="Z30" s="349">
        <f t="shared" si="7"/>
        <v>7698.0702648855768</v>
      </c>
      <c r="AA30" s="349">
        <f t="shared" si="7"/>
        <v>7791.9557189536999</v>
      </c>
      <c r="AB30" s="349">
        <f t="shared" si="7"/>
        <v>7905.713001897956</v>
      </c>
      <c r="AC30" s="349">
        <f t="shared" si="7"/>
        <v>8045.7167728301974</v>
      </c>
    </row>
    <row r="31" spans="4:29" x14ac:dyDescent="0.2">
      <c r="D31" s="347" t="s">
        <v>266</v>
      </c>
      <c r="E31" s="346">
        <f t="shared" ref="E31:AC31" si="8">SUM(E26:E30)</f>
        <v>267232.63424955198</v>
      </c>
      <c r="F31" s="346">
        <f t="shared" si="8"/>
        <v>274938.35448665352</v>
      </c>
      <c r="G31" s="346">
        <f t="shared" si="8"/>
        <v>288027.19096824422</v>
      </c>
      <c r="H31" s="346">
        <f t="shared" si="8"/>
        <v>300160.26378614217</v>
      </c>
      <c r="I31" s="346">
        <f t="shared" si="8"/>
        <v>308383.31931729265</v>
      </c>
      <c r="J31" s="346">
        <f t="shared" si="8"/>
        <v>319544.8617940949</v>
      </c>
      <c r="K31" s="346">
        <f t="shared" si="8"/>
        <v>336766.57035141537</v>
      </c>
      <c r="L31" s="346">
        <f t="shared" si="8"/>
        <v>355996.10845180904</v>
      </c>
      <c r="M31" s="346">
        <f t="shared" si="8"/>
        <v>372073.51419570064</v>
      </c>
      <c r="N31" s="346">
        <f t="shared" si="8"/>
        <v>388561.47618110868</v>
      </c>
      <c r="O31" s="346">
        <f t="shared" si="8"/>
        <v>409024.7009686518</v>
      </c>
      <c r="P31" s="346">
        <f t="shared" si="8"/>
        <v>434672.13240019267</v>
      </c>
      <c r="Q31" s="346">
        <f t="shared" si="8"/>
        <v>467116.11352146318</v>
      </c>
      <c r="R31" s="346">
        <f t="shared" si="8"/>
        <v>508517.16444382316</v>
      </c>
      <c r="S31" s="346">
        <f t="shared" si="8"/>
        <v>561770.86056759465</v>
      </c>
      <c r="T31" s="346">
        <f t="shared" si="8"/>
        <v>630764.12382629537</v>
      </c>
      <c r="U31" s="346">
        <f t="shared" si="8"/>
        <v>720721.7704353939</v>
      </c>
      <c r="V31" s="346">
        <f t="shared" si="8"/>
        <v>838675.25634684786</v>
      </c>
      <c r="W31" s="346">
        <f t="shared" si="8"/>
        <v>872175.97048003052</v>
      </c>
      <c r="X31" s="346">
        <f t="shared" si="8"/>
        <v>909158.4999895494</v>
      </c>
      <c r="Y31" s="346">
        <f t="shared" si="8"/>
        <v>930911.09720358893</v>
      </c>
      <c r="Z31" s="346">
        <f t="shared" si="8"/>
        <v>951742.98690541252</v>
      </c>
      <c r="AA31" s="346">
        <f t="shared" si="8"/>
        <v>974934.38142710831</v>
      </c>
      <c r="AB31" s="346">
        <f t="shared" si="8"/>
        <v>1000828.4657588793</v>
      </c>
      <c r="AC31" s="346">
        <f t="shared" si="8"/>
        <v>1029840.153690962</v>
      </c>
    </row>
    <row r="34" spans="2:30" s="342" customFormat="1" x14ac:dyDescent="0.2">
      <c r="B34" s="334" t="str">
        <f>Workings_costs!B18</f>
        <v>Option 2 - Combined replacement of SWBD (i.e. all three buses) and relays completed in 2028-29</v>
      </c>
    </row>
    <row r="36" spans="2:30" x14ac:dyDescent="0.2">
      <c r="E36" s="337" t="s">
        <v>19</v>
      </c>
      <c r="F36" s="337" t="str">
        <f t="shared" ref="F36:AC36" si="9">LEFT(E36,4)+1&amp;"-"&amp;RIGHT(E36,2)+1</f>
        <v>2027-28</v>
      </c>
      <c r="G36" s="337" t="str">
        <f t="shared" si="9"/>
        <v>2028-29</v>
      </c>
      <c r="H36" s="337" t="str">
        <f t="shared" si="9"/>
        <v>2029-30</v>
      </c>
      <c r="I36" s="337" t="str">
        <f t="shared" si="9"/>
        <v>2030-31</v>
      </c>
      <c r="J36" s="337" t="str">
        <f t="shared" si="9"/>
        <v>2031-32</v>
      </c>
      <c r="K36" s="337" t="str">
        <f t="shared" si="9"/>
        <v>2032-33</v>
      </c>
      <c r="L36" s="337" t="str">
        <f t="shared" si="9"/>
        <v>2033-34</v>
      </c>
      <c r="M36" s="337" t="str">
        <f t="shared" si="9"/>
        <v>2034-35</v>
      </c>
      <c r="N36" s="337" t="str">
        <f t="shared" si="9"/>
        <v>2035-36</v>
      </c>
      <c r="O36" s="337" t="str">
        <f t="shared" si="9"/>
        <v>2036-37</v>
      </c>
      <c r="P36" s="337" t="str">
        <f t="shared" si="9"/>
        <v>2037-38</v>
      </c>
      <c r="Q36" s="337" t="str">
        <f t="shared" si="9"/>
        <v>2038-39</v>
      </c>
      <c r="R36" s="337" t="str">
        <f t="shared" si="9"/>
        <v>2039-40</v>
      </c>
      <c r="S36" s="337" t="str">
        <f t="shared" si="9"/>
        <v>2040-41</v>
      </c>
      <c r="T36" s="337" t="str">
        <f t="shared" si="9"/>
        <v>2041-42</v>
      </c>
      <c r="U36" s="337" t="str">
        <f t="shared" si="9"/>
        <v>2042-43</v>
      </c>
      <c r="V36" s="337" t="str">
        <f t="shared" si="9"/>
        <v>2043-44</v>
      </c>
      <c r="W36" s="337" t="str">
        <f t="shared" si="9"/>
        <v>2044-45</v>
      </c>
      <c r="X36" s="337" t="str">
        <f t="shared" si="9"/>
        <v>2045-46</v>
      </c>
      <c r="Y36" s="337" t="str">
        <f t="shared" si="9"/>
        <v>2046-47</v>
      </c>
      <c r="Z36" s="337" t="str">
        <f t="shared" si="9"/>
        <v>2047-48</v>
      </c>
      <c r="AA36" s="337" t="str">
        <f t="shared" si="9"/>
        <v>2048-49</v>
      </c>
      <c r="AB36" s="337" t="str">
        <f t="shared" si="9"/>
        <v>2049-50</v>
      </c>
      <c r="AC36" s="337" t="str">
        <f t="shared" si="9"/>
        <v>2050-51</v>
      </c>
    </row>
    <row r="37" spans="2:30" x14ac:dyDescent="0.2">
      <c r="D37" s="3" t="s">
        <v>256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2:30" x14ac:dyDescent="0.2">
      <c r="D38" s="1" t="s">
        <v>257</v>
      </c>
      <c r="E38" s="365">
        <v>191723.11587608335</v>
      </c>
      <c r="F38" s="365">
        <v>195217.61392461049</v>
      </c>
      <c r="G38" s="365">
        <v>203472.65735880091</v>
      </c>
      <c r="H38" s="365">
        <v>12216.718412962617</v>
      </c>
      <c r="I38" s="365">
        <v>12315.066033449504</v>
      </c>
      <c r="J38" s="365">
        <v>12516.639266092723</v>
      </c>
      <c r="K38" s="365">
        <v>12985.55841994109</v>
      </c>
      <c r="L38" s="365">
        <v>13461.872956553601</v>
      </c>
      <c r="M38" s="365">
        <v>13615.893813390761</v>
      </c>
      <c r="N38" s="365">
        <v>13615.893813390761</v>
      </c>
      <c r="O38" s="365">
        <v>13615.893813390761</v>
      </c>
      <c r="P38" s="365">
        <v>13615.893813390761</v>
      </c>
      <c r="Q38" s="365">
        <v>13615.893813390761</v>
      </c>
      <c r="R38" s="365">
        <v>13615.893813390761</v>
      </c>
      <c r="S38" s="365">
        <v>13615.893813390761</v>
      </c>
      <c r="T38" s="365">
        <v>13615.893813390761</v>
      </c>
      <c r="U38" s="365">
        <v>13615.893813390761</v>
      </c>
      <c r="V38" s="365">
        <v>13615.893813390761</v>
      </c>
      <c r="W38" s="365">
        <v>13615.893813390761</v>
      </c>
      <c r="X38" s="365">
        <v>13615.893813390761</v>
      </c>
      <c r="Y38" s="365">
        <v>13615.893813390761</v>
      </c>
      <c r="Z38" s="365">
        <v>13615.893813390761</v>
      </c>
      <c r="AA38" s="365">
        <v>13615.893813390761</v>
      </c>
      <c r="AB38" s="365">
        <v>13615.893813390761</v>
      </c>
      <c r="AC38" s="365">
        <v>13615.893813390761</v>
      </c>
    </row>
    <row r="39" spans="2:30" x14ac:dyDescent="0.2">
      <c r="D39" s="1" t="s">
        <v>258</v>
      </c>
      <c r="E39" s="365">
        <v>452.56946316750015</v>
      </c>
      <c r="F39" s="365">
        <v>452.56946316750015</v>
      </c>
      <c r="G39" s="365">
        <v>452.56946316750015</v>
      </c>
      <c r="H39" s="365">
        <v>35.495644170000006</v>
      </c>
      <c r="I39" s="365">
        <v>35.495644169999998</v>
      </c>
      <c r="J39" s="365">
        <v>35.495644169999998</v>
      </c>
      <c r="K39" s="365">
        <v>35.495644169999998</v>
      </c>
      <c r="L39" s="365">
        <v>35.495644169999998</v>
      </c>
      <c r="M39" s="365">
        <v>35.495644169999998</v>
      </c>
      <c r="N39" s="365">
        <v>35.495644169999998</v>
      </c>
      <c r="O39" s="365">
        <v>35.495644169999998</v>
      </c>
      <c r="P39" s="365">
        <v>35.495644169999998</v>
      </c>
      <c r="Q39" s="365">
        <v>35.495644169999998</v>
      </c>
      <c r="R39" s="365">
        <v>35.495644169999998</v>
      </c>
      <c r="S39" s="365">
        <v>35.495644169999998</v>
      </c>
      <c r="T39" s="365">
        <v>35.495644169999998</v>
      </c>
      <c r="U39" s="365">
        <v>35.495644169999998</v>
      </c>
      <c r="V39" s="365">
        <v>35.495644169999998</v>
      </c>
      <c r="W39" s="365">
        <v>35.495644169999998</v>
      </c>
      <c r="X39" s="365">
        <v>35.495644169999998</v>
      </c>
      <c r="Y39" s="365">
        <v>35.495644169999998</v>
      </c>
      <c r="Z39" s="365">
        <v>35.495644169999998</v>
      </c>
      <c r="AA39" s="365">
        <v>35.495644169999998</v>
      </c>
      <c r="AB39" s="365">
        <v>35.495644169999998</v>
      </c>
      <c r="AC39" s="365">
        <v>35.495644169999998</v>
      </c>
    </row>
    <row r="40" spans="2:30" x14ac:dyDescent="0.2">
      <c r="D40" s="1" t="s">
        <v>259</v>
      </c>
      <c r="E40" s="365">
        <v>33577.338820212768</v>
      </c>
      <c r="F40" s="365">
        <v>33577.338820212768</v>
      </c>
      <c r="G40" s="365">
        <v>33577.338820212768</v>
      </c>
      <c r="H40" s="365">
        <v>1975.1375776595744</v>
      </c>
      <c r="I40" s="365">
        <v>1975.1375776595739</v>
      </c>
      <c r="J40" s="365">
        <v>1975.1375776595739</v>
      </c>
      <c r="K40" s="365">
        <v>1975.1375776595739</v>
      </c>
      <c r="L40" s="365">
        <v>1975.1375776595739</v>
      </c>
      <c r="M40" s="365">
        <v>1975.1375776595739</v>
      </c>
      <c r="N40" s="365">
        <v>1975.1375776595739</v>
      </c>
      <c r="O40" s="365">
        <v>1975.1375776595739</v>
      </c>
      <c r="P40" s="365">
        <v>1975.1375776595739</v>
      </c>
      <c r="Q40" s="365">
        <v>1975.1375776595739</v>
      </c>
      <c r="R40" s="365">
        <v>1975.1375776595739</v>
      </c>
      <c r="S40" s="365">
        <v>1975.1375776595739</v>
      </c>
      <c r="T40" s="365">
        <v>1975.1375776595739</v>
      </c>
      <c r="U40" s="365">
        <v>1975.1375776595739</v>
      </c>
      <c r="V40" s="365">
        <v>1975.1375776595739</v>
      </c>
      <c r="W40" s="365">
        <v>1975.1375776595739</v>
      </c>
      <c r="X40" s="365">
        <v>1975.1375776595739</v>
      </c>
      <c r="Y40" s="365">
        <v>1975.1375776595739</v>
      </c>
      <c r="Z40" s="365">
        <v>1975.1375776595739</v>
      </c>
      <c r="AA40" s="365">
        <v>1975.1375776595739</v>
      </c>
      <c r="AB40" s="365">
        <v>1975.1375776595739</v>
      </c>
      <c r="AC40" s="365">
        <v>1975.1375776595739</v>
      </c>
    </row>
    <row r="41" spans="2:30" x14ac:dyDescent="0.2">
      <c r="D41" s="1" t="s">
        <v>260</v>
      </c>
      <c r="E41" s="365">
        <v>431.8</v>
      </c>
      <c r="F41" s="365">
        <v>431.8</v>
      </c>
      <c r="G41" s="365">
        <v>431.8</v>
      </c>
      <c r="H41" s="365">
        <v>50.79999999999999</v>
      </c>
      <c r="I41" s="365">
        <v>50.79999999999999</v>
      </c>
      <c r="J41" s="365">
        <v>50.79999999999999</v>
      </c>
      <c r="K41" s="365">
        <v>50.79999999999999</v>
      </c>
      <c r="L41" s="365">
        <v>50.79999999999999</v>
      </c>
      <c r="M41" s="365">
        <v>50.79999999999999</v>
      </c>
      <c r="N41" s="365">
        <v>50.79999999999999</v>
      </c>
      <c r="O41" s="365">
        <v>50.79999999999999</v>
      </c>
      <c r="P41" s="365">
        <v>50.79999999999999</v>
      </c>
      <c r="Q41" s="365">
        <v>50.79999999999999</v>
      </c>
      <c r="R41" s="365">
        <v>50.79999999999999</v>
      </c>
      <c r="S41" s="365">
        <v>50.79999999999999</v>
      </c>
      <c r="T41" s="365">
        <v>50.79999999999999</v>
      </c>
      <c r="U41" s="365">
        <v>50.79999999999999</v>
      </c>
      <c r="V41" s="365">
        <v>50.79999999999999</v>
      </c>
      <c r="W41" s="365">
        <v>50.79999999999999</v>
      </c>
      <c r="X41" s="365">
        <v>50.79999999999999</v>
      </c>
      <c r="Y41" s="365">
        <v>50.79999999999999</v>
      </c>
      <c r="Z41" s="365">
        <v>50.79999999999999</v>
      </c>
      <c r="AA41" s="365">
        <v>50.79999999999999</v>
      </c>
      <c r="AB41" s="365">
        <v>50.79999999999999</v>
      </c>
      <c r="AC41" s="365">
        <v>50.79999999999999</v>
      </c>
    </row>
    <row r="42" spans="2:30" x14ac:dyDescent="0.2">
      <c r="D42" s="347" t="s">
        <v>261</v>
      </c>
      <c r="E42" s="346">
        <f t="shared" ref="E42:AC42" si="10">SUM(E38:E41)</f>
        <v>226184.82415946363</v>
      </c>
      <c r="F42" s="346">
        <f t="shared" si="10"/>
        <v>229679.32220799074</v>
      </c>
      <c r="G42" s="346">
        <f t="shared" si="10"/>
        <v>237934.36564218119</v>
      </c>
      <c r="H42" s="346">
        <f t="shared" si="10"/>
        <v>14278.15163479219</v>
      </c>
      <c r="I42" s="346">
        <f t="shared" si="10"/>
        <v>14376.499255279077</v>
      </c>
      <c r="J42" s="346">
        <f t="shared" si="10"/>
        <v>14578.072487922296</v>
      </c>
      <c r="K42" s="346">
        <f t="shared" si="10"/>
        <v>15046.991641770663</v>
      </c>
      <c r="L42" s="346">
        <f t="shared" si="10"/>
        <v>15523.306178383174</v>
      </c>
      <c r="M42" s="346">
        <f t="shared" si="10"/>
        <v>15677.327035220334</v>
      </c>
      <c r="N42" s="346">
        <f t="shared" si="10"/>
        <v>15677.327035220334</v>
      </c>
      <c r="O42" s="346">
        <f t="shared" si="10"/>
        <v>15677.327035220334</v>
      </c>
      <c r="P42" s="346">
        <f t="shared" si="10"/>
        <v>15677.327035220334</v>
      </c>
      <c r="Q42" s="346">
        <f t="shared" si="10"/>
        <v>15677.327035220334</v>
      </c>
      <c r="R42" s="346">
        <f t="shared" si="10"/>
        <v>15677.327035220334</v>
      </c>
      <c r="S42" s="346">
        <f t="shared" si="10"/>
        <v>15677.327035220334</v>
      </c>
      <c r="T42" s="346">
        <f t="shared" si="10"/>
        <v>15677.327035220334</v>
      </c>
      <c r="U42" s="346">
        <f t="shared" si="10"/>
        <v>15677.327035220334</v>
      </c>
      <c r="V42" s="346">
        <f t="shared" si="10"/>
        <v>15677.327035220334</v>
      </c>
      <c r="W42" s="346">
        <f t="shared" si="10"/>
        <v>15677.327035220334</v>
      </c>
      <c r="X42" s="346">
        <f t="shared" si="10"/>
        <v>15677.327035220334</v>
      </c>
      <c r="Y42" s="346">
        <f t="shared" si="10"/>
        <v>15677.327035220334</v>
      </c>
      <c r="Z42" s="346">
        <f t="shared" si="10"/>
        <v>15677.327035220334</v>
      </c>
      <c r="AA42" s="346">
        <f t="shared" si="10"/>
        <v>15677.327035220334</v>
      </c>
      <c r="AB42" s="346">
        <f t="shared" si="10"/>
        <v>15677.327035220334</v>
      </c>
      <c r="AC42" s="346">
        <f t="shared" si="10"/>
        <v>15677.327035220334</v>
      </c>
    </row>
    <row r="44" spans="2:30" x14ac:dyDescent="0.2">
      <c r="D44" s="3" t="s">
        <v>262</v>
      </c>
    </row>
    <row r="45" spans="2:30" x14ac:dyDescent="0.2">
      <c r="D45" s="1" t="s">
        <v>263</v>
      </c>
      <c r="E45" s="365">
        <v>142.04786429366874</v>
      </c>
      <c r="F45" s="365">
        <v>162.05688977686194</v>
      </c>
      <c r="G45" s="365">
        <v>186.60488911690064</v>
      </c>
      <c r="H45" s="365">
        <v>122.83774064103434</v>
      </c>
      <c r="I45" s="365">
        <v>130.24343850278612</v>
      </c>
      <c r="J45" s="365">
        <v>138.6759740958957</v>
      </c>
      <c r="K45" s="365">
        <v>148.51821002388198</v>
      </c>
      <c r="L45" s="365">
        <v>160.32414922321337</v>
      </c>
      <c r="M45" s="365">
        <v>174.17296686042167</v>
      </c>
      <c r="N45" s="365">
        <v>190.57206625740201</v>
      </c>
      <c r="O45" s="365">
        <v>210.18539585190723</v>
      </c>
      <c r="P45" s="365">
        <v>233.88643875946369</v>
      </c>
      <c r="Q45" s="365">
        <v>262.8297988659786</v>
      </c>
      <c r="R45" s="365">
        <v>298.5480107575662</v>
      </c>
      <c r="S45" s="365">
        <v>343.08258105590016</v>
      </c>
      <c r="T45" s="365">
        <v>399.1615079862641</v>
      </c>
      <c r="U45" s="365">
        <v>470.43993532654861</v>
      </c>
      <c r="V45" s="365">
        <v>561.82660028966109</v>
      </c>
      <c r="W45" s="365">
        <v>679.92691047143285</v>
      </c>
      <c r="X45" s="365">
        <v>833.64462102911079</v>
      </c>
      <c r="Y45" s="365">
        <v>1044.7723055063409</v>
      </c>
      <c r="Z45" s="365">
        <v>1329.3477767818699</v>
      </c>
      <c r="AA45" s="365">
        <v>1458.0439763198535</v>
      </c>
      <c r="AB45" s="365">
        <v>1617.8796211570836</v>
      </c>
      <c r="AC45" s="365">
        <v>1759.8816525302157</v>
      </c>
      <c r="AD45" s="350"/>
    </row>
    <row r="46" spans="2:30" s="348" customFormat="1" x14ac:dyDescent="0.2">
      <c r="D46" s="1" t="s">
        <v>257</v>
      </c>
      <c r="E46" s="365">
        <v>13694.170646684472</v>
      </c>
      <c r="F46" s="365">
        <v>15260.467265731251</v>
      </c>
      <c r="G46" s="365">
        <v>17113.353864552675</v>
      </c>
      <c r="H46" s="365">
        <v>1494.2313922662825</v>
      </c>
      <c r="I46" s="365">
        <v>1626.68236995288</v>
      </c>
      <c r="J46" s="365">
        <v>1771.8923989745902</v>
      </c>
      <c r="K46" s="365">
        <v>1931.1367620178307</v>
      </c>
      <c r="L46" s="365">
        <v>2105.8216633428829</v>
      </c>
      <c r="M46" s="365">
        <v>2297.4980266298962</v>
      </c>
      <c r="N46" s="365">
        <v>2507.8768093970775</v>
      </c>
      <c r="O46" s="365">
        <v>2738.8460174222123</v>
      </c>
      <c r="P46" s="365">
        <v>2992.4896300249166</v>
      </c>
      <c r="Q46" s="365">
        <v>3271.1086801853353</v>
      </c>
      <c r="R46" s="365">
        <v>3577.2447738644278</v>
      </c>
      <c r="S46" s="365">
        <v>3913.7063826474755</v>
      </c>
      <c r="T46" s="365">
        <v>4283.5983057364274</v>
      </c>
      <c r="U46" s="365">
        <v>4690.3547750797816</v>
      </c>
      <c r="V46" s="365">
        <v>5137.7767760095549</v>
      </c>
      <c r="W46" s="365">
        <v>5630.0742817983464</v>
      </c>
      <c r="X46" s="365">
        <v>6171.9142629739363</v>
      </c>
      <c r="Y46" s="365">
        <v>6773.4321884260162</v>
      </c>
      <c r="Z46" s="365">
        <v>7440.2760595560212</v>
      </c>
      <c r="AA46" s="365">
        <v>8173.8297290091787</v>
      </c>
      <c r="AB46" s="365">
        <v>8985.0434955982273</v>
      </c>
      <c r="AC46" s="365">
        <v>9883.5425240653167</v>
      </c>
      <c r="AD46" s="351"/>
    </row>
    <row r="47" spans="2:30" x14ac:dyDescent="0.2">
      <c r="D47" s="1" t="s">
        <v>258</v>
      </c>
      <c r="E47" s="365">
        <v>1351.0384332584272</v>
      </c>
      <c r="F47" s="365">
        <v>1528.6557714952719</v>
      </c>
      <c r="G47" s="365">
        <v>1743.8119541254098</v>
      </c>
      <c r="H47" s="365">
        <v>1031.6023272179968</v>
      </c>
      <c r="I47" s="365">
        <v>1098.548366692891</v>
      </c>
      <c r="J47" s="365">
        <v>1174.1671556546116</v>
      </c>
      <c r="K47" s="365">
        <v>1261.3137047007394</v>
      </c>
      <c r="L47" s="365">
        <v>1364.0714631236842</v>
      </c>
      <c r="M47" s="365">
        <v>1483.170826689716</v>
      </c>
      <c r="N47" s="365">
        <v>1622.3977739193083</v>
      </c>
      <c r="O47" s="365">
        <v>1786.6681887538764</v>
      </c>
      <c r="P47" s="365">
        <v>1982.4058672844999</v>
      </c>
      <c r="Q47" s="365">
        <v>2218.0526968643908</v>
      </c>
      <c r="R47" s="365">
        <v>2504.7580577219142</v>
      </c>
      <c r="S47" s="365">
        <v>2857.3113900032467</v>
      </c>
      <c r="T47" s="365">
        <v>3295.4048576908654</v>
      </c>
      <c r="U47" s="365">
        <v>3845.3443324037662</v>
      </c>
      <c r="V47" s="365">
        <v>4542.3695235565301</v>
      </c>
      <c r="W47" s="365">
        <v>5433.8020988891603</v>
      </c>
      <c r="X47" s="365">
        <v>6583.3196645959915</v>
      </c>
      <c r="Y47" s="339">
        <v>8146.1642982752492</v>
      </c>
      <c r="Z47" s="339">
        <v>10236.744865612927</v>
      </c>
      <c r="AA47" s="339">
        <v>11228.30416100498</v>
      </c>
      <c r="AB47" s="339">
        <v>12448.749099063714</v>
      </c>
      <c r="AC47" s="339">
        <v>13551.479464425609</v>
      </c>
      <c r="AD47" s="350"/>
    </row>
    <row r="48" spans="2:30" x14ac:dyDescent="0.2">
      <c r="D48" s="1" t="s">
        <v>259</v>
      </c>
      <c r="E48" s="365">
        <v>25860.553145851773</v>
      </c>
      <c r="F48" s="365">
        <v>28307.852351659458</v>
      </c>
      <c r="G48" s="365">
        <v>31049.054618268074</v>
      </c>
      <c r="H48" s="365">
        <v>15858.501081353103</v>
      </c>
      <c r="I48" s="365">
        <v>17268.491799401036</v>
      </c>
      <c r="J48" s="365">
        <v>18818.383878098124</v>
      </c>
      <c r="K48" s="365">
        <v>20524.716728206411</v>
      </c>
      <c r="L48" s="365">
        <v>22406.845923354394</v>
      </c>
      <c r="M48" s="365">
        <v>24482.748535373172</v>
      </c>
      <c r="N48" s="365">
        <v>26775.527090175656</v>
      </c>
      <c r="O48" s="365">
        <v>29311.905508136475</v>
      </c>
      <c r="P48" s="365">
        <v>32123.042197849209</v>
      </c>
      <c r="Q48" s="365">
        <v>35245.582212846573</v>
      </c>
      <c r="R48" s="365">
        <v>38723.028245413654</v>
      </c>
      <c r="S48" s="365">
        <v>42607.538131041285</v>
      </c>
      <c r="T48" s="365">
        <v>46962.294359198502</v>
      </c>
      <c r="U48" s="365">
        <v>51864.642383942286</v>
      </c>
      <c r="V48" s="365">
        <v>57410.264130927404</v>
      </c>
      <c r="W48" s="365">
        <v>63718.747571309541</v>
      </c>
      <c r="X48" s="365">
        <v>70941.041505161644</v>
      </c>
      <c r="Y48" s="339">
        <v>79338.100909082947</v>
      </c>
      <c r="Z48" s="339">
        <v>89155.590737258506</v>
      </c>
      <c r="AA48" s="339">
        <v>97421.401661078373</v>
      </c>
      <c r="AB48" s="339">
        <v>106604.44902850696</v>
      </c>
      <c r="AC48" s="339">
        <v>116483.92452524081</v>
      </c>
      <c r="AD48" s="350"/>
    </row>
    <row r="49" spans="2:29" x14ac:dyDescent="0.2">
      <c r="D49" s="347" t="s">
        <v>264</v>
      </c>
      <c r="E49" s="346">
        <f t="shared" ref="E49:AC49" si="11">SUM(E45:E48)</f>
        <v>41047.810090088344</v>
      </c>
      <c r="F49" s="346">
        <f t="shared" si="11"/>
        <v>45259.032278662839</v>
      </c>
      <c r="G49" s="346">
        <f t="shared" si="11"/>
        <v>50092.825326063059</v>
      </c>
      <c r="H49" s="346">
        <f t="shared" si="11"/>
        <v>18507.172541478416</v>
      </c>
      <c r="I49" s="346">
        <f t="shared" si="11"/>
        <v>20123.965974549592</v>
      </c>
      <c r="J49" s="346">
        <f t="shared" si="11"/>
        <v>21903.119406823222</v>
      </c>
      <c r="K49" s="346">
        <f t="shared" si="11"/>
        <v>23865.685404948865</v>
      </c>
      <c r="L49" s="346">
        <f t="shared" si="11"/>
        <v>26037.063199044176</v>
      </c>
      <c r="M49" s="346">
        <f t="shared" si="11"/>
        <v>28437.590355553206</v>
      </c>
      <c r="N49" s="346">
        <f t="shared" si="11"/>
        <v>31096.373739749444</v>
      </c>
      <c r="O49" s="346">
        <f t="shared" si="11"/>
        <v>34047.60511016447</v>
      </c>
      <c r="P49" s="346">
        <f t="shared" si="11"/>
        <v>37331.82413391809</v>
      </c>
      <c r="Q49" s="346">
        <f t="shared" si="11"/>
        <v>40997.573388762277</v>
      </c>
      <c r="R49" s="346">
        <f t="shared" si="11"/>
        <v>45103.579087757564</v>
      </c>
      <c r="S49" s="346">
        <f t="shared" si="11"/>
        <v>49721.638484747906</v>
      </c>
      <c r="T49" s="346">
        <f t="shared" si="11"/>
        <v>54940.459030612059</v>
      </c>
      <c r="U49" s="346">
        <f t="shared" si="11"/>
        <v>60870.781426752379</v>
      </c>
      <c r="V49" s="346">
        <f t="shared" si="11"/>
        <v>67652.237030783144</v>
      </c>
      <c r="W49" s="346">
        <f t="shared" si="11"/>
        <v>75462.550862468488</v>
      </c>
      <c r="X49" s="346">
        <f t="shared" si="11"/>
        <v>84529.920053760681</v>
      </c>
      <c r="Y49" s="346">
        <f t="shared" si="11"/>
        <v>95302.469701290553</v>
      </c>
      <c r="Z49" s="346">
        <f t="shared" si="11"/>
        <v>108161.95943920933</v>
      </c>
      <c r="AA49" s="346">
        <f t="shared" si="11"/>
        <v>118281.57952741238</v>
      </c>
      <c r="AB49" s="346">
        <f t="shared" si="11"/>
        <v>129656.12124432599</v>
      </c>
      <c r="AC49" s="346">
        <f t="shared" si="11"/>
        <v>141678.82816626196</v>
      </c>
    </row>
    <row r="51" spans="2:29" x14ac:dyDescent="0.2">
      <c r="D51" s="3" t="s">
        <v>265</v>
      </c>
    </row>
    <row r="52" spans="2:29" x14ac:dyDescent="0.2">
      <c r="D52" s="3" t="s">
        <v>257</v>
      </c>
      <c r="E52" s="349">
        <f t="shared" ref="E52:AC52" si="12">E38+E46</f>
        <v>205417.28652276783</v>
      </c>
      <c r="F52" s="349">
        <f t="shared" si="12"/>
        <v>210478.08119034173</v>
      </c>
      <c r="G52" s="349">
        <f t="shared" si="12"/>
        <v>220586.01122335359</v>
      </c>
      <c r="H52" s="349">
        <f t="shared" si="12"/>
        <v>13710.949805228898</v>
      </c>
      <c r="I52" s="349">
        <f t="shared" si="12"/>
        <v>13941.748403402384</v>
      </c>
      <c r="J52" s="349">
        <f t="shared" si="12"/>
        <v>14288.531665067314</v>
      </c>
      <c r="K52" s="349">
        <f t="shared" si="12"/>
        <v>14916.695181958919</v>
      </c>
      <c r="L52" s="349">
        <f t="shared" si="12"/>
        <v>15567.694619896483</v>
      </c>
      <c r="M52" s="349">
        <f t="shared" si="12"/>
        <v>15913.391840020657</v>
      </c>
      <c r="N52" s="349">
        <f t="shared" si="12"/>
        <v>16123.770622787839</v>
      </c>
      <c r="O52" s="349">
        <f t="shared" si="12"/>
        <v>16354.739830812974</v>
      </c>
      <c r="P52" s="349">
        <f t="shared" si="12"/>
        <v>16608.383443415678</v>
      </c>
      <c r="Q52" s="349">
        <f t="shared" si="12"/>
        <v>16887.002493576096</v>
      </c>
      <c r="R52" s="349">
        <f t="shared" si="12"/>
        <v>17193.138587255191</v>
      </c>
      <c r="S52" s="349">
        <f t="shared" si="12"/>
        <v>17529.600196038238</v>
      </c>
      <c r="T52" s="349">
        <f t="shared" si="12"/>
        <v>17899.49211912719</v>
      </c>
      <c r="U52" s="349">
        <f t="shared" si="12"/>
        <v>18306.248588470542</v>
      </c>
      <c r="V52" s="349">
        <f t="shared" si="12"/>
        <v>18753.670589400317</v>
      </c>
      <c r="W52" s="349">
        <f t="shared" si="12"/>
        <v>19245.968095189106</v>
      </c>
      <c r="X52" s="349">
        <f t="shared" si="12"/>
        <v>19787.808076364698</v>
      </c>
      <c r="Y52" s="349">
        <f t="shared" si="12"/>
        <v>20389.326001816778</v>
      </c>
      <c r="Z52" s="349">
        <f t="shared" si="12"/>
        <v>21056.169872946783</v>
      </c>
      <c r="AA52" s="349">
        <f t="shared" si="12"/>
        <v>21789.723542399941</v>
      </c>
      <c r="AB52" s="349">
        <f t="shared" si="12"/>
        <v>22600.937308988989</v>
      </c>
      <c r="AC52" s="349">
        <f t="shared" si="12"/>
        <v>23499.436337456078</v>
      </c>
    </row>
    <row r="53" spans="2:29" x14ac:dyDescent="0.2">
      <c r="D53" s="3" t="s">
        <v>310</v>
      </c>
      <c r="E53" s="349">
        <f t="shared" ref="E53:AC53" si="13">E39+E47</f>
        <v>1803.6078964259273</v>
      </c>
      <c r="F53" s="349">
        <f t="shared" si="13"/>
        <v>1981.225234662772</v>
      </c>
      <c r="G53" s="349">
        <f t="shared" si="13"/>
        <v>2196.3814172929101</v>
      </c>
      <c r="H53" s="349">
        <f t="shared" si="13"/>
        <v>1067.0979713879969</v>
      </c>
      <c r="I53" s="349">
        <f t="shared" si="13"/>
        <v>1134.0440108628911</v>
      </c>
      <c r="J53" s="349">
        <f t="shared" si="13"/>
        <v>1209.6627998246117</v>
      </c>
      <c r="K53" s="349">
        <f t="shared" si="13"/>
        <v>1296.8093488707395</v>
      </c>
      <c r="L53" s="349">
        <f t="shared" si="13"/>
        <v>1399.5671072936843</v>
      </c>
      <c r="M53" s="349">
        <f t="shared" si="13"/>
        <v>1518.6664708597161</v>
      </c>
      <c r="N53" s="349">
        <f t="shared" si="13"/>
        <v>1657.8934180893084</v>
      </c>
      <c r="O53" s="349">
        <f t="shared" si="13"/>
        <v>1822.1638329238765</v>
      </c>
      <c r="P53" s="349">
        <f t="shared" si="13"/>
        <v>2017.9015114545</v>
      </c>
      <c r="Q53" s="349">
        <f t="shared" si="13"/>
        <v>2253.5483410343909</v>
      </c>
      <c r="R53" s="349">
        <f t="shared" si="13"/>
        <v>2540.2537018919143</v>
      </c>
      <c r="S53" s="349">
        <f t="shared" si="13"/>
        <v>2892.8070341732468</v>
      </c>
      <c r="T53" s="349">
        <f t="shared" si="13"/>
        <v>3330.9005018608655</v>
      </c>
      <c r="U53" s="349">
        <f t="shared" si="13"/>
        <v>3880.8399765737663</v>
      </c>
      <c r="V53" s="349">
        <f t="shared" si="13"/>
        <v>4577.8651677265298</v>
      </c>
      <c r="W53" s="349">
        <f t="shared" si="13"/>
        <v>5469.29774305916</v>
      </c>
      <c r="X53" s="349">
        <f t="shared" si="13"/>
        <v>6618.8153087659912</v>
      </c>
      <c r="Y53" s="349">
        <f t="shared" si="13"/>
        <v>8181.6599424452488</v>
      </c>
      <c r="Z53" s="349">
        <f t="shared" si="13"/>
        <v>10272.240509782927</v>
      </c>
      <c r="AA53" s="349">
        <f t="shared" si="13"/>
        <v>11263.79980517498</v>
      </c>
      <c r="AB53" s="349">
        <f t="shared" si="13"/>
        <v>12484.244743233714</v>
      </c>
      <c r="AC53" s="349">
        <f t="shared" si="13"/>
        <v>13586.975108595609</v>
      </c>
    </row>
    <row r="54" spans="2:29" x14ac:dyDescent="0.2">
      <c r="D54" s="3" t="s">
        <v>108</v>
      </c>
      <c r="E54" s="349">
        <f t="shared" ref="E54:AC54" si="14">E40+E48</f>
        <v>59437.891966064541</v>
      </c>
      <c r="F54" s="349">
        <f t="shared" si="14"/>
        <v>61885.191171872226</v>
      </c>
      <c r="G54" s="349">
        <f t="shared" si="14"/>
        <v>64626.393438480838</v>
      </c>
      <c r="H54" s="349">
        <f t="shared" si="14"/>
        <v>17833.638659012679</v>
      </c>
      <c r="I54" s="349">
        <f t="shared" si="14"/>
        <v>19243.62937706061</v>
      </c>
      <c r="J54" s="349">
        <f t="shared" si="14"/>
        <v>20793.521455757698</v>
      </c>
      <c r="K54" s="349">
        <f t="shared" si="14"/>
        <v>22499.854305865985</v>
      </c>
      <c r="L54" s="349">
        <f t="shared" si="14"/>
        <v>24381.983501013969</v>
      </c>
      <c r="M54" s="349">
        <f t="shared" si="14"/>
        <v>26457.886113032746</v>
      </c>
      <c r="N54" s="349">
        <f t="shared" si="14"/>
        <v>28750.66466783523</v>
      </c>
      <c r="O54" s="349">
        <f t="shared" si="14"/>
        <v>31287.043085796049</v>
      </c>
      <c r="P54" s="349">
        <f t="shared" si="14"/>
        <v>34098.179775508783</v>
      </c>
      <c r="Q54" s="349">
        <f t="shared" si="14"/>
        <v>37220.719790506148</v>
      </c>
      <c r="R54" s="349">
        <f t="shared" si="14"/>
        <v>40698.165823073228</v>
      </c>
      <c r="S54" s="349">
        <f t="shared" si="14"/>
        <v>44582.675708700859</v>
      </c>
      <c r="T54" s="349">
        <f t="shared" si="14"/>
        <v>48937.431936858076</v>
      </c>
      <c r="U54" s="349">
        <f t="shared" si="14"/>
        <v>53839.77996160186</v>
      </c>
      <c r="V54" s="349">
        <f t="shared" si="14"/>
        <v>59385.401708586978</v>
      </c>
      <c r="W54" s="349">
        <f t="shared" si="14"/>
        <v>65693.885148969115</v>
      </c>
      <c r="X54" s="349">
        <f t="shared" si="14"/>
        <v>72916.179082821211</v>
      </c>
      <c r="Y54" s="349">
        <f t="shared" si="14"/>
        <v>81313.238486742513</v>
      </c>
      <c r="Z54" s="349">
        <f t="shared" si="14"/>
        <v>91130.728314918073</v>
      </c>
      <c r="AA54" s="349">
        <f t="shared" si="14"/>
        <v>99396.53923873794</v>
      </c>
      <c r="AB54" s="349">
        <f t="shared" si="14"/>
        <v>108579.58660616653</v>
      </c>
      <c r="AC54" s="349">
        <f t="shared" si="14"/>
        <v>118459.06210290038</v>
      </c>
    </row>
    <row r="55" spans="2:29" x14ac:dyDescent="0.2">
      <c r="D55" s="3" t="s">
        <v>311</v>
      </c>
      <c r="E55" s="349">
        <f t="shared" ref="E55:AC55" si="15">E41</f>
        <v>431.8</v>
      </c>
      <c r="F55" s="349">
        <f t="shared" si="15"/>
        <v>431.8</v>
      </c>
      <c r="G55" s="349">
        <f t="shared" si="15"/>
        <v>431.8</v>
      </c>
      <c r="H55" s="349">
        <f t="shared" si="15"/>
        <v>50.79999999999999</v>
      </c>
      <c r="I55" s="349">
        <f t="shared" si="15"/>
        <v>50.79999999999999</v>
      </c>
      <c r="J55" s="349">
        <f t="shared" si="15"/>
        <v>50.79999999999999</v>
      </c>
      <c r="K55" s="349">
        <f t="shared" si="15"/>
        <v>50.79999999999999</v>
      </c>
      <c r="L55" s="349">
        <f t="shared" si="15"/>
        <v>50.79999999999999</v>
      </c>
      <c r="M55" s="349">
        <f t="shared" si="15"/>
        <v>50.79999999999999</v>
      </c>
      <c r="N55" s="349">
        <f t="shared" si="15"/>
        <v>50.79999999999999</v>
      </c>
      <c r="O55" s="349">
        <f t="shared" si="15"/>
        <v>50.79999999999999</v>
      </c>
      <c r="P55" s="349">
        <f t="shared" si="15"/>
        <v>50.79999999999999</v>
      </c>
      <c r="Q55" s="349">
        <f t="shared" si="15"/>
        <v>50.79999999999999</v>
      </c>
      <c r="R55" s="349">
        <f t="shared" si="15"/>
        <v>50.79999999999999</v>
      </c>
      <c r="S55" s="349">
        <f t="shared" si="15"/>
        <v>50.79999999999999</v>
      </c>
      <c r="T55" s="349">
        <f t="shared" si="15"/>
        <v>50.79999999999999</v>
      </c>
      <c r="U55" s="349">
        <f t="shared" si="15"/>
        <v>50.79999999999999</v>
      </c>
      <c r="V55" s="349">
        <f t="shared" si="15"/>
        <v>50.79999999999999</v>
      </c>
      <c r="W55" s="349">
        <f t="shared" si="15"/>
        <v>50.79999999999999</v>
      </c>
      <c r="X55" s="349">
        <f t="shared" si="15"/>
        <v>50.79999999999999</v>
      </c>
      <c r="Y55" s="349">
        <f t="shared" si="15"/>
        <v>50.79999999999999</v>
      </c>
      <c r="Z55" s="349">
        <f t="shared" si="15"/>
        <v>50.79999999999999</v>
      </c>
      <c r="AA55" s="349">
        <f t="shared" si="15"/>
        <v>50.79999999999999</v>
      </c>
      <c r="AB55" s="349">
        <f t="shared" si="15"/>
        <v>50.79999999999999</v>
      </c>
      <c r="AC55" s="349">
        <f t="shared" si="15"/>
        <v>50.79999999999999</v>
      </c>
    </row>
    <row r="56" spans="2:29" x14ac:dyDescent="0.2">
      <c r="D56" s="3" t="s">
        <v>312</v>
      </c>
      <c r="E56" s="349">
        <f>E45</f>
        <v>142.04786429366874</v>
      </c>
      <c r="F56" s="349">
        <f t="shared" ref="F56:AC56" si="16">F45</f>
        <v>162.05688977686194</v>
      </c>
      <c r="G56" s="349">
        <f t="shared" si="16"/>
        <v>186.60488911690064</v>
      </c>
      <c r="H56" s="349">
        <f t="shared" si="16"/>
        <v>122.83774064103434</v>
      </c>
      <c r="I56" s="349">
        <f t="shared" si="16"/>
        <v>130.24343850278612</v>
      </c>
      <c r="J56" s="349">
        <f t="shared" si="16"/>
        <v>138.6759740958957</v>
      </c>
      <c r="K56" s="349">
        <f t="shared" si="16"/>
        <v>148.51821002388198</v>
      </c>
      <c r="L56" s="349">
        <f t="shared" si="16"/>
        <v>160.32414922321337</v>
      </c>
      <c r="M56" s="349">
        <f t="shared" si="16"/>
        <v>174.17296686042167</v>
      </c>
      <c r="N56" s="349">
        <f t="shared" si="16"/>
        <v>190.57206625740201</v>
      </c>
      <c r="O56" s="349">
        <f t="shared" si="16"/>
        <v>210.18539585190723</v>
      </c>
      <c r="P56" s="349">
        <f t="shared" si="16"/>
        <v>233.88643875946369</v>
      </c>
      <c r="Q56" s="349">
        <f t="shared" si="16"/>
        <v>262.8297988659786</v>
      </c>
      <c r="R56" s="349">
        <f t="shared" si="16"/>
        <v>298.5480107575662</v>
      </c>
      <c r="S56" s="349">
        <f t="shared" si="16"/>
        <v>343.08258105590016</v>
      </c>
      <c r="T56" s="349">
        <f t="shared" si="16"/>
        <v>399.1615079862641</v>
      </c>
      <c r="U56" s="349">
        <f t="shared" si="16"/>
        <v>470.43993532654861</v>
      </c>
      <c r="V56" s="349">
        <f t="shared" si="16"/>
        <v>561.82660028966109</v>
      </c>
      <c r="W56" s="349">
        <f t="shared" si="16"/>
        <v>679.92691047143285</v>
      </c>
      <c r="X56" s="349">
        <f t="shared" si="16"/>
        <v>833.64462102911079</v>
      </c>
      <c r="Y56" s="349">
        <f t="shared" si="16"/>
        <v>1044.7723055063409</v>
      </c>
      <c r="Z56" s="349">
        <f t="shared" si="16"/>
        <v>1329.3477767818699</v>
      </c>
      <c r="AA56" s="349">
        <f t="shared" si="16"/>
        <v>1458.0439763198535</v>
      </c>
      <c r="AB56" s="349">
        <f t="shared" si="16"/>
        <v>1617.8796211570836</v>
      </c>
      <c r="AC56" s="349">
        <f t="shared" si="16"/>
        <v>1759.8816525302157</v>
      </c>
    </row>
    <row r="57" spans="2:29" x14ac:dyDescent="0.2">
      <c r="D57" s="347" t="s">
        <v>266</v>
      </c>
      <c r="E57" s="346">
        <f t="shared" ref="E57:AC57" si="17">SUM(E52:E56)</f>
        <v>267232.63424955198</v>
      </c>
      <c r="F57" s="346">
        <f t="shared" si="17"/>
        <v>274938.35448665352</v>
      </c>
      <c r="G57" s="346">
        <f t="shared" si="17"/>
        <v>288027.19096824422</v>
      </c>
      <c r="H57" s="346">
        <f t="shared" si="17"/>
        <v>32785.324176270609</v>
      </c>
      <c r="I57" s="346">
        <f t="shared" si="17"/>
        <v>34500.465229828675</v>
      </c>
      <c r="J57" s="346">
        <f t="shared" si="17"/>
        <v>36481.19189474552</v>
      </c>
      <c r="K57" s="346">
        <f t="shared" si="17"/>
        <v>38912.677046719531</v>
      </c>
      <c r="L57" s="346">
        <f t="shared" si="17"/>
        <v>41560.369377427349</v>
      </c>
      <c r="M57" s="346">
        <f t="shared" si="17"/>
        <v>44114.917390773546</v>
      </c>
      <c r="N57" s="346">
        <f t="shared" si="17"/>
        <v>46773.70077496978</v>
      </c>
      <c r="O57" s="346">
        <f t="shared" si="17"/>
        <v>49724.93214538481</v>
      </c>
      <c r="P57" s="346">
        <f t="shared" si="17"/>
        <v>53009.151169138429</v>
      </c>
      <c r="Q57" s="346">
        <f t="shared" si="17"/>
        <v>56674.900423982617</v>
      </c>
      <c r="R57" s="346">
        <f t="shared" si="17"/>
        <v>60780.906122977896</v>
      </c>
      <c r="S57" s="346">
        <f t="shared" si="17"/>
        <v>65398.965519968246</v>
      </c>
      <c r="T57" s="346">
        <f t="shared" si="17"/>
        <v>70617.786065832406</v>
      </c>
      <c r="U57" s="346">
        <f t="shared" si="17"/>
        <v>76548.108461972719</v>
      </c>
      <c r="V57" s="346">
        <f t="shared" si="17"/>
        <v>83329.564066003484</v>
      </c>
      <c r="W57" s="346">
        <f t="shared" si="17"/>
        <v>91139.877897688813</v>
      </c>
      <c r="X57" s="346">
        <f t="shared" si="17"/>
        <v>100207.24708898102</v>
      </c>
      <c r="Y57" s="346">
        <f t="shared" si="17"/>
        <v>110979.79673651089</v>
      </c>
      <c r="Z57" s="346">
        <f t="shared" si="17"/>
        <v>123839.28647442965</v>
      </c>
      <c r="AA57" s="346">
        <f t="shared" si="17"/>
        <v>133958.90656263271</v>
      </c>
      <c r="AB57" s="346">
        <f t="shared" si="17"/>
        <v>145333.44827954628</v>
      </c>
      <c r="AC57" s="346">
        <f t="shared" si="17"/>
        <v>157356.1552014823</v>
      </c>
    </row>
    <row r="60" spans="2:29" s="342" customFormat="1" x14ac:dyDescent="0.2">
      <c r="B60" s="334" t="str">
        <f>Workings_costs!B34</f>
        <v>Option 3 - Relay replacement completed in 2028-29 and SWBD replacement completed in 2033-34</v>
      </c>
    </row>
    <row r="62" spans="2:29" x14ac:dyDescent="0.2">
      <c r="E62" s="337" t="s">
        <v>19</v>
      </c>
      <c r="F62" s="337" t="str">
        <f t="shared" ref="F62:AC62" si="18">LEFT(E62,4)+1&amp;"-"&amp;RIGHT(E62,2)+1</f>
        <v>2027-28</v>
      </c>
      <c r="G62" s="337" t="str">
        <f t="shared" si="18"/>
        <v>2028-29</v>
      </c>
      <c r="H62" s="337" t="str">
        <f t="shared" si="18"/>
        <v>2029-30</v>
      </c>
      <c r="I62" s="337" t="str">
        <f t="shared" si="18"/>
        <v>2030-31</v>
      </c>
      <c r="J62" s="337" t="str">
        <f t="shared" si="18"/>
        <v>2031-32</v>
      </c>
      <c r="K62" s="337" t="str">
        <f t="shared" si="18"/>
        <v>2032-33</v>
      </c>
      <c r="L62" s="337" t="str">
        <f t="shared" si="18"/>
        <v>2033-34</v>
      </c>
      <c r="M62" s="337" t="str">
        <f t="shared" si="18"/>
        <v>2034-35</v>
      </c>
      <c r="N62" s="337" t="str">
        <f t="shared" si="18"/>
        <v>2035-36</v>
      </c>
      <c r="O62" s="337" t="str">
        <f t="shared" si="18"/>
        <v>2036-37</v>
      </c>
      <c r="P62" s="337" t="str">
        <f t="shared" si="18"/>
        <v>2037-38</v>
      </c>
      <c r="Q62" s="337" t="str">
        <f t="shared" si="18"/>
        <v>2038-39</v>
      </c>
      <c r="R62" s="337" t="str">
        <f t="shared" si="18"/>
        <v>2039-40</v>
      </c>
      <c r="S62" s="337" t="str">
        <f t="shared" si="18"/>
        <v>2040-41</v>
      </c>
      <c r="T62" s="337" t="str">
        <f t="shared" si="18"/>
        <v>2041-42</v>
      </c>
      <c r="U62" s="337" t="str">
        <f t="shared" si="18"/>
        <v>2042-43</v>
      </c>
      <c r="V62" s="337" t="str">
        <f t="shared" si="18"/>
        <v>2043-44</v>
      </c>
      <c r="W62" s="337" t="str">
        <f t="shared" si="18"/>
        <v>2044-45</v>
      </c>
      <c r="X62" s="337" t="str">
        <f t="shared" si="18"/>
        <v>2045-46</v>
      </c>
      <c r="Y62" s="337" t="str">
        <f t="shared" si="18"/>
        <v>2046-47</v>
      </c>
      <c r="Z62" s="337" t="str">
        <f t="shared" si="18"/>
        <v>2047-48</v>
      </c>
      <c r="AA62" s="337" t="str">
        <f t="shared" si="18"/>
        <v>2048-49</v>
      </c>
      <c r="AB62" s="337" t="str">
        <f t="shared" si="18"/>
        <v>2049-50</v>
      </c>
      <c r="AC62" s="337" t="str">
        <f t="shared" si="18"/>
        <v>2050-51</v>
      </c>
    </row>
    <row r="63" spans="2:29" x14ac:dyDescent="0.2">
      <c r="D63" s="3" t="s">
        <v>256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2:29" x14ac:dyDescent="0.2">
      <c r="D64" s="1" t="s">
        <v>267</v>
      </c>
      <c r="E64" s="365">
        <v>191723.11587608335</v>
      </c>
      <c r="F64" s="365">
        <v>195217.61392461049</v>
      </c>
      <c r="G64" s="365">
        <v>203472.65735880091</v>
      </c>
      <c r="H64" s="365">
        <v>210009.14418407672</v>
      </c>
      <c r="I64" s="365">
        <v>211701.61554213663</v>
      </c>
      <c r="J64" s="365">
        <v>215170.42169270676</v>
      </c>
      <c r="K64" s="365">
        <v>223239.4923212055</v>
      </c>
      <c r="L64" s="365">
        <v>231435.64266437641</v>
      </c>
      <c r="M64" s="365">
        <v>13615.893813390763</v>
      </c>
      <c r="N64" s="365">
        <v>13615.893813390761</v>
      </c>
      <c r="O64" s="365">
        <v>13615.893813390761</v>
      </c>
      <c r="P64" s="365">
        <v>13615.893813390761</v>
      </c>
      <c r="Q64" s="365">
        <v>13615.893813390761</v>
      </c>
      <c r="R64" s="365">
        <v>13615.893813390761</v>
      </c>
      <c r="S64" s="365">
        <v>13615.893813390761</v>
      </c>
      <c r="T64" s="365">
        <v>13615.893813390761</v>
      </c>
      <c r="U64" s="365">
        <v>13615.893813390761</v>
      </c>
      <c r="V64" s="365">
        <v>13615.893813390761</v>
      </c>
      <c r="W64" s="365">
        <v>13615.893813390761</v>
      </c>
      <c r="X64" s="365">
        <v>13615.893813390761</v>
      </c>
      <c r="Y64" s="365">
        <v>13615.893813390761</v>
      </c>
      <c r="Z64" s="365">
        <v>13615.893813390761</v>
      </c>
      <c r="AA64" s="365">
        <v>13615.893813390761</v>
      </c>
      <c r="AB64" s="365">
        <v>13615.893813390761</v>
      </c>
      <c r="AC64" s="365">
        <v>13615.893813390761</v>
      </c>
    </row>
    <row r="65" spans="4:30" x14ac:dyDescent="0.2">
      <c r="D65" s="1" t="s">
        <v>258</v>
      </c>
      <c r="E65" s="365">
        <v>452.56946316750015</v>
      </c>
      <c r="F65" s="365">
        <v>452.56946316750015</v>
      </c>
      <c r="G65" s="365">
        <v>452.56946316750015</v>
      </c>
      <c r="H65" s="365">
        <v>452.56946316750015</v>
      </c>
      <c r="I65" s="365">
        <v>452.56946316750015</v>
      </c>
      <c r="J65" s="365">
        <v>452.56946316750015</v>
      </c>
      <c r="K65" s="365">
        <v>452.56946316750015</v>
      </c>
      <c r="L65" s="365">
        <v>452.56946316750015</v>
      </c>
      <c r="M65" s="365">
        <v>35.495644170000006</v>
      </c>
      <c r="N65" s="365">
        <v>35.495644169999998</v>
      </c>
      <c r="O65" s="365">
        <v>35.495644169999998</v>
      </c>
      <c r="P65" s="365">
        <v>35.495644169999998</v>
      </c>
      <c r="Q65" s="365">
        <v>35.495644169999998</v>
      </c>
      <c r="R65" s="365">
        <v>35.495644169999998</v>
      </c>
      <c r="S65" s="365">
        <v>35.495644169999998</v>
      </c>
      <c r="T65" s="365">
        <v>35.495644169999998</v>
      </c>
      <c r="U65" s="365">
        <v>35.495644169999998</v>
      </c>
      <c r="V65" s="365">
        <v>35.495644169999998</v>
      </c>
      <c r="W65" s="365">
        <v>35.495644169999998</v>
      </c>
      <c r="X65" s="365">
        <v>35.495644169999998</v>
      </c>
      <c r="Y65" s="365">
        <v>35.495644169999998</v>
      </c>
      <c r="Z65" s="365">
        <v>35.495644169999998</v>
      </c>
      <c r="AA65" s="365">
        <v>35.495644169999998</v>
      </c>
      <c r="AB65" s="365">
        <v>35.495644169999998</v>
      </c>
      <c r="AC65" s="365">
        <v>35.495644169999998</v>
      </c>
    </row>
    <row r="66" spans="4:30" x14ac:dyDescent="0.2">
      <c r="D66" s="1" t="s">
        <v>259</v>
      </c>
      <c r="E66" s="365">
        <v>33577.338820212768</v>
      </c>
      <c r="F66" s="365">
        <v>33577.338820212768</v>
      </c>
      <c r="G66" s="365">
        <v>33577.338820212768</v>
      </c>
      <c r="H66" s="365">
        <v>33577.338820212768</v>
      </c>
      <c r="I66" s="365">
        <v>33577.338820212768</v>
      </c>
      <c r="J66" s="365">
        <v>33577.338820212768</v>
      </c>
      <c r="K66" s="365">
        <v>33577.338820212768</v>
      </c>
      <c r="L66" s="365">
        <v>33577.338820212768</v>
      </c>
      <c r="M66" s="365">
        <v>1975.1375776595744</v>
      </c>
      <c r="N66" s="365">
        <v>1975.1375776595739</v>
      </c>
      <c r="O66" s="365">
        <v>1975.1375776595739</v>
      </c>
      <c r="P66" s="365">
        <v>1975.1375776595739</v>
      </c>
      <c r="Q66" s="365">
        <v>1975.1375776595739</v>
      </c>
      <c r="R66" s="365">
        <v>1975.1375776595739</v>
      </c>
      <c r="S66" s="365">
        <v>1975.1375776595739</v>
      </c>
      <c r="T66" s="365">
        <v>1975.1375776595739</v>
      </c>
      <c r="U66" s="365">
        <v>1975.1375776595739</v>
      </c>
      <c r="V66" s="365">
        <v>1975.1375776595739</v>
      </c>
      <c r="W66" s="365">
        <v>1975.1375776595739</v>
      </c>
      <c r="X66" s="365">
        <v>1975.1375776595739</v>
      </c>
      <c r="Y66" s="365">
        <v>1975.1375776595739</v>
      </c>
      <c r="Z66" s="365">
        <v>1975.1375776595739</v>
      </c>
      <c r="AA66" s="365">
        <v>1975.1375776595739</v>
      </c>
      <c r="AB66" s="365">
        <v>1975.1375776595739</v>
      </c>
      <c r="AC66" s="365">
        <v>1975.1375776595739</v>
      </c>
    </row>
    <row r="67" spans="4:30" x14ac:dyDescent="0.2">
      <c r="D67" s="1" t="s">
        <v>260</v>
      </c>
      <c r="E67" s="365">
        <v>431.8</v>
      </c>
      <c r="F67" s="365">
        <v>431.8</v>
      </c>
      <c r="G67" s="365">
        <v>431.8</v>
      </c>
      <c r="H67" s="365">
        <v>431.8</v>
      </c>
      <c r="I67" s="365">
        <v>431.8</v>
      </c>
      <c r="J67" s="365">
        <v>431.8</v>
      </c>
      <c r="K67" s="365">
        <v>431.8</v>
      </c>
      <c r="L67" s="365">
        <v>431.8</v>
      </c>
      <c r="M67" s="365">
        <v>50.79999999999999</v>
      </c>
      <c r="N67" s="365">
        <v>50.79999999999999</v>
      </c>
      <c r="O67" s="365">
        <v>50.79999999999999</v>
      </c>
      <c r="P67" s="365">
        <v>50.79999999999999</v>
      </c>
      <c r="Q67" s="365">
        <v>50.79999999999999</v>
      </c>
      <c r="R67" s="365">
        <v>50.79999999999999</v>
      </c>
      <c r="S67" s="365">
        <v>50.79999999999999</v>
      </c>
      <c r="T67" s="365">
        <v>50.79999999999999</v>
      </c>
      <c r="U67" s="365">
        <v>50.79999999999999</v>
      </c>
      <c r="V67" s="365">
        <v>50.79999999999999</v>
      </c>
      <c r="W67" s="365">
        <v>50.79999999999999</v>
      </c>
      <c r="X67" s="365">
        <v>50.79999999999999</v>
      </c>
      <c r="Y67" s="365">
        <v>50.79999999999999</v>
      </c>
      <c r="Z67" s="365">
        <v>50.79999999999999</v>
      </c>
      <c r="AA67" s="365">
        <v>50.79999999999999</v>
      </c>
      <c r="AB67" s="365">
        <v>50.79999999999999</v>
      </c>
      <c r="AC67" s="365">
        <v>50.79999999999999</v>
      </c>
    </row>
    <row r="68" spans="4:30" x14ac:dyDescent="0.2">
      <c r="D68" s="347" t="s">
        <v>261</v>
      </c>
      <c r="E68" s="346">
        <f t="shared" ref="E68:AC68" si="19">SUM(E64:E67)</f>
        <v>226184.82415946363</v>
      </c>
      <c r="F68" s="346">
        <f t="shared" si="19"/>
        <v>229679.32220799074</v>
      </c>
      <c r="G68" s="346">
        <f t="shared" si="19"/>
        <v>237934.36564218119</v>
      </c>
      <c r="H68" s="346">
        <f t="shared" si="19"/>
        <v>244470.85246745701</v>
      </c>
      <c r="I68" s="346">
        <f t="shared" si="19"/>
        <v>246163.32382551691</v>
      </c>
      <c r="J68" s="346">
        <f t="shared" si="19"/>
        <v>249632.12997608702</v>
      </c>
      <c r="K68" s="346">
        <f t="shared" si="19"/>
        <v>257701.20060458576</v>
      </c>
      <c r="L68" s="346">
        <f t="shared" si="19"/>
        <v>265897.35094775667</v>
      </c>
      <c r="M68" s="346">
        <f t="shared" si="19"/>
        <v>15677.327035220336</v>
      </c>
      <c r="N68" s="346">
        <f t="shared" si="19"/>
        <v>15677.327035220334</v>
      </c>
      <c r="O68" s="346">
        <f t="shared" si="19"/>
        <v>15677.327035220334</v>
      </c>
      <c r="P68" s="346">
        <f t="shared" si="19"/>
        <v>15677.327035220334</v>
      </c>
      <c r="Q68" s="346">
        <f t="shared" si="19"/>
        <v>15677.327035220334</v>
      </c>
      <c r="R68" s="346">
        <f t="shared" si="19"/>
        <v>15677.327035220334</v>
      </c>
      <c r="S68" s="346">
        <f t="shared" si="19"/>
        <v>15677.327035220334</v>
      </c>
      <c r="T68" s="346">
        <f t="shared" si="19"/>
        <v>15677.327035220334</v>
      </c>
      <c r="U68" s="346">
        <f t="shared" si="19"/>
        <v>15677.327035220334</v>
      </c>
      <c r="V68" s="346">
        <f t="shared" si="19"/>
        <v>15677.327035220334</v>
      </c>
      <c r="W68" s="346">
        <f t="shared" si="19"/>
        <v>15677.327035220334</v>
      </c>
      <c r="X68" s="346">
        <f t="shared" si="19"/>
        <v>15677.327035220334</v>
      </c>
      <c r="Y68" s="346">
        <f t="shared" si="19"/>
        <v>15677.327035220334</v>
      </c>
      <c r="Z68" s="346">
        <f t="shared" si="19"/>
        <v>15677.327035220334</v>
      </c>
      <c r="AA68" s="346">
        <f t="shared" si="19"/>
        <v>15677.327035220334</v>
      </c>
      <c r="AB68" s="346">
        <f t="shared" si="19"/>
        <v>15677.327035220334</v>
      </c>
      <c r="AC68" s="346">
        <f t="shared" si="19"/>
        <v>15677.327035220334</v>
      </c>
    </row>
    <row r="70" spans="4:30" x14ac:dyDescent="0.2">
      <c r="D70" s="3" t="s">
        <v>262</v>
      </c>
    </row>
    <row r="71" spans="4:30" x14ac:dyDescent="0.2">
      <c r="D71" s="1" t="s">
        <v>263</v>
      </c>
      <c r="E71" s="339">
        <v>142.04786429366874</v>
      </c>
      <c r="F71" s="339">
        <v>162.05688977686194</v>
      </c>
      <c r="G71" s="339">
        <v>186.60488911690064</v>
      </c>
      <c r="H71" s="339">
        <v>122.83774064103434</v>
      </c>
      <c r="I71" s="339">
        <v>130.24343850278612</v>
      </c>
      <c r="J71" s="339">
        <v>138.6759740958957</v>
      </c>
      <c r="K71" s="339">
        <v>148.51821002388198</v>
      </c>
      <c r="L71" s="339">
        <v>160.32414922321337</v>
      </c>
      <c r="M71" s="339">
        <v>174.17296686042167</v>
      </c>
      <c r="N71" s="339">
        <v>190.57206625740201</v>
      </c>
      <c r="O71" s="339">
        <v>210.18539585190723</v>
      </c>
      <c r="P71" s="339">
        <v>233.88643875946369</v>
      </c>
      <c r="Q71" s="339">
        <v>262.8297988659786</v>
      </c>
      <c r="R71" s="339">
        <v>298.5480107575662</v>
      </c>
      <c r="S71" s="339">
        <v>343.08258105590016</v>
      </c>
      <c r="T71" s="339">
        <v>399.1615079862641</v>
      </c>
      <c r="U71" s="339">
        <v>470.43993532654861</v>
      </c>
      <c r="V71" s="339">
        <v>561.82660028966109</v>
      </c>
      <c r="W71" s="339">
        <v>679.92691047143285</v>
      </c>
      <c r="X71" s="339">
        <v>833.64462102911079</v>
      </c>
      <c r="Y71" s="339">
        <v>1044.7723055063409</v>
      </c>
      <c r="Z71" s="339">
        <v>1329.3477767818699</v>
      </c>
      <c r="AA71" s="339">
        <v>1458.0439763198535</v>
      </c>
      <c r="AB71" s="339">
        <v>1617.8796211570836</v>
      </c>
      <c r="AC71" s="339">
        <v>1759.8816525302157</v>
      </c>
      <c r="AD71" s="344"/>
    </row>
    <row r="72" spans="4:30" s="348" customFormat="1" x14ac:dyDescent="0.2">
      <c r="D72" s="1" t="s">
        <v>257</v>
      </c>
      <c r="E72" s="339">
        <v>13694.170646684472</v>
      </c>
      <c r="F72" s="339">
        <v>15260.467265731251</v>
      </c>
      <c r="G72" s="339">
        <v>17113.353864552675</v>
      </c>
      <c r="H72" s="339">
        <v>1494.2313922662825</v>
      </c>
      <c r="I72" s="339">
        <v>1626.68236995288</v>
      </c>
      <c r="J72" s="339">
        <v>1771.8923989745902</v>
      </c>
      <c r="K72" s="339">
        <v>1931.1367620178307</v>
      </c>
      <c r="L72" s="339">
        <v>2105.8216633428829</v>
      </c>
      <c r="M72" s="339">
        <v>2297.4980266298962</v>
      </c>
      <c r="N72" s="339">
        <v>2507.8768093970775</v>
      </c>
      <c r="O72" s="339">
        <v>2738.8460174222123</v>
      </c>
      <c r="P72" s="339">
        <v>2992.4896300249166</v>
      </c>
      <c r="Q72" s="339">
        <v>3271.1086801853353</v>
      </c>
      <c r="R72" s="339">
        <v>3577.2447738644278</v>
      </c>
      <c r="S72" s="339">
        <v>3913.7063826474755</v>
      </c>
      <c r="T72" s="339">
        <v>4283.5983057364274</v>
      </c>
      <c r="U72" s="339">
        <v>4690.3547750797816</v>
      </c>
      <c r="V72" s="339">
        <v>5137.7767760095549</v>
      </c>
      <c r="W72" s="339">
        <v>5630.0742817983464</v>
      </c>
      <c r="X72" s="339">
        <v>6171.9142629739363</v>
      </c>
      <c r="Y72" s="339">
        <v>6773.4321884260162</v>
      </c>
      <c r="Z72" s="339">
        <v>7440.2760595560212</v>
      </c>
      <c r="AA72" s="339">
        <v>8173.8297290091787</v>
      </c>
      <c r="AB72" s="339">
        <v>8985.0434955982273</v>
      </c>
      <c r="AC72" s="339">
        <v>9883.5425240653167</v>
      </c>
      <c r="AD72" s="352"/>
    </row>
    <row r="73" spans="4:30" x14ac:dyDescent="0.2">
      <c r="D73" s="1" t="s">
        <v>258</v>
      </c>
      <c r="E73" s="365">
        <v>1351.0384332584272</v>
      </c>
      <c r="F73" s="365">
        <v>1528.6557714952719</v>
      </c>
      <c r="G73" s="365">
        <v>1743.8119541254098</v>
      </c>
      <c r="H73" s="365">
        <v>1031.6023272179968</v>
      </c>
      <c r="I73" s="365">
        <v>1098.548366692891</v>
      </c>
      <c r="J73" s="365">
        <v>1174.1671556546116</v>
      </c>
      <c r="K73" s="365">
        <v>1261.3137047007394</v>
      </c>
      <c r="L73" s="365">
        <v>1364.0714631236842</v>
      </c>
      <c r="M73" s="365">
        <v>1483.170826689716</v>
      </c>
      <c r="N73" s="365">
        <v>1622.3977739193083</v>
      </c>
      <c r="O73" s="365">
        <v>1786.6681887538764</v>
      </c>
      <c r="P73" s="365">
        <v>1982.4058672844999</v>
      </c>
      <c r="Q73" s="365">
        <v>2218.0526968643908</v>
      </c>
      <c r="R73" s="365">
        <v>2504.7580577219142</v>
      </c>
      <c r="S73" s="365">
        <v>2857.3113900032467</v>
      </c>
      <c r="T73" s="365">
        <v>3295.4048576908654</v>
      </c>
      <c r="U73" s="365">
        <v>3845.3443324037662</v>
      </c>
      <c r="V73" s="365">
        <v>4542.3695235565301</v>
      </c>
      <c r="W73" s="365">
        <v>5433.8020988891603</v>
      </c>
      <c r="X73" s="365">
        <v>6583.3196645959915</v>
      </c>
      <c r="Y73" s="339">
        <v>8146.1642982752492</v>
      </c>
      <c r="Z73" s="339">
        <v>10236.744865612927</v>
      </c>
      <c r="AA73" s="339">
        <v>11228.30416100498</v>
      </c>
      <c r="AB73" s="339">
        <v>12448.749099063714</v>
      </c>
      <c r="AC73" s="339">
        <v>13551.479464425609</v>
      </c>
      <c r="AD73" s="350"/>
    </row>
    <row r="74" spans="4:30" x14ac:dyDescent="0.2">
      <c r="D74" s="1" t="s">
        <v>259</v>
      </c>
      <c r="E74" s="365">
        <v>25860.553145851773</v>
      </c>
      <c r="F74" s="365">
        <v>28307.852351659458</v>
      </c>
      <c r="G74" s="365">
        <v>31049.054618268074</v>
      </c>
      <c r="H74" s="365">
        <v>15858.501081353103</v>
      </c>
      <c r="I74" s="365">
        <v>17268.491799401036</v>
      </c>
      <c r="J74" s="365">
        <v>18818.383878098124</v>
      </c>
      <c r="K74" s="365">
        <v>20524.716728206411</v>
      </c>
      <c r="L74" s="365">
        <v>22406.845923354394</v>
      </c>
      <c r="M74" s="365">
        <v>24482.748535373172</v>
      </c>
      <c r="N74" s="365">
        <v>26775.527090175656</v>
      </c>
      <c r="O74" s="365">
        <v>29311.905508136475</v>
      </c>
      <c r="P74" s="365">
        <v>32123.042197849209</v>
      </c>
      <c r="Q74" s="365">
        <v>35245.582212846573</v>
      </c>
      <c r="R74" s="365">
        <v>38723.028245413654</v>
      </c>
      <c r="S74" s="365">
        <v>42607.538131041285</v>
      </c>
      <c r="T74" s="365">
        <v>46962.294359198502</v>
      </c>
      <c r="U74" s="365">
        <v>51864.642383942286</v>
      </c>
      <c r="V74" s="365">
        <v>57410.264130927404</v>
      </c>
      <c r="W74" s="365">
        <v>63718.747571309541</v>
      </c>
      <c r="X74" s="365">
        <v>70941.041505161644</v>
      </c>
      <c r="Y74" s="339">
        <v>79338.100909082947</v>
      </c>
      <c r="Z74" s="339">
        <v>89155.590737258506</v>
      </c>
      <c r="AA74" s="339">
        <v>97421.401661078373</v>
      </c>
      <c r="AB74" s="339">
        <v>106604.44902850696</v>
      </c>
      <c r="AC74" s="339">
        <v>116483.92452524081</v>
      </c>
      <c r="AD74" s="350"/>
    </row>
    <row r="75" spans="4:30" x14ac:dyDescent="0.2">
      <c r="D75" s="347" t="s">
        <v>264</v>
      </c>
      <c r="E75" s="346">
        <f t="shared" ref="E75:AC75" si="20">SUM(E71:E74)</f>
        <v>41047.810090088344</v>
      </c>
      <c r="F75" s="346">
        <f t="shared" si="20"/>
        <v>45259.032278662839</v>
      </c>
      <c r="G75" s="346">
        <f t="shared" si="20"/>
        <v>50092.825326063059</v>
      </c>
      <c r="H75" s="346">
        <f t="shared" si="20"/>
        <v>18507.172541478416</v>
      </c>
      <c r="I75" s="346">
        <f t="shared" si="20"/>
        <v>20123.965974549592</v>
      </c>
      <c r="J75" s="346">
        <f t="shared" si="20"/>
        <v>21903.119406823222</v>
      </c>
      <c r="K75" s="346">
        <f t="shared" si="20"/>
        <v>23865.685404948865</v>
      </c>
      <c r="L75" s="346">
        <f t="shared" si="20"/>
        <v>26037.063199044176</v>
      </c>
      <c r="M75" s="346">
        <f t="shared" si="20"/>
        <v>28437.590355553206</v>
      </c>
      <c r="N75" s="346">
        <f t="shared" si="20"/>
        <v>31096.373739749444</v>
      </c>
      <c r="O75" s="346">
        <f t="shared" si="20"/>
        <v>34047.60511016447</v>
      </c>
      <c r="P75" s="346">
        <f t="shared" si="20"/>
        <v>37331.82413391809</v>
      </c>
      <c r="Q75" s="346">
        <f t="shared" si="20"/>
        <v>40997.573388762277</v>
      </c>
      <c r="R75" s="346">
        <f t="shared" si="20"/>
        <v>45103.579087757564</v>
      </c>
      <c r="S75" s="346">
        <f t="shared" si="20"/>
        <v>49721.638484747906</v>
      </c>
      <c r="T75" s="346">
        <f t="shared" si="20"/>
        <v>54940.459030612059</v>
      </c>
      <c r="U75" s="346">
        <f t="shared" si="20"/>
        <v>60870.781426752379</v>
      </c>
      <c r="V75" s="346">
        <f t="shared" si="20"/>
        <v>67652.237030783144</v>
      </c>
      <c r="W75" s="346">
        <f t="shared" si="20"/>
        <v>75462.550862468488</v>
      </c>
      <c r="X75" s="346">
        <f t="shared" si="20"/>
        <v>84529.920053760681</v>
      </c>
      <c r="Y75" s="346">
        <f t="shared" si="20"/>
        <v>95302.469701290553</v>
      </c>
      <c r="Z75" s="346">
        <f t="shared" si="20"/>
        <v>108161.95943920933</v>
      </c>
      <c r="AA75" s="346">
        <f t="shared" si="20"/>
        <v>118281.57952741238</v>
      </c>
      <c r="AB75" s="346">
        <f t="shared" si="20"/>
        <v>129656.12124432599</v>
      </c>
      <c r="AC75" s="346">
        <f t="shared" si="20"/>
        <v>141678.82816626196</v>
      </c>
    </row>
    <row r="77" spans="4:30" x14ac:dyDescent="0.2">
      <c r="D77" s="3" t="s">
        <v>265</v>
      </c>
    </row>
    <row r="78" spans="4:30" x14ac:dyDescent="0.2">
      <c r="D78" s="3" t="s">
        <v>257</v>
      </c>
      <c r="E78" s="349">
        <f t="shared" ref="E78:AC78" si="21">E64+E72</f>
        <v>205417.28652276783</v>
      </c>
      <c r="F78" s="349">
        <f t="shared" si="21"/>
        <v>210478.08119034173</v>
      </c>
      <c r="G78" s="349">
        <f t="shared" si="21"/>
        <v>220586.01122335359</v>
      </c>
      <c r="H78" s="349">
        <f t="shared" si="21"/>
        <v>211503.37557634301</v>
      </c>
      <c r="I78" s="349">
        <f t="shared" si="21"/>
        <v>213328.2979120895</v>
      </c>
      <c r="J78" s="349">
        <f t="shared" si="21"/>
        <v>216942.31409168136</v>
      </c>
      <c r="K78" s="349">
        <f t="shared" si="21"/>
        <v>225170.62908322332</v>
      </c>
      <c r="L78" s="349">
        <f t="shared" si="21"/>
        <v>233541.4643277193</v>
      </c>
      <c r="M78" s="349">
        <f t="shared" si="21"/>
        <v>15913.39184002066</v>
      </c>
      <c r="N78" s="349">
        <f t="shared" si="21"/>
        <v>16123.770622787839</v>
      </c>
      <c r="O78" s="349">
        <f t="shared" si="21"/>
        <v>16354.739830812974</v>
      </c>
      <c r="P78" s="349">
        <f t="shared" si="21"/>
        <v>16608.383443415678</v>
      </c>
      <c r="Q78" s="349">
        <f t="shared" si="21"/>
        <v>16887.002493576096</v>
      </c>
      <c r="R78" s="349">
        <f t="shared" si="21"/>
        <v>17193.138587255191</v>
      </c>
      <c r="S78" s="349">
        <f t="shared" si="21"/>
        <v>17529.600196038238</v>
      </c>
      <c r="T78" s="349">
        <f t="shared" si="21"/>
        <v>17899.49211912719</v>
      </c>
      <c r="U78" s="349">
        <f t="shared" si="21"/>
        <v>18306.248588470542</v>
      </c>
      <c r="V78" s="349">
        <f t="shared" si="21"/>
        <v>18753.670589400317</v>
      </c>
      <c r="W78" s="349">
        <f t="shared" si="21"/>
        <v>19245.968095189106</v>
      </c>
      <c r="X78" s="349">
        <f t="shared" si="21"/>
        <v>19787.808076364698</v>
      </c>
      <c r="Y78" s="349">
        <f t="shared" si="21"/>
        <v>20389.326001816778</v>
      </c>
      <c r="Z78" s="349">
        <f t="shared" si="21"/>
        <v>21056.169872946783</v>
      </c>
      <c r="AA78" s="349">
        <f t="shared" si="21"/>
        <v>21789.723542399941</v>
      </c>
      <c r="AB78" s="349">
        <f t="shared" si="21"/>
        <v>22600.937308988989</v>
      </c>
      <c r="AC78" s="349">
        <f t="shared" si="21"/>
        <v>23499.436337456078</v>
      </c>
    </row>
    <row r="79" spans="4:30" x14ac:dyDescent="0.2">
      <c r="D79" s="3" t="str">
        <f>D53</f>
        <v>Safety risk</v>
      </c>
      <c r="E79" s="349">
        <f t="shared" ref="E79:AC79" si="22">E65+E73</f>
        <v>1803.6078964259273</v>
      </c>
      <c r="F79" s="349">
        <f t="shared" si="22"/>
        <v>1981.225234662772</v>
      </c>
      <c r="G79" s="349">
        <f t="shared" si="22"/>
        <v>2196.3814172929101</v>
      </c>
      <c r="H79" s="349">
        <f t="shared" si="22"/>
        <v>1484.1717903854969</v>
      </c>
      <c r="I79" s="349">
        <f t="shared" si="22"/>
        <v>1551.1178298603911</v>
      </c>
      <c r="J79" s="349">
        <f t="shared" si="22"/>
        <v>1626.7366188221117</v>
      </c>
      <c r="K79" s="349">
        <f t="shared" si="22"/>
        <v>1713.8831678682395</v>
      </c>
      <c r="L79" s="349">
        <f t="shared" si="22"/>
        <v>1816.6409262911843</v>
      </c>
      <c r="M79" s="349">
        <f t="shared" si="22"/>
        <v>1518.6664708597161</v>
      </c>
      <c r="N79" s="349">
        <f t="shared" si="22"/>
        <v>1657.8934180893084</v>
      </c>
      <c r="O79" s="349">
        <f t="shared" si="22"/>
        <v>1822.1638329238765</v>
      </c>
      <c r="P79" s="349">
        <f t="shared" si="22"/>
        <v>2017.9015114545</v>
      </c>
      <c r="Q79" s="349">
        <f t="shared" si="22"/>
        <v>2253.5483410343909</v>
      </c>
      <c r="R79" s="349">
        <f t="shared" si="22"/>
        <v>2540.2537018919143</v>
      </c>
      <c r="S79" s="349">
        <f t="shared" si="22"/>
        <v>2892.8070341732468</v>
      </c>
      <c r="T79" s="349">
        <f t="shared" si="22"/>
        <v>3330.9005018608655</v>
      </c>
      <c r="U79" s="349">
        <f t="shared" si="22"/>
        <v>3880.8399765737663</v>
      </c>
      <c r="V79" s="349">
        <f t="shared" si="22"/>
        <v>4577.8651677265298</v>
      </c>
      <c r="W79" s="349">
        <f t="shared" si="22"/>
        <v>5469.29774305916</v>
      </c>
      <c r="X79" s="349">
        <f t="shared" si="22"/>
        <v>6618.8153087659912</v>
      </c>
      <c r="Y79" s="349">
        <f t="shared" si="22"/>
        <v>8181.6599424452488</v>
      </c>
      <c r="Z79" s="349">
        <f t="shared" si="22"/>
        <v>10272.240509782927</v>
      </c>
      <c r="AA79" s="349">
        <f t="shared" si="22"/>
        <v>11263.79980517498</v>
      </c>
      <c r="AB79" s="349">
        <f t="shared" si="22"/>
        <v>12484.244743233714</v>
      </c>
      <c r="AC79" s="349">
        <f t="shared" si="22"/>
        <v>13586.975108595609</v>
      </c>
    </row>
    <row r="80" spans="4:30" x14ac:dyDescent="0.2">
      <c r="D80" s="3" t="str">
        <f>D54</f>
        <v>Unplanned replacement</v>
      </c>
      <c r="E80" s="349">
        <f t="shared" ref="E80:AC80" si="23">E66+E74</f>
        <v>59437.891966064541</v>
      </c>
      <c r="F80" s="349">
        <f t="shared" si="23"/>
        <v>61885.191171872226</v>
      </c>
      <c r="G80" s="349">
        <f t="shared" si="23"/>
        <v>64626.393438480838</v>
      </c>
      <c r="H80" s="349">
        <f t="shared" si="23"/>
        <v>49435.839901565872</v>
      </c>
      <c r="I80" s="349">
        <f t="shared" si="23"/>
        <v>50845.8306196138</v>
      </c>
      <c r="J80" s="349">
        <f t="shared" si="23"/>
        <v>52395.722698310892</v>
      </c>
      <c r="K80" s="349">
        <f t="shared" si="23"/>
        <v>54102.055548419179</v>
      </c>
      <c r="L80" s="349">
        <f t="shared" si="23"/>
        <v>55984.184743567166</v>
      </c>
      <c r="M80" s="349">
        <f t="shared" si="23"/>
        <v>26457.886113032746</v>
      </c>
      <c r="N80" s="349">
        <f t="shared" si="23"/>
        <v>28750.66466783523</v>
      </c>
      <c r="O80" s="349">
        <f t="shared" si="23"/>
        <v>31287.043085796049</v>
      </c>
      <c r="P80" s="349">
        <f t="shared" si="23"/>
        <v>34098.179775508783</v>
      </c>
      <c r="Q80" s="349">
        <f t="shared" si="23"/>
        <v>37220.719790506148</v>
      </c>
      <c r="R80" s="349">
        <f t="shared" si="23"/>
        <v>40698.165823073228</v>
      </c>
      <c r="S80" s="349">
        <f t="shared" si="23"/>
        <v>44582.675708700859</v>
      </c>
      <c r="T80" s="349">
        <f t="shared" si="23"/>
        <v>48937.431936858076</v>
      </c>
      <c r="U80" s="349">
        <f t="shared" si="23"/>
        <v>53839.77996160186</v>
      </c>
      <c r="V80" s="349">
        <f t="shared" si="23"/>
        <v>59385.401708586978</v>
      </c>
      <c r="W80" s="349">
        <f t="shared" si="23"/>
        <v>65693.885148969115</v>
      </c>
      <c r="X80" s="349">
        <f t="shared" si="23"/>
        <v>72916.179082821211</v>
      </c>
      <c r="Y80" s="349">
        <f t="shared" si="23"/>
        <v>81313.238486742513</v>
      </c>
      <c r="Z80" s="349">
        <f t="shared" si="23"/>
        <v>91130.728314918073</v>
      </c>
      <c r="AA80" s="349">
        <f t="shared" si="23"/>
        <v>99396.53923873794</v>
      </c>
      <c r="AB80" s="349">
        <f t="shared" si="23"/>
        <v>108579.58660616653</v>
      </c>
      <c r="AC80" s="349">
        <f t="shared" si="23"/>
        <v>118459.06210290038</v>
      </c>
    </row>
    <row r="81" spans="4:29" x14ac:dyDescent="0.2">
      <c r="D81" s="3" t="str">
        <f>D55</f>
        <v>Unplanned fault</v>
      </c>
      <c r="E81" s="349">
        <f t="shared" ref="E81:AC81" si="24">E67</f>
        <v>431.8</v>
      </c>
      <c r="F81" s="349">
        <f t="shared" si="24"/>
        <v>431.8</v>
      </c>
      <c r="G81" s="349">
        <f t="shared" si="24"/>
        <v>431.8</v>
      </c>
      <c r="H81" s="349">
        <f t="shared" si="24"/>
        <v>431.8</v>
      </c>
      <c r="I81" s="349">
        <f t="shared" si="24"/>
        <v>431.8</v>
      </c>
      <c r="J81" s="349">
        <f t="shared" si="24"/>
        <v>431.8</v>
      </c>
      <c r="K81" s="349">
        <f t="shared" si="24"/>
        <v>431.8</v>
      </c>
      <c r="L81" s="349">
        <f t="shared" si="24"/>
        <v>431.8</v>
      </c>
      <c r="M81" s="349">
        <f t="shared" si="24"/>
        <v>50.79999999999999</v>
      </c>
      <c r="N81" s="349">
        <f t="shared" si="24"/>
        <v>50.79999999999999</v>
      </c>
      <c r="O81" s="349">
        <f t="shared" si="24"/>
        <v>50.79999999999999</v>
      </c>
      <c r="P81" s="349">
        <f t="shared" si="24"/>
        <v>50.79999999999999</v>
      </c>
      <c r="Q81" s="349">
        <f t="shared" si="24"/>
        <v>50.79999999999999</v>
      </c>
      <c r="R81" s="349">
        <f t="shared" si="24"/>
        <v>50.79999999999999</v>
      </c>
      <c r="S81" s="349">
        <f t="shared" si="24"/>
        <v>50.79999999999999</v>
      </c>
      <c r="T81" s="349">
        <f t="shared" si="24"/>
        <v>50.79999999999999</v>
      </c>
      <c r="U81" s="349">
        <f t="shared" si="24"/>
        <v>50.79999999999999</v>
      </c>
      <c r="V81" s="349">
        <f t="shared" si="24"/>
        <v>50.79999999999999</v>
      </c>
      <c r="W81" s="349">
        <f t="shared" si="24"/>
        <v>50.79999999999999</v>
      </c>
      <c r="X81" s="349">
        <f t="shared" si="24"/>
        <v>50.79999999999999</v>
      </c>
      <c r="Y81" s="349">
        <f t="shared" si="24"/>
        <v>50.79999999999999</v>
      </c>
      <c r="Z81" s="349">
        <f t="shared" si="24"/>
        <v>50.79999999999999</v>
      </c>
      <c r="AA81" s="349">
        <f t="shared" si="24"/>
        <v>50.79999999999999</v>
      </c>
      <c r="AB81" s="349">
        <f t="shared" si="24"/>
        <v>50.79999999999999</v>
      </c>
      <c r="AC81" s="349">
        <f t="shared" si="24"/>
        <v>50.79999999999999</v>
      </c>
    </row>
    <row r="82" spans="4:29" x14ac:dyDescent="0.2">
      <c r="D82" s="3" t="str">
        <f>D56</f>
        <v>Environmental risk</v>
      </c>
      <c r="E82" s="349">
        <f>E71</f>
        <v>142.04786429366874</v>
      </c>
      <c r="F82" s="349">
        <f t="shared" ref="F82:AC82" si="25">F71</f>
        <v>162.05688977686194</v>
      </c>
      <c r="G82" s="349">
        <f t="shared" si="25"/>
        <v>186.60488911690064</v>
      </c>
      <c r="H82" s="349">
        <f t="shared" si="25"/>
        <v>122.83774064103434</v>
      </c>
      <c r="I82" s="349">
        <f t="shared" si="25"/>
        <v>130.24343850278612</v>
      </c>
      <c r="J82" s="349">
        <f t="shared" si="25"/>
        <v>138.6759740958957</v>
      </c>
      <c r="K82" s="349">
        <f t="shared" si="25"/>
        <v>148.51821002388198</v>
      </c>
      <c r="L82" s="349">
        <f t="shared" si="25"/>
        <v>160.32414922321337</v>
      </c>
      <c r="M82" s="349">
        <f t="shared" si="25"/>
        <v>174.17296686042167</v>
      </c>
      <c r="N82" s="349">
        <f t="shared" si="25"/>
        <v>190.57206625740201</v>
      </c>
      <c r="O82" s="349">
        <f t="shared" si="25"/>
        <v>210.18539585190723</v>
      </c>
      <c r="P82" s="349">
        <f t="shared" si="25"/>
        <v>233.88643875946369</v>
      </c>
      <c r="Q82" s="349">
        <f t="shared" si="25"/>
        <v>262.8297988659786</v>
      </c>
      <c r="R82" s="349">
        <f t="shared" si="25"/>
        <v>298.5480107575662</v>
      </c>
      <c r="S82" s="349">
        <f t="shared" si="25"/>
        <v>343.08258105590016</v>
      </c>
      <c r="T82" s="349">
        <f t="shared" si="25"/>
        <v>399.1615079862641</v>
      </c>
      <c r="U82" s="349">
        <f t="shared" si="25"/>
        <v>470.43993532654861</v>
      </c>
      <c r="V82" s="349">
        <f t="shared" si="25"/>
        <v>561.82660028966109</v>
      </c>
      <c r="W82" s="349">
        <f t="shared" si="25"/>
        <v>679.92691047143285</v>
      </c>
      <c r="X82" s="349">
        <f t="shared" si="25"/>
        <v>833.64462102911079</v>
      </c>
      <c r="Y82" s="349">
        <f t="shared" si="25"/>
        <v>1044.7723055063409</v>
      </c>
      <c r="Z82" s="349">
        <f t="shared" si="25"/>
        <v>1329.3477767818699</v>
      </c>
      <c r="AA82" s="349">
        <f t="shared" si="25"/>
        <v>1458.0439763198535</v>
      </c>
      <c r="AB82" s="349">
        <f t="shared" si="25"/>
        <v>1617.8796211570836</v>
      </c>
      <c r="AC82" s="349">
        <f t="shared" si="25"/>
        <v>1759.8816525302157</v>
      </c>
    </row>
    <row r="83" spans="4:29" x14ac:dyDescent="0.2">
      <c r="D83" s="347" t="s">
        <v>266</v>
      </c>
      <c r="E83" s="346">
        <f t="shared" ref="E83:AC83" si="26">SUM(E78:E82)</f>
        <v>267232.63424955198</v>
      </c>
      <c r="F83" s="346">
        <f t="shared" si="26"/>
        <v>274938.35448665352</v>
      </c>
      <c r="G83" s="346">
        <f t="shared" si="26"/>
        <v>288027.19096824422</v>
      </c>
      <c r="H83" s="346">
        <f t="shared" si="26"/>
        <v>262978.02500893542</v>
      </c>
      <c r="I83" s="346">
        <f t="shared" si="26"/>
        <v>266287.28980006644</v>
      </c>
      <c r="J83" s="346">
        <f t="shared" si="26"/>
        <v>271535.24938291026</v>
      </c>
      <c r="K83" s="346">
        <f t="shared" si="26"/>
        <v>281566.88600953459</v>
      </c>
      <c r="L83" s="346">
        <f t="shared" si="26"/>
        <v>291934.41414680087</v>
      </c>
      <c r="M83" s="346">
        <f t="shared" si="26"/>
        <v>44114.917390773553</v>
      </c>
      <c r="N83" s="346">
        <f t="shared" si="26"/>
        <v>46773.70077496978</v>
      </c>
      <c r="O83" s="346">
        <f t="shared" si="26"/>
        <v>49724.93214538481</v>
      </c>
      <c r="P83" s="346">
        <f t="shared" si="26"/>
        <v>53009.151169138429</v>
      </c>
      <c r="Q83" s="346">
        <f t="shared" si="26"/>
        <v>56674.900423982617</v>
      </c>
      <c r="R83" s="346">
        <f t="shared" si="26"/>
        <v>60780.906122977896</v>
      </c>
      <c r="S83" s="346">
        <f t="shared" si="26"/>
        <v>65398.965519968246</v>
      </c>
      <c r="T83" s="346">
        <f t="shared" si="26"/>
        <v>70617.786065832406</v>
      </c>
      <c r="U83" s="346">
        <f t="shared" si="26"/>
        <v>76548.108461972719</v>
      </c>
      <c r="V83" s="346">
        <f t="shared" si="26"/>
        <v>83329.564066003484</v>
      </c>
      <c r="W83" s="346">
        <f t="shared" si="26"/>
        <v>91139.877897688813</v>
      </c>
      <c r="X83" s="346">
        <f t="shared" si="26"/>
        <v>100207.24708898102</v>
      </c>
      <c r="Y83" s="346">
        <f t="shared" si="26"/>
        <v>110979.79673651089</v>
      </c>
      <c r="Z83" s="346">
        <f t="shared" si="26"/>
        <v>123839.28647442965</v>
      </c>
      <c r="AA83" s="346">
        <f t="shared" si="26"/>
        <v>133958.90656263271</v>
      </c>
      <c r="AB83" s="346">
        <f t="shared" si="26"/>
        <v>145333.44827954628</v>
      </c>
      <c r="AC83" s="346">
        <f t="shared" si="26"/>
        <v>157356.1552014823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972B-C094-4944-A1A4-F0D5D3F70D73}">
  <sheetPr codeName="Sheet12"/>
  <dimension ref="A1:AJ91"/>
  <sheetViews>
    <sheetView showGridLines="0" zoomScale="85" zoomScaleNormal="85" workbookViewId="0">
      <selection activeCell="A2" sqref="A2"/>
    </sheetView>
  </sheetViews>
  <sheetFormatPr defaultColWidth="8.25" defaultRowHeight="12.75" x14ac:dyDescent="0.2"/>
  <cols>
    <col min="1" max="1" width="23.125" style="353" customWidth="1"/>
    <col min="2" max="2" width="12.5" style="353" customWidth="1"/>
    <col min="3" max="3" width="20.25" style="353" customWidth="1"/>
    <col min="4" max="4" width="21.375" style="353" customWidth="1"/>
    <col min="5" max="7" width="13.5" style="353" customWidth="1"/>
    <col min="8" max="8" width="15.875" style="353" customWidth="1"/>
    <col min="9" max="11" width="15.25" style="353" customWidth="1"/>
    <col min="12" max="12" width="13.375" style="353" customWidth="1"/>
    <col min="13" max="13" width="15.25" style="353" customWidth="1"/>
    <col min="14" max="14" width="13.5" style="353" customWidth="1"/>
    <col min="15" max="15" width="15.25" style="353" customWidth="1"/>
    <col min="16" max="16" width="13.5" style="353" customWidth="1"/>
    <col min="17" max="17" width="13.375" style="353" customWidth="1"/>
    <col min="18" max="32" width="14.875" style="353" customWidth="1"/>
    <col min="33" max="36" width="14.875" customWidth="1"/>
    <col min="37" max="16384" width="8.25" style="353"/>
  </cols>
  <sheetData>
    <row r="1" spans="1:36" s="1" customFormat="1" ht="18.75" x14ac:dyDescent="0.3">
      <c r="A1" s="15" t="str">
        <f>bus</f>
        <v>CitiPower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408"/>
      <c r="AE1" s="408"/>
      <c r="AF1" s="408"/>
      <c r="AG1" s="408"/>
    </row>
    <row r="2" spans="1:36" s="1" customFormat="1" ht="18.75" x14ac:dyDescent="0.3">
      <c r="A2" s="56" t="str">
        <f>proj</f>
        <v>RD switchboard and relay replacement</v>
      </c>
      <c r="B2" s="1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408"/>
      <c r="AE2" s="408"/>
      <c r="AF2" s="408"/>
      <c r="AG2" s="408"/>
    </row>
    <row r="5" spans="1:36" x14ac:dyDescent="0.2">
      <c r="A5" s="366" t="s">
        <v>268</v>
      </c>
      <c r="B5" s="366" t="s">
        <v>318</v>
      </c>
      <c r="C5" s="367" t="s">
        <v>269</v>
      </c>
      <c r="D5" s="367"/>
      <c r="E5" s="363"/>
      <c r="F5" s="369" t="s">
        <v>270</v>
      </c>
      <c r="G5" s="370" t="s">
        <v>271</v>
      </c>
      <c r="H5" s="367" t="s">
        <v>272</v>
      </c>
      <c r="I5" s="367" t="s">
        <v>273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 x14ac:dyDescent="0.2">
      <c r="A6" s="371" t="s">
        <v>274</v>
      </c>
      <c r="B6" s="372" t="s">
        <v>318</v>
      </c>
      <c r="C6" s="373" t="s">
        <v>275</v>
      </c>
      <c r="D6" s="354"/>
      <c r="E6" s="363"/>
      <c r="F6" s="373" t="s">
        <v>276</v>
      </c>
      <c r="G6" s="374">
        <v>4.2500000000000003E-3</v>
      </c>
      <c r="H6" s="370">
        <v>2</v>
      </c>
      <c r="I6" s="375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</row>
    <row r="7" spans="1:36" x14ac:dyDescent="0.2">
      <c r="A7" s="371" t="s">
        <v>277</v>
      </c>
      <c r="B7" s="372" t="s">
        <v>278</v>
      </c>
      <c r="C7" s="373" t="s">
        <v>279</v>
      </c>
      <c r="D7" s="354"/>
      <c r="E7" s="363"/>
      <c r="F7" s="373" t="s">
        <v>280</v>
      </c>
      <c r="G7" s="374">
        <v>4.2500000000000003E-3</v>
      </c>
      <c r="H7" s="370">
        <v>2</v>
      </c>
      <c r="I7" s="375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3"/>
      <c r="AI7" s="363"/>
      <c r="AJ7" s="363"/>
    </row>
    <row r="8" spans="1:36" x14ac:dyDescent="0.2">
      <c r="A8" s="376" t="s">
        <v>8</v>
      </c>
      <c r="B8" s="355">
        <v>34.344000000000001</v>
      </c>
      <c r="C8" s="376" t="s">
        <v>281</v>
      </c>
      <c r="D8" s="377">
        <v>3950275.1553191487</v>
      </c>
      <c r="E8" s="363"/>
      <c r="F8" s="373" t="s">
        <v>282</v>
      </c>
      <c r="G8" s="374" t="b">
        <v>1</v>
      </c>
      <c r="H8" s="370">
        <v>1</v>
      </c>
      <c r="I8" s="375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</row>
    <row r="9" spans="1:36" x14ac:dyDescent="0.2">
      <c r="A9" s="376" t="s">
        <v>283</v>
      </c>
      <c r="B9" s="391">
        <v>0.5</v>
      </c>
      <c r="C9" s="376" t="s">
        <v>284</v>
      </c>
      <c r="D9" s="377">
        <v>101600</v>
      </c>
      <c r="E9" s="363"/>
      <c r="F9" s="373" t="s">
        <v>285</v>
      </c>
      <c r="G9" s="378">
        <v>0</v>
      </c>
      <c r="H9" s="370">
        <v>1</v>
      </c>
      <c r="I9" s="375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</row>
    <row r="10" spans="1:36" x14ac:dyDescent="0.2">
      <c r="A10" s="379" t="s">
        <v>320</v>
      </c>
      <c r="B10" s="380" t="s">
        <v>286</v>
      </c>
      <c r="C10" s="367" t="s">
        <v>287</v>
      </c>
      <c r="D10" s="366" t="s">
        <v>288</v>
      </c>
      <c r="E10" s="367">
        <v>2025</v>
      </c>
      <c r="F10" s="367">
        <v>2026</v>
      </c>
      <c r="G10" s="367">
        <v>2027</v>
      </c>
      <c r="H10" s="367">
        <v>2028</v>
      </c>
      <c r="I10" s="367">
        <v>2029</v>
      </c>
      <c r="J10" s="367">
        <v>2030</v>
      </c>
      <c r="K10" s="367">
        <v>2031</v>
      </c>
      <c r="L10" s="367">
        <v>2032</v>
      </c>
      <c r="M10" s="367">
        <v>2033</v>
      </c>
      <c r="N10" s="367">
        <v>2034</v>
      </c>
      <c r="O10" s="367">
        <v>2035</v>
      </c>
      <c r="P10" s="367">
        <v>2036</v>
      </c>
      <c r="Q10" s="367">
        <v>2037</v>
      </c>
      <c r="R10" s="367">
        <v>2038</v>
      </c>
      <c r="S10" s="367">
        <v>2039</v>
      </c>
      <c r="T10" s="367">
        <v>2040</v>
      </c>
      <c r="U10" s="367">
        <v>2041</v>
      </c>
      <c r="V10" s="367">
        <v>2042</v>
      </c>
      <c r="W10" s="367">
        <v>2043</v>
      </c>
      <c r="X10" s="367">
        <v>2044</v>
      </c>
      <c r="Y10" s="367">
        <v>2045</v>
      </c>
      <c r="Z10" s="367">
        <v>2046</v>
      </c>
      <c r="AA10" s="367">
        <v>2047</v>
      </c>
      <c r="AB10" s="381">
        <v>2048</v>
      </c>
      <c r="AC10" s="381">
        <v>2049</v>
      </c>
      <c r="AD10" s="381">
        <v>2050</v>
      </c>
      <c r="AE10" s="381">
        <v>2051</v>
      </c>
      <c r="AF10" s="381">
        <v>2052</v>
      </c>
      <c r="AG10" s="381">
        <v>2053</v>
      </c>
      <c r="AH10" s="381">
        <v>2054</v>
      </c>
      <c r="AI10" s="381">
        <v>2055</v>
      </c>
      <c r="AJ10" s="381">
        <v>2056</v>
      </c>
    </row>
    <row r="11" spans="1:36" x14ac:dyDescent="0.2">
      <c r="A11" s="371" t="s">
        <v>289</v>
      </c>
      <c r="B11" s="382" t="b">
        <v>0</v>
      </c>
      <c r="C11" s="383">
        <v>0</v>
      </c>
      <c r="D11" s="371" t="s">
        <v>23</v>
      </c>
      <c r="E11" s="356">
        <v>5003.3946750750492</v>
      </c>
      <c r="F11" s="356">
        <v>5069.6315867382946</v>
      </c>
      <c r="G11" s="356">
        <v>5135.234012571399</v>
      </c>
      <c r="H11" s="356">
        <v>5348.7469599382866</v>
      </c>
      <c r="I11" s="356">
        <v>5554.3010778102107</v>
      </c>
      <c r="J11" s="356">
        <v>5584.7665904768455</v>
      </c>
      <c r="K11" s="356">
        <v>5674.2596709863383</v>
      </c>
      <c r="L11" s="356">
        <v>5909.3275727796945</v>
      </c>
      <c r="M11" s="356">
        <v>6086.5009171411457</v>
      </c>
      <c r="N11" s="356">
        <v>6203.3986834043435</v>
      </c>
      <c r="O11" s="356">
        <v>6203.3986834043435</v>
      </c>
      <c r="P11" s="356">
        <v>6203.3986834043435</v>
      </c>
      <c r="Q11" s="356">
        <v>6203.3986834043435</v>
      </c>
      <c r="R11" s="356">
        <v>6203.3986834043435</v>
      </c>
      <c r="S11" s="356">
        <v>6203.3986834043435</v>
      </c>
      <c r="T11" s="356">
        <v>6203.3986834043435</v>
      </c>
      <c r="U11" s="356">
        <v>6203.3986834043435</v>
      </c>
      <c r="V11" s="356">
        <v>6203.3986834043435</v>
      </c>
      <c r="W11" s="356">
        <v>6203.3986834043435</v>
      </c>
      <c r="X11" s="356">
        <v>6203.3986834043435</v>
      </c>
      <c r="Y11" s="356">
        <v>6203.3986834043435</v>
      </c>
      <c r="Z11" s="356">
        <v>6203.3986834043435</v>
      </c>
      <c r="AA11" s="356">
        <v>6203.3986834043435</v>
      </c>
      <c r="AB11" s="356">
        <v>6203.3986834043435</v>
      </c>
      <c r="AC11" s="356">
        <v>6203.3986834043435</v>
      </c>
      <c r="AD11" s="356">
        <v>6203.3986834043435</v>
      </c>
      <c r="AE11" s="356">
        <v>6203.3986834043435</v>
      </c>
      <c r="AF11" s="356">
        <v>6203.3986834043435</v>
      </c>
      <c r="AG11" s="356">
        <v>6203.3986834043435</v>
      </c>
      <c r="AH11" s="356">
        <v>6203.3986834043435</v>
      </c>
      <c r="AI11" s="356">
        <v>6203.3986834043435</v>
      </c>
      <c r="AJ11" s="356">
        <v>6203.3986834043435</v>
      </c>
    </row>
    <row r="12" spans="1:36" x14ac:dyDescent="0.2">
      <c r="A12" s="371" t="s">
        <v>290</v>
      </c>
      <c r="B12" s="382" t="b">
        <v>1</v>
      </c>
      <c r="C12" s="383">
        <v>50000</v>
      </c>
      <c r="D12" s="371" t="s">
        <v>23</v>
      </c>
      <c r="E12" s="357">
        <v>6737.8719210812669</v>
      </c>
      <c r="F12" s="357">
        <v>6778.9732146930428</v>
      </c>
      <c r="G12" s="357">
        <v>6965.0671708968075</v>
      </c>
      <c r="H12" s="357">
        <v>7268.0819011876447</v>
      </c>
      <c r="I12" s="357">
        <v>7422.8688982701515</v>
      </c>
      <c r="J12" s="357">
        <v>7516.0492753514345</v>
      </c>
      <c r="K12" s="357">
        <v>7643.904786324485</v>
      </c>
      <c r="L12" s="357">
        <v>7878.5746185188518</v>
      </c>
      <c r="M12" s="357">
        <v>8260.6657558398929</v>
      </c>
      <c r="N12" s="357">
        <v>8245.15079979849</v>
      </c>
      <c r="O12" s="357">
        <v>8245.15079979849</v>
      </c>
      <c r="P12" s="357">
        <v>8245.15079979849</v>
      </c>
      <c r="Q12" s="357">
        <v>8245.15079979849</v>
      </c>
      <c r="R12" s="357">
        <v>8245.15079979849</v>
      </c>
      <c r="S12" s="357">
        <v>8245.15079979849</v>
      </c>
      <c r="T12" s="357">
        <v>8245.15079979849</v>
      </c>
      <c r="U12" s="357">
        <v>8245.15079979849</v>
      </c>
      <c r="V12" s="357">
        <v>8245.15079979849</v>
      </c>
      <c r="W12" s="357">
        <v>8245.15079979849</v>
      </c>
      <c r="X12" s="357">
        <v>8245.15079979849</v>
      </c>
      <c r="Y12" s="357">
        <v>8245.15079979849</v>
      </c>
      <c r="Z12" s="357">
        <v>8245.15079979849</v>
      </c>
      <c r="AA12" s="357">
        <v>8245.15079979849</v>
      </c>
      <c r="AB12" s="357">
        <v>8245.15079979849</v>
      </c>
      <c r="AC12" s="357">
        <v>8245.15079979849</v>
      </c>
      <c r="AD12" s="357">
        <v>8245.15079979849</v>
      </c>
      <c r="AE12" s="357">
        <v>8245.15079979849</v>
      </c>
      <c r="AF12" s="357">
        <v>8245.15079979849</v>
      </c>
      <c r="AG12" s="357">
        <v>8245.15079979849</v>
      </c>
      <c r="AH12" s="357">
        <v>8245.15079979849</v>
      </c>
      <c r="AI12" s="357">
        <v>8245.15079979849</v>
      </c>
      <c r="AJ12" s="357">
        <v>8245.15079979849</v>
      </c>
    </row>
    <row r="13" spans="1:36" x14ac:dyDescent="0.2">
      <c r="A13" s="371" t="s">
        <v>291</v>
      </c>
      <c r="B13" s="382" t="b">
        <v>0</v>
      </c>
      <c r="C13" s="383">
        <v>300000</v>
      </c>
      <c r="D13" s="371" t="s">
        <v>23</v>
      </c>
      <c r="E13" s="357">
        <v>5003.3946750750492</v>
      </c>
      <c r="F13" s="357">
        <v>5069.6315867382946</v>
      </c>
      <c r="G13" s="357">
        <v>5135.234012571399</v>
      </c>
      <c r="H13" s="357">
        <v>5348.7469599382866</v>
      </c>
      <c r="I13" s="357">
        <v>5554.3010778102107</v>
      </c>
      <c r="J13" s="357">
        <v>5584.7665904768455</v>
      </c>
      <c r="K13" s="357">
        <v>5674.2596709863383</v>
      </c>
      <c r="L13" s="357">
        <v>5909.3275727796945</v>
      </c>
      <c r="M13" s="357">
        <v>6086.5009171411457</v>
      </c>
      <c r="N13" s="357">
        <v>6203.3986834043435</v>
      </c>
      <c r="O13" s="357">
        <v>6203.3986834043435</v>
      </c>
      <c r="P13" s="357">
        <v>6203.3986834043435</v>
      </c>
      <c r="Q13" s="357">
        <v>6203.3986834043435</v>
      </c>
      <c r="R13" s="357">
        <v>6203.3986834043435</v>
      </c>
      <c r="S13" s="357">
        <v>6203.3986834043435</v>
      </c>
      <c r="T13" s="357">
        <v>6203.3986834043435</v>
      </c>
      <c r="U13" s="357">
        <v>6203.3986834043435</v>
      </c>
      <c r="V13" s="357">
        <v>6203.3986834043435</v>
      </c>
      <c r="W13" s="357">
        <v>6203.3986834043435</v>
      </c>
      <c r="X13" s="357">
        <v>6203.3986834043435</v>
      </c>
      <c r="Y13" s="357">
        <v>6203.3986834043435</v>
      </c>
      <c r="Z13" s="357">
        <v>6203.3986834043435</v>
      </c>
      <c r="AA13" s="357">
        <v>6203.3986834043435</v>
      </c>
      <c r="AB13" s="357">
        <v>6203.3986834043435</v>
      </c>
      <c r="AC13" s="357">
        <v>6203.3986834043435</v>
      </c>
      <c r="AD13" s="357">
        <v>6203.3986834043435</v>
      </c>
      <c r="AE13" s="357">
        <v>6203.3986834043435</v>
      </c>
      <c r="AF13" s="357">
        <v>6203.3986834043435</v>
      </c>
      <c r="AG13" s="357">
        <v>6203.3986834043435</v>
      </c>
      <c r="AH13" s="357">
        <v>6203.3986834043435</v>
      </c>
      <c r="AI13" s="357">
        <v>6203.3986834043435</v>
      </c>
      <c r="AJ13" s="357">
        <v>6203.3986834043435</v>
      </c>
    </row>
    <row r="14" spans="1:36" x14ac:dyDescent="0.2">
      <c r="A14" s="371" t="s">
        <v>292</v>
      </c>
      <c r="B14" s="382" t="b">
        <v>0</v>
      </c>
      <c r="C14" s="383">
        <v>4000</v>
      </c>
      <c r="D14" s="371" t="s">
        <v>293</v>
      </c>
      <c r="E14" s="358">
        <v>8.5000000000000006E-3</v>
      </c>
      <c r="F14" s="358">
        <v>8.5000000000000006E-3</v>
      </c>
      <c r="G14" s="358">
        <v>8.5000000000000006E-3</v>
      </c>
      <c r="H14" s="358">
        <v>8.5000000000000006E-3</v>
      </c>
      <c r="I14" s="358">
        <v>8.5000000000000006E-3</v>
      </c>
      <c r="J14" s="358">
        <v>8.5000000000000006E-3</v>
      </c>
      <c r="K14" s="358">
        <v>8.5000000000000006E-3</v>
      </c>
      <c r="L14" s="358">
        <v>8.5000000000000006E-3</v>
      </c>
      <c r="M14" s="358">
        <v>8.5000000000000006E-3</v>
      </c>
      <c r="N14" s="358">
        <v>8.5000000000000006E-3</v>
      </c>
      <c r="O14" s="358">
        <v>8.5000000000000006E-3</v>
      </c>
      <c r="P14" s="358">
        <v>8.5000000000000006E-3</v>
      </c>
      <c r="Q14" s="358">
        <v>8.5000000000000006E-3</v>
      </c>
      <c r="R14" s="358">
        <v>8.5000000000000006E-3</v>
      </c>
      <c r="S14" s="358">
        <v>8.5000000000000006E-3</v>
      </c>
      <c r="T14" s="358">
        <v>8.5000000000000006E-3</v>
      </c>
      <c r="U14" s="358">
        <v>8.5000000000000006E-3</v>
      </c>
      <c r="V14" s="358">
        <v>8.5000000000000006E-3</v>
      </c>
      <c r="W14" s="358">
        <v>8.5000000000000006E-3</v>
      </c>
      <c r="X14" s="358">
        <v>8.5000000000000006E-3</v>
      </c>
      <c r="Y14" s="358">
        <v>8.5000000000000006E-3</v>
      </c>
      <c r="Z14" s="358">
        <v>8.5000000000000006E-3</v>
      </c>
      <c r="AA14" s="358">
        <v>8.5000000000000006E-3</v>
      </c>
      <c r="AB14" s="358">
        <v>8.5000000000000006E-3</v>
      </c>
      <c r="AC14" s="358">
        <v>8.5000000000000006E-3</v>
      </c>
      <c r="AD14" s="358">
        <v>8.5000000000000006E-3</v>
      </c>
      <c r="AE14" s="358">
        <v>8.5000000000000006E-3</v>
      </c>
      <c r="AF14" s="358">
        <v>8.5000000000000006E-3</v>
      </c>
      <c r="AG14" s="358">
        <v>8.5000000000000006E-3</v>
      </c>
      <c r="AH14" s="358">
        <v>8.5000000000000006E-3</v>
      </c>
      <c r="AI14" s="358">
        <v>8.5000000000000006E-3</v>
      </c>
      <c r="AJ14" s="358">
        <v>8.5000000000000006E-3</v>
      </c>
    </row>
    <row r="15" spans="1:36" x14ac:dyDescent="0.2">
      <c r="A15" s="371" t="s">
        <v>294</v>
      </c>
      <c r="B15" s="382" t="b">
        <v>0</v>
      </c>
      <c r="C15" s="383">
        <v>650</v>
      </c>
      <c r="D15" s="371" t="s">
        <v>295</v>
      </c>
      <c r="E15" s="358">
        <v>4.2500000000000003E-3</v>
      </c>
      <c r="F15" s="358">
        <v>4.2500000000000003E-3</v>
      </c>
      <c r="G15" s="358">
        <v>4.2500000000000003E-3</v>
      </c>
      <c r="H15" s="358">
        <v>4.2500000000000003E-3</v>
      </c>
      <c r="I15" s="358">
        <v>4.2500000000000003E-3</v>
      </c>
      <c r="J15" s="358">
        <v>4.2500000000000003E-3</v>
      </c>
      <c r="K15" s="358">
        <v>4.2500000000000003E-3</v>
      </c>
      <c r="L15" s="358">
        <v>4.2500000000000003E-3</v>
      </c>
      <c r="M15" s="358">
        <v>4.2500000000000003E-3</v>
      </c>
      <c r="N15" s="358">
        <v>4.2500000000000003E-3</v>
      </c>
      <c r="O15" s="358">
        <v>4.2500000000000003E-3</v>
      </c>
      <c r="P15" s="358">
        <v>4.2500000000000003E-3</v>
      </c>
      <c r="Q15" s="358">
        <v>4.2500000000000003E-3</v>
      </c>
      <c r="R15" s="358">
        <v>4.2500000000000003E-3</v>
      </c>
      <c r="S15" s="358">
        <v>4.2500000000000003E-3</v>
      </c>
      <c r="T15" s="358">
        <v>4.2500000000000003E-3</v>
      </c>
      <c r="U15" s="358">
        <v>4.2500000000000003E-3</v>
      </c>
      <c r="V15" s="358">
        <v>4.2500000000000003E-3</v>
      </c>
      <c r="W15" s="358">
        <v>4.2500000000000003E-3</v>
      </c>
      <c r="X15" s="358">
        <v>4.2500000000000003E-3</v>
      </c>
      <c r="Y15" s="358">
        <v>4.2500000000000003E-3</v>
      </c>
      <c r="Z15" s="358">
        <v>4.2500000000000003E-3</v>
      </c>
      <c r="AA15" s="358">
        <v>4.2500000000000003E-3</v>
      </c>
      <c r="AB15" s="358">
        <v>4.2500000000000003E-3</v>
      </c>
      <c r="AC15" s="358">
        <v>4.2500000000000003E-3</v>
      </c>
      <c r="AD15" s="358">
        <v>4.2500000000000003E-3</v>
      </c>
      <c r="AE15" s="358">
        <v>4.2500000000000003E-3</v>
      </c>
      <c r="AF15" s="358">
        <v>4.2500000000000003E-3</v>
      </c>
      <c r="AG15" s="358">
        <v>4.2500000000000003E-3</v>
      </c>
      <c r="AH15" s="358">
        <v>4.2500000000000003E-3</v>
      </c>
      <c r="AI15" s="358">
        <v>4.2500000000000003E-3</v>
      </c>
      <c r="AJ15" s="358">
        <v>4.2500000000000003E-3</v>
      </c>
    </row>
    <row r="16" spans="1:36" x14ac:dyDescent="0.2">
      <c r="A16" s="371" t="s">
        <v>296</v>
      </c>
      <c r="B16" s="384" t="b">
        <v>0</v>
      </c>
      <c r="C16" s="383">
        <v>300000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</row>
    <row r="17" spans="1:36" x14ac:dyDescent="0.2">
      <c r="A17" s="371" t="s">
        <v>297</v>
      </c>
      <c r="B17" s="384" t="b">
        <v>0</v>
      </c>
      <c r="C17" s="383">
        <v>500000</v>
      </c>
      <c r="D17" s="371" t="s">
        <v>267</v>
      </c>
      <c r="E17" s="359">
        <v>189707.25268182877</v>
      </c>
      <c r="F17" s="359">
        <v>191723.11587608335</v>
      </c>
      <c r="G17" s="359">
        <v>195217.61392461049</v>
      </c>
      <c r="H17" s="359">
        <v>203472.65735880091</v>
      </c>
      <c r="I17" s="359">
        <v>210009.14418407672</v>
      </c>
      <c r="J17" s="359">
        <v>211701.61554213663</v>
      </c>
      <c r="K17" s="359">
        <v>215170.42169270676</v>
      </c>
      <c r="L17" s="359">
        <v>223239.4923212055</v>
      </c>
      <c r="M17" s="359">
        <v>231435.64266437641</v>
      </c>
      <c r="N17" s="359">
        <v>234086.1047884709</v>
      </c>
      <c r="O17" s="359">
        <v>234086.1047884709</v>
      </c>
      <c r="P17" s="359">
        <v>234086.1047884709</v>
      </c>
      <c r="Q17" s="359">
        <v>234086.1047884709</v>
      </c>
      <c r="R17" s="359">
        <v>234086.1047884709</v>
      </c>
      <c r="S17" s="359">
        <v>234086.1047884709</v>
      </c>
      <c r="T17" s="359">
        <v>234086.1047884709</v>
      </c>
      <c r="U17" s="359">
        <v>234086.1047884709</v>
      </c>
      <c r="V17" s="359">
        <v>234086.1047884709</v>
      </c>
      <c r="W17" s="359">
        <v>234086.1047884709</v>
      </c>
      <c r="X17" s="359">
        <v>234086.1047884709</v>
      </c>
      <c r="Y17" s="359">
        <v>234086.1047884709</v>
      </c>
      <c r="Z17" s="359">
        <v>234086.1047884709</v>
      </c>
      <c r="AA17" s="359">
        <v>234086.1047884709</v>
      </c>
      <c r="AB17" s="359">
        <v>234086.1047884709</v>
      </c>
      <c r="AC17" s="359">
        <v>234086.1047884709</v>
      </c>
      <c r="AD17" s="359">
        <v>234086.1047884709</v>
      </c>
      <c r="AE17" s="359">
        <v>234086.1047884709</v>
      </c>
      <c r="AF17" s="359">
        <v>234086.1047884709</v>
      </c>
      <c r="AG17" s="359">
        <v>234086.1047884709</v>
      </c>
      <c r="AH17" s="359">
        <v>234086.1047884709</v>
      </c>
      <c r="AI17" s="359">
        <v>234086.1047884709</v>
      </c>
      <c r="AJ17" s="359">
        <v>234086.1047884709</v>
      </c>
    </row>
    <row r="18" spans="1:36" x14ac:dyDescent="0.2">
      <c r="A18" s="371" t="s">
        <v>298</v>
      </c>
      <c r="B18" s="382" t="b">
        <v>0</v>
      </c>
      <c r="C18" s="383">
        <v>3291895.9627659572</v>
      </c>
      <c r="D18" s="371" t="s">
        <v>258</v>
      </c>
      <c r="E18" s="343">
        <v>452.56946316750015</v>
      </c>
      <c r="F18" s="343">
        <v>452.56946316750015</v>
      </c>
      <c r="G18" s="343">
        <v>452.56946316750015</v>
      </c>
      <c r="H18" s="343">
        <v>452.56946316750015</v>
      </c>
      <c r="I18" s="343">
        <v>452.56946316750015</v>
      </c>
      <c r="J18" s="343">
        <v>452.56946316750015</v>
      </c>
      <c r="K18" s="343">
        <v>452.56946316750015</v>
      </c>
      <c r="L18" s="343">
        <v>452.56946316750015</v>
      </c>
      <c r="M18" s="343">
        <v>452.56946316750015</v>
      </c>
      <c r="N18" s="343">
        <v>452.56946316750015</v>
      </c>
      <c r="O18" s="343">
        <v>452.56946316750015</v>
      </c>
      <c r="P18" s="343">
        <v>452.56946316750015</v>
      </c>
      <c r="Q18" s="343">
        <v>452.56946316750015</v>
      </c>
      <c r="R18" s="343">
        <v>452.56946316750015</v>
      </c>
      <c r="S18" s="343">
        <v>452.56946316750015</v>
      </c>
      <c r="T18" s="343">
        <v>452.56946316750015</v>
      </c>
      <c r="U18" s="343">
        <v>452.56946316750015</v>
      </c>
      <c r="V18" s="343">
        <v>452.56946316750015</v>
      </c>
      <c r="W18" s="343">
        <v>452.56946316750015</v>
      </c>
      <c r="X18" s="343">
        <v>452.56946316750015</v>
      </c>
      <c r="Y18" s="343">
        <v>452.56946316750015</v>
      </c>
      <c r="Z18" s="343">
        <v>452.56946316750015</v>
      </c>
      <c r="AA18" s="343">
        <v>452.56946316750015</v>
      </c>
      <c r="AB18" s="343">
        <v>452.56946316750015</v>
      </c>
      <c r="AC18" s="343">
        <v>452.56946316750015</v>
      </c>
      <c r="AD18" s="343">
        <v>452.56946316750015</v>
      </c>
      <c r="AE18" s="343">
        <v>452.56946316750015</v>
      </c>
      <c r="AF18" s="343">
        <v>452.56946316750015</v>
      </c>
      <c r="AG18" s="343">
        <v>452.56946316750015</v>
      </c>
      <c r="AH18" s="343">
        <v>452.56946316750015</v>
      </c>
      <c r="AI18" s="343">
        <v>452.56946316750015</v>
      </c>
      <c r="AJ18" s="343">
        <v>452.56946316750015</v>
      </c>
    </row>
    <row r="19" spans="1:36" x14ac:dyDescent="0.2">
      <c r="A19" s="371" t="s">
        <v>299</v>
      </c>
      <c r="B19" s="382" t="b">
        <v>0</v>
      </c>
      <c r="C19" s="383">
        <v>6583791.9255319145</v>
      </c>
      <c r="D19" s="371" t="s">
        <v>259</v>
      </c>
      <c r="E19" s="343">
        <v>33577.338820212768</v>
      </c>
      <c r="F19" s="343">
        <v>33577.338820212768</v>
      </c>
      <c r="G19" s="343">
        <v>33577.338820212768</v>
      </c>
      <c r="H19" s="343">
        <v>33577.338820212768</v>
      </c>
      <c r="I19" s="343">
        <v>33577.338820212768</v>
      </c>
      <c r="J19" s="343">
        <v>33577.338820212768</v>
      </c>
      <c r="K19" s="343">
        <v>33577.338820212768</v>
      </c>
      <c r="L19" s="343">
        <v>33577.338820212768</v>
      </c>
      <c r="M19" s="343">
        <v>33577.338820212768</v>
      </c>
      <c r="N19" s="343">
        <v>33577.338820212768</v>
      </c>
      <c r="O19" s="343">
        <v>33577.338820212768</v>
      </c>
      <c r="P19" s="343">
        <v>33577.338820212768</v>
      </c>
      <c r="Q19" s="343">
        <v>33577.338820212768</v>
      </c>
      <c r="R19" s="343">
        <v>33577.338820212768</v>
      </c>
      <c r="S19" s="343">
        <v>33577.338820212768</v>
      </c>
      <c r="T19" s="343">
        <v>33577.338820212768</v>
      </c>
      <c r="U19" s="343">
        <v>33577.338820212768</v>
      </c>
      <c r="V19" s="343">
        <v>33577.338820212768</v>
      </c>
      <c r="W19" s="343">
        <v>33577.338820212768</v>
      </c>
      <c r="X19" s="343">
        <v>33577.338820212768</v>
      </c>
      <c r="Y19" s="343">
        <v>33577.338820212768</v>
      </c>
      <c r="Z19" s="343">
        <v>33577.338820212768</v>
      </c>
      <c r="AA19" s="343">
        <v>33577.338820212768</v>
      </c>
      <c r="AB19" s="343">
        <v>33577.338820212768</v>
      </c>
      <c r="AC19" s="343">
        <v>33577.338820212768</v>
      </c>
      <c r="AD19" s="343">
        <v>33577.338820212768</v>
      </c>
      <c r="AE19" s="343">
        <v>33577.338820212768</v>
      </c>
      <c r="AF19" s="343">
        <v>33577.338820212768</v>
      </c>
      <c r="AG19" s="343">
        <v>33577.338820212768</v>
      </c>
      <c r="AH19" s="343">
        <v>33577.338820212768</v>
      </c>
      <c r="AI19" s="343">
        <v>33577.338820212768</v>
      </c>
      <c r="AJ19" s="343">
        <v>33577.338820212768</v>
      </c>
    </row>
    <row r="20" spans="1:36" x14ac:dyDescent="0.2">
      <c r="A20" s="371" t="s">
        <v>300</v>
      </c>
      <c r="B20" s="382" t="b">
        <v>0</v>
      </c>
      <c r="C20" s="383">
        <v>0</v>
      </c>
      <c r="D20" s="371" t="s">
        <v>260</v>
      </c>
      <c r="E20" s="343">
        <v>431.8</v>
      </c>
      <c r="F20" s="343">
        <v>431.8</v>
      </c>
      <c r="G20" s="343">
        <v>431.8</v>
      </c>
      <c r="H20" s="343">
        <v>431.8</v>
      </c>
      <c r="I20" s="343">
        <v>431.8</v>
      </c>
      <c r="J20" s="343">
        <v>431.8</v>
      </c>
      <c r="K20" s="343">
        <v>431.8</v>
      </c>
      <c r="L20" s="343">
        <v>431.8</v>
      </c>
      <c r="M20" s="343">
        <v>431.8</v>
      </c>
      <c r="N20" s="343">
        <v>431.8</v>
      </c>
      <c r="O20" s="343">
        <v>431.8</v>
      </c>
      <c r="P20" s="343">
        <v>431.8</v>
      </c>
      <c r="Q20" s="343">
        <v>431.8</v>
      </c>
      <c r="R20" s="343">
        <v>431.8</v>
      </c>
      <c r="S20" s="343">
        <v>431.8</v>
      </c>
      <c r="T20" s="343">
        <v>431.8</v>
      </c>
      <c r="U20" s="343">
        <v>431.8</v>
      </c>
      <c r="V20" s="343">
        <v>431.8</v>
      </c>
      <c r="W20" s="343">
        <v>431.8</v>
      </c>
      <c r="X20" s="343">
        <v>431.8</v>
      </c>
      <c r="Y20" s="343">
        <v>431.8</v>
      </c>
      <c r="Z20" s="343">
        <v>431.8</v>
      </c>
      <c r="AA20" s="343">
        <v>431.8</v>
      </c>
      <c r="AB20" s="343">
        <v>431.8</v>
      </c>
      <c r="AC20" s="343">
        <v>431.8</v>
      </c>
      <c r="AD20" s="343">
        <v>431.8</v>
      </c>
      <c r="AE20" s="343">
        <v>431.8</v>
      </c>
      <c r="AF20" s="343">
        <v>431.8</v>
      </c>
      <c r="AG20" s="343">
        <v>431.8</v>
      </c>
      <c r="AH20" s="343">
        <v>431.8</v>
      </c>
      <c r="AI20" s="343">
        <v>431.8</v>
      </c>
      <c r="AJ20" s="343">
        <v>431.8</v>
      </c>
    </row>
    <row r="21" spans="1:36" x14ac:dyDescent="0.2">
      <c r="A21" s="371" t="s">
        <v>301</v>
      </c>
      <c r="B21" s="382" t="b">
        <v>0</v>
      </c>
      <c r="C21" s="383" t="s">
        <v>136</v>
      </c>
      <c r="D21" s="371" t="s">
        <v>302</v>
      </c>
      <c r="E21" s="360">
        <v>0</v>
      </c>
      <c r="F21" s="360">
        <v>0</v>
      </c>
      <c r="G21" s="360">
        <v>0</v>
      </c>
      <c r="H21" s="360">
        <v>0</v>
      </c>
      <c r="I21" s="360">
        <v>0</v>
      </c>
      <c r="J21" s="360">
        <v>0</v>
      </c>
      <c r="K21" s="360">
        <v>0</v>
      </c>
      <c r="L21" s="360">
        <v>0</v>
      </c>
      <c r="M21" s="360">
        <v>0</v>
      </c>
      <c r="N21" s="360">
        <v>0</v>
      </c>
      <c r="O21" s="360">
        <v>0</v>
      </c>
      <c r="P21" s="360">
        <v>0</v>
      </c>
      <c r="Q21" s="360">
        <v>0</v>
      </c>
      <c r="R21" s="360">
        <v>0</v>
      </c>
      <c r="S21" s="360">
        <v>0</v>
      </c>
      <c r="T21" s="360">
        <v>0</v>
      </c>
      <c r="U21" s="360">
        <v>0</v>
      </c>
      <c r="V21" s="360">
        <v>0</v>
      </c>
      <c r="W21" s="360">
        <v>0</v>
      </c>
      <c r="X21" s="360">
        <v>0</v>
      </c>
      <c r="Y21" s="360">
        <v>0</v>
      </c>
      <c r="Z21" s="360">
        <v>0</v>
      </c>
      <c r="AA21" s="360">
        <v>0</v>
      </c>
      <c r="AB21" s="360">
        <v>0</v>
      </c>
      <c r="AC21" s="360">
        <v>0</v>
      </c>
      <c r="AD21" s="360">
        <v>0</v>
      </c>
      <c r="AE21" s="360">
        <v>0</v>
      </c>
      <c r="AF21" s="360">
        <v>0</v>
      </c>
      <c r="AG21" s="360">
        <v>0</v>
      </c>
      <c r="AH21" s="360">
        <v>0</v>
      </c>
      <c r="AI21" s="360">
        <v>0</v>
      </c>
      <c r="AJ21" s="360">
        <v>0</v>
      </c>
    </row>
    <row r="22" spans="1:36" x14ac:dyDescent="0.2">
      <c r="A22" s="371" t="s">
        <v>303</v>
      </c>
      <c r="B22" s="382" t="b">
        <v>1</v>
      </c>
      <c r="C22" s="383">
        <v>0</v>
      </c>
      <c r="D22" s="371" t="s">
        <v>304</v>
      </c>
      <c r="E22" s="360">
        <v>0</v>
      </c>
      <c r="F22" s="360">
        <v>0</v>
      </c>
      <c r="G22" s="360">
        <v>0</v>
      </c>
      <c r="H22" s="360">
        <v>0</v>
      </c>
      <c r="I22" s="360">
        <v>0</v>
      </c>
      <c r="J22" s="360">
        <v>0</v>
      </c>
      <c r="K22" s="360">
        <v>0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  <c r="Q22" s="360">
        <v>0</v>
      </c>
      <c r="R22" s="360">
        <v>0</v>
      </c>
      <c r="S22" s="360">
        <v>0</v>
      </c>
      <c r="T22" s="360">
        <v>0</v>
      </c>
      <c r="U22" s="360">
        <v>0</v>
      </c>
      <c r="V22" s="360">
        <v>0</v>
      </c>
      <c r="W22" s="360">
        <v>0</v>
      </c>
      <c r="X22" s="360">
        <v>0</v>
      </c>
      <c r="Y22" s="360">
        <v>0</v>
      </c>
      <c r="Z22" s="360">
        <v>0</v>
      </c>
      <c r="AA22" s="360">
        <v>0</v>
      </c>
      <c r="AB22" s="360">
        <v>0</v>
      </c>
      <c r="AC22" s="360">
        <v>0</v>
      </c>
      <c r="AD22" s="360">
        <v>0</v>
      </c>
      <c r="AE22" s="360">
        <v>0</v>
      </c>
      <c r="AF22" s="360">
        <v>0</v>
      </c>
      <c r="AG22" s="360">
        <v>0</v>
      </c>
      <c r="AH22" s="360">
        <v>0</v>
      </c>
      <c r="AI22" s="360">
        <v>0</v>
      </c>
      <c r="AJ22" s="360">
        <v>0</v>
      </c>
    </row>
    <row r="23" spans="1:36" x14ac:dyDescent="0.2">
      <c r="A23" s="371" t="s">
        <v>305</v>
      </c>
      <c r="B23" s="384">
        <v>0</v>
      </c>
      <c r="C23" s="383">
        <v>0</v>
      </c>
      <c r="D23" s="371" t="s">
        <v>18</v>
      </c>
      <c r="E23" s="360">
        <v>0</v>
      </c>
      <c r="F23" s="360">
        <v>0</v>
      </c>
      <c r="G23" s="360">
        <v>0</v>
      </c>
      <c r="H23" s="360">
        <v>0</v>
      </c>
      <c r="I23" s="360">
        <v>0</v>
      </c>
      <c r="J23" s="360">
        <v>0</v>
      </c>
      <c r="K23" s="360">
        <v>0</v>
      </c>
      <c r="L23" s="360">
        <v>0</v>
      </c>
      <c r="M23" s="360">
        <v>0</v>
      </c>
      <c r="N23" s="360">
        <v>0</v>
      </c>
      <c r="O23" s="360">
        <v>0</v>
      </c>
      <c r="P23" s="360">
        <v>0</v>
      </c>
      <c r="Q23" s="360">
        <v>0</v>
      </c>
      <c r="R23" s="360">
        <v>0</v>
      </c>
      <c r="S23" s="360">
        <v>0</v>
      </c>
      <c r="T23" s="360">
        <v>0</v>
      </c>
      <c r="U23" s="360">
        <v>0</v>
      </c>
      <c r="V23" s="360">
        <v>0</v>
      </c>
      <c r="W23" s="360">
        <v>0</v>
      </c>
      <c r="X23" s="360">
        <v>0</v>
      </c>
      <c r="Y23" s="360">
        <v>0</v>
      </c>
      <c r="Z23" s="360">
        <v>0</v>
      </c>
      <c r="AA23" s="360">
        <v>0</v>
      </c>
      <c r="AB23" s="360">
        <v>0</v>
      </c>
      <c r="AC23" s="360">
        <v>0</v>
      </c>
      <c r="AD23" s="360">
        <v>0</v>
      </c>
      <c r="AE23" s="360">
        <v>0</v>
      </c>
      <c r="AF23" s="360">
        <v>0</v>
      </c>
      <c r="AG23" s="360">
        <v>0</v>
      </c>
      <c r="AH23" s="360">
        <v>0</v>
      </c>
      <c r="AI23" s="360">
        <v>0</v>
      </c>
      <c r="AJ23" s="360">
        <v>0</v>
      </c>
    </row>
    <row r="24" spans="1:36" x14ac:dyDescent="0.2">
      <c r="A24" s="385"/>
      <c r="B24" s="385"/>
      <c r="C24" s="383">
        <v>0</v>
      </c>
      <c r="D24" s="386" t="s">
        <v>306</v>
      </c>
      <c r="E24" s="387">
        <v>51750.000000000007</v>
      </c>
      <c r="F24" s="387">
        <v>51750.000000000007</v>
      </c>
      <c r="G24" s="387">
        <v>51750.000000000007</v>
      </c>
      <c r="H24" s="387">
        <v>51750.000000000007</v>
      </c>
      <c r="I24" s="387">
        <v>51750.000000000007</v>
      </c>
      <c r="J24" s="387">
        <v>51750.000000000007</v>
      </c>
      <c r="K24" s="387">
        <v>51750.000000000007</v>
      </c>
      <c r="L24" s="387">
        <v>51750.000000000007</v>
      </c>
      <c r="M24" s="387">
        <v>51750.000000000007</v>
      </c>
      <c r="N24" s="387">
        <v>51750.000000000007</v>
      </c>
      <c r="O24" s="387">
        <v>51750.000000000007</v>
      </c>
      <c r="P24" s="387">
        <v>51750.000000000007</v>
      </c>
      <c r="Q24" s="387">
        <v>51750.000000000007</v>
      </c>
      <c r="R24" s="387">
        <v>51750.000000000007</v>
      </c>
      <c r="S24" s="387">
        <v>51750.000000000007</v>
      </c>
      <c r="T24" s="387">
        <v>51750.000000000007</v>
      </c>
      <c r="U24" s="387">
        <v>51750.000000000007</v>
      </c>
      <c r="V24" s="387">
        <v>51750.000000000007</v>
      </c>
      <c r="W24" s="387">
        <v>51750.000000000007</v>
      </c>
      <c r="X24" s="387">
        <v>51750.000000000007</v>
      </c>
      <c r="Y24" s="387">
        <v>51750.000000000007</v>
      </c>
      <c r="Z24" s="387">
        <v>51750.000000000007</v>
      </c>
      <c r="AA24" s="387">
        <v>51750.000000000007</v>
      </c>
      <c r="AB24" s="387">
        <v>51750.000000000007</v>
      </c>
      <c r="AC24" s="387">
        <v>51750.000000000007</v>
      </c>
      <c r="AD24" s="387">
        <v>51750.000000000007</v>
      </c>
      <c r="AE24" s="387">
        <v>51750.000000000007</v>
      </c>
      <c r="AF24" s="387">
        <v>51750.000000000007</v>
      </c>
      <c r="AG24" s="387">
        <v>51750.000000000007</v>
      </c>
      <c r="AH24" s="387">
        <v>51750.000000000007</v>
      </c>
      <c r="AI24" s="387">
        <v>51750.000000000007</v>
      </c>
      <c r="AJ24" s="387">
        <v>51750.000000000007</v>
      </c>
    </row>
    <row r="25" spans="1:36" x14ac:dyDescent="0.2">
      <c r="A25" s="388"/>
      <c r="B25" s="388"/>
      <c r="C25" s="388"/>
      <c r="D25" s="389" t="s">
        <v>307</v>
      </c>
      <c r="E25" s="390">
        <v>275918.96096520906</v>
      </c>
      <c r="F25" s="390">
        <v>277934.82415946363</v>
      </c>
      <c r="G25" s="390">
        <v>281429.32220799074</v>
      </c>
      <c r="H25" s="390">
        <v>289684.36564218119</v>
      </c>
      <c r="I25" s="390">
        <v>296220.85246745701</v>
      </c>
      <c r="J25" s="390">
        <v>297913.32382551691</v>
      </c>
      <c r="K25" s="390">
        <v>301382.12997608702</v>
      </c>
      <c r="L25" s="390">
        <v>309451.20060458576</v>
      </c>
      <c r="M25" s="390">
        <v>317647.35094775667</v>
      </c>
      <c r="N25" s="390">
        <v>320297.81307185115</v>
      </c>
      <c r="O25" s="390">
        <v>320297.81307185115</v>
      </c>
      <c r="P25" s="390">
        <v>320297.81307185115</v>
      </c>
      <c r="Q25" s="390">
        <v>320297.81307185115</v>
      </c>
      <c r="R25" s="390">
        <v>320297.81307185115</v>
      </c>
      <c r="S25" s="390">
        <v>320297.81307185115</v>
      </c>
      <c r="T25" s="390">
        <v>320297.81307185115</v>
      </c>
      <c r="U25" s="390">
        <v>320297.81307185115</v>
      </c>
      <c r="V25" s="390">
        <v>320297.81307185115</v>
      </c>
      <c r="W25" s="390">
        <v>320297.81307185115</v>
      </c>
      <c r="X25" s="390">
        <v>320297.81307185115</v>
      </c>
      <c r="Y25" s="390">
        <v>320297.81307185115</v>
      </c>
      <c r="Z25" s="390">
        <v>320297.81307185115</v>
      </c>
      <c r="AA25" s="390">
        <v>320297.81307185115</v>
      </c>
      <c r="AB25" s="390">
        <v>320297.81307185115</v>
      </c>
      <c r="AC25" s="390">
        <v>320297.81307185115</v>
      </c>
      <c r="AD25" s="390">
        <v>320297.81307185115</v>
      </c>
      <c r="AE25" s="390">
        <v>320297.81307185115</v>
      </c>
      <c r="AF25" s="390">
        <v>320297.81307185115</v>
      </c>
      <c r="AG25" s="390">
        <v>320297.81307185115</v>
      </c>
      <c r="AH25" s="390">
        <v>320297.81307185115</v>
      </c>
      <c r="AI25" s="390">
        <v>320297.81307185115</v>
      </c>
      <c r="AJ25" s="390">
        <v>320297.81307185115</v>
      </c>
    </row>
    <row r="26" spans="1:36" x14ac:dyDescent="0.2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  <c r="AE26" s="363"/>
      <c r="AF26" s="363"/>
      <c r="AG26" s="363"/>
      <c r="AH26" s="363"/>
      <c r="AI26" s="363"/>
      <c r="AJ26" s="363"/>
    </row>
    <row r="27" spans="1:36" x14ac:dyDescent="0.2">
      <c r="A27" s="366" t="s">
        <v>268</v>
      </c>
      <c r="B27" s="366"/>
      <c r="C27" s="367" t="s">
        <v>269</v>
      </c>
      <c r="D27" s="367"/>
      <c r="E27" s="363"/>
      <c r="F27" s="369" t="s">
        <v>270</v>
      </c>
      <c r="G27" s="370" t="s">
        <v>271</v>
      </c>
      <c r="H27" s="367" t="s">
        <v>272</v>
      </c>
      <c r="I27" s="367" t="s">
        <v>273</v>
      </c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</row>
    <row r="28" spans="1:36" x14ac:dyDescent="0.2">
      <c r="A28" s="371" t="s">
        <v>274</v>
      </c>
      <c r="B28" s="372" t="s">
        <v>318</v>
      </c>
      <c r="C28" s="373" t="s">
        <v>275</v>
      </c>
      <c r="D28" s="354"/>
      <c r="E28" s="363"/>
      <c r="F28" s="373" t="s">
        <v>276</v>
      </c>
      <c r="G28" s="374">
        <v>2.5000000000000001E-3</v>
      </c>
      <c r="H28" s="370">
        <v>1</v>
      </c>
      <c r="I28" s="375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</row>
    <row r="29" spans="1:36" x14ac:dyDescent="0.2">
      <c r="A29" s="371" t="s">
        <v>277</v>
      </c>
      <c r="B29" s="372" t="s">
        <v>278</v>
      </c>
      <c r="C29" s="373" t="s">
        <v>279</v>
      </c>
      <c r="D29" s="354"/>
      <c r="E29" s="363"/>
      <c r="F29" s="373" t="s">
        <v>280</v>
      </c>
      <c r="G29" s="374">
        <v>2.5000000000000001E-3</v>
      </c>
      <c r="H29" s="370">
        <v>1</v>
      </c>
      <c r="I29" s="375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63"/>
    </row>
    <row r="30" spans="1:36" x14ac:dyDescent="0.2">
      <c r="A30" s="376" t="s">
        <v>8</v>
      </c>
      <c r="B30" s="355">
        <v>34.344000000000001</v>
      </c>
      <c r="C30" s="376" t="s">
        <v>281</v>
      </c>
      <c r="D30" s="377">
        <v>3950275.1553191487</v>
      </c>
      <c r="E30" s="363"/>
      <c r="F30" s="373" t="s">
        <v>282</v>
      </c>
      <c r="G30" s="374" t="b">
        <v>1</v>
      </c>
      <c r="H30" s="370">
        <v>1</v>
      </c>
      <c r="I30" s="375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63"/>
    </row>
    <row r="31" spans="1:36" x14ac:dyDescent="0.2">
      <c r="A31" s="376" t="s">
        <v>283</v>
      </c>
      <c r="B31" s="391">
        <v>0.5</v>
      </c>
      <c r="C31" s="376" t="s">
        <v>284</v>
      </c>
      <c r="D31" s="377">
        <v>101600</v>
      </c>
      <c r="E31" s="363"/>
      <c r="F31" s="373" t="s">
        <v>285</v>
      </c>
      <c r="G31" s="378">
        <v>0</v>
      </c>
      <c r="H31" s="370">
        <v>1</v>
      </c>
      <c r="I31" s="375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</row>
    <row r="32" spans="1:36" x14ac:dyDescent="0.2">
      <c r="A32" s="379" t="s">
        <v>321</v>
      </c>
      <c r="B32" s="380" t="s">
        <v>286</v>
      </c>
      <c r="C32" s="367" t="s">
        <v>287</v>
      </c>
      <c r="D32" s="366" t="s">
        <v>288</v>
      </c>
      <c r="E32" s="367">
        <v>2025</v>
      </c>
      <c r="F32" s="367">
        <v>2026</v>
      </c>
      <c r="G32" s="367">
        <v>2027</v>
      </c>
      <c r="H32" s="367">
        <v>2028</v>
      </c>
      <c r="I32" s="367">
        <v>2029</v>
      </c>
      <c r="J32" s="367">
        <v>2030</v>
      </c>
      <c r="K32" s="367">
        <v>2031</v>
      </c>
      <c r="L32" s="367">
        <v>2032</v>
      </c>
      <c r="M32" s="367">
        <v>2033</v>
      </c>
      <c r="N32" s="367">
        <v>2034</v>
      </c>
      <c r="O32" s="367">
        <v>2035</v>
      </c>
      <c r="P32" s="367">
        <v>2036</v>
      </c>
      <c r="Q32" s="367">
        <v>2037</v>
      </c>
      <c r="R32" s="367">
        <v>2038</v>
      </c>
      <c r="S32" s="367">
        <v>2039</v>
      </c>
      <c r="T32" s="367">
        <v>2040</v>
      </c>
      <c r="U32" s="367">
        <v>2041</v>
      </c>
      <c r="V32" s="367">
        <v>2042</v>
      </c>
      <c r="W32" s="367">
        <v>2043</v>
      </c>
      <c r="X32" s="367">
        <v>2044</v>
      </c>
      <c r="Y32" s="367">
        <v>2045</v>
      </c>
      <c r="Z32" s="367">
        <v>2046</v>
      </c>
      <c r="AA32" s="367">
        <v>2047</v>
      </c>
      <c r="AB32" s="381">
        <v>2048</v>
      </c>
      <c r="AC32" s="381">
        <v>2049</v>
      </c>
      <c r="AD32" s="381">
        <v>2050</v>
      </c>
      <c r="AE32" s="381">
        <v>2051</v>
      </c>
      <c r="AF32" s="381">
        <v>2052</v>
      </c>
      <c r="AG32" s="381">
        <v>2053</v>
      </c>
      <c r="AH32" s="381">
        <v>2054</v>
      </c>
      <c r="AI32" s="381">
        <v>2055</v>
      </c>
      <c r="AJ32" s="381">
        <v>2056</v>
      </c>
    </row>
    <row r="33" spans="1:36" x14ac:dyDescent="0.2">
      <c r="A33" s="371" t="s">
        <v>289</v>
      </c>
      <c r="B33" s="382" t="b">
        <v>0</v>
      </c>
      <c r="C33" s="383">
        <v>0</v>
      </c>
      <c r="D33" s="371" t="s">
        <v>23</v>
      </c>
      <c r="E33" s="356">
        <v>2929.283227156152</v>
      </c>
      <c r="F33" s="356">
        <v>2968.040208205442</v>
      </c>
      <c r="G33" s="356">
        <v>3006.4260243232247</v>
      </c>
      <c r="H33" s="356">
        <v>3131.3580501812635</v>
      </c>
      <c r="I33" s="356">
        <v>323.15704289455709</v>
      </c>
      <c r="J33" s="356">
        <v>324.92741746398838</v>
      </c>
      <c r="K33" s="356">
        <v>330.12798704625521</v>
      </c>
      <c r="L33" s="356">
        <v>343.7882255523914</v>
      </c>
      <c r="M33" s="356">
        <v>354.08407507308925</v>
      </c>
      <c r="N33" s="356">
        <v>360.8770915253159</v>
      </c>
      <c r="O33" s="356">
        <v>360.8770915253159</v>
      </c>
      <c r="P33" s="356">
        <v>360.8770915253159</v>
      </c>
      <c r="Q33" s="356">
        <v>360.8770915253159</v>
      </c>
      <c r="R33" s="356">
        <v>360.8770915253159</v>
      </c>
      <c r="S33" s="356">
        <v>360.8770915253159</v>
      </c>
      <c r="T33" s="356">
        <v>360.8770915253159</v>
      </c>
      <c r="U33" s="356">
        <v>360.8770915253159</v>
      </c>
      <c r="V33" s="356">
        <v>360.8770915253159</v>
      </c>
      <c r="W33" s="356">
        <v>360.8770915253159</v>
      </c>
      <c r="X33" s="356">
        <v>360.8770915253159</v>
      </c>
      <c r="Y33" s="356">
        <v>360.8770915253159</v>
      </c>
      <c r="Z33" s="356">
        <v>360.8770915253159</v>
      </c>
      <c r="AA33" s="356">
        <v>360.8770915253159</v>
      </c>
      <c r="AB33" s="356">
        <v>360.8770915253159</v>
      </c>
      <c r="AC33" s="356">
        <v>360.8770915253159</v>
      </c>
      <c r="AD33" s="356">
        <v>360.8770915253159</v>
      </c>
      <c r="AE33" s="356">
        <v>360.8770915253159</v>
      </c>
      <c r="AF33" s="356">
        <v>360.8770915253159</v>
      </c>
      <c r="AG33" s="356">
        <v>360.8770915253159</v>
      </c>
      <c r="AH33" s="356">
        <v>360.8770915253159</v>
      </c>
      <c r="AI33" s="356">
        <v>360.8770915253159</v>
      </c>
      <c r="AJ33" s="356">
        <v>360.8770915253159</v>
      </c>
    </row>
    <row r="34" spans="1:36" x14ac:dyDescent="0.2">
      <c r="A34" s="371" t="s">
        <v>290</v>
      </c>
      <c r="B34" s="382" t="b">
        <v>0</v>
      </c>
      <c r="C34" s="383">
        <v>0</v>
      </c>
      <c r="D34" s="371" t="s">
        <v>23</v>
      </c>
      <c r="E34" s="357">
        <v>3943.9279973612638</v>
      </c>
      <c r="F34" s="357">
        <v>3967.9764994729426</v>
      </c>
      <c r="G34" s="357">
        <v>4076.8611570819271</v>
      </c>
      <c r="H34" s="357">
        <v>4254.1636532820148</v>
      </c>
      <c r="I34" s="357">
        <v>431.68768694610895</v>
      </c>
      <c r="J34" s="357">
        <v>437.10216007466147</v>
      </c>
      <c r="K34" s="357">
        <v>444.53163629853935</v>
      </c>
      <c r="L34" s="357">
        <v>458.16973824454135</v>
      </c>
      <c r="M34" s="357">
        <v>480.37585648502187</v>
      </c>
      <c r="N34" s="357">
        <v>479.47432171062837</v>
      </c>
      <c r="O34" s="357">
        <v>479.47432171062837</v>
      </c>
      <c r="P34" s="357">
        <v>479.47432171062837</v>
      </c>
      <c r="Q34" s="357">
        <v>479.47432171062837</v>
      </c>
      <c r="R34" s="357">
        <v>479.47432171062837</v>
      </c>
      <c r="S34" s="357">
        <v>479.47432171062837</v>
      </c>
      <c r="T34" s="357">
        <v>479.47432171062837</v>
      </c>
      <c r="U34" s="357">
        <v>479.47432171062837</v>
      </c>
      <c r="V34" s="357">
        <v>479.47432171062837</v>
      </c>
      <c r="W34" s="357">
        <v>479.47432171062837</v>
      </c>
      <c r="X34" s="357">
        <v>479.47432171062837</v>
      </c>
      <c r="Y34" s="357">
        <v>479.47432171062837</v>
      </c>
      <c r="Z34" s="357">
        <v>479.47432171062837</v>
      </c>
      <c r="AA34" s="357">
        <v>479.47432171062837</v>
      </c>
      <c r="AB34" s="357">
        <v>479.47432171062837</v>
      </c>
      <c r="AC34" s="357">
        <v>479.47432171062837</v>
      </c>
      <c r="AD34" s="357">
        <v>479.47432171062837</v>
      </c>
      <c r="AE34" s="357">
        <v>479.47432171062837</v>
      </c>
      <c r="AF34" s="357">
        <v>479.47432171062837</v>
      </c>
      <c r="AG34" s="357">
        <v>479.47432171062837</v>
      </c>
      <c r="AH34" s="357">
        <v>479.47432171062837</v>
      </c>
      <c r="AI34" s="357">
        <v>479.47432171062837</v>
      </c>
      <c r="AJ34" s="357">
        <v>479.47432171062837</v>
      </c>
    </row>
    <row r="35" spans="1:36" x14ac:dyDescent="0.2">
      <c r="A35" s="371" t="s">
        <v>291</v>
      </c>
      <c r="B35" s="382" t="b">
        <v>0</v>
      </c>
      <c r="C35" s="383">
        <v>300000</v>
      </c>
      <c r="D35" s="371" t="s">
        <v>23</v>
      </c>
      <c r="E35" s="357">
        <v>2929.283227156152</v>
      </c>
      <c r="F35" s="357">
        <v>2968.040208205442</v>
      </c>
      <c r="G35" s="357">
        <v>3006.4260243232247</v>
      </c>
      <c r="H35" s="357">
        <v>3131.3580501812635</v>
      </c>
      <c r="I35" s="357">
        <v>323.15704289455709</v>
      </c>
      <c r="J35" s="357">
        <v>324.92741746398838</v>
      </c>
      <c r="K35" s="357">
        <v>330.12798704625521</v>
      </c>
      <c r="L35" s="357">
        <v>343.7882255523914</v>
      </c>
      <c r="M35" s="357">
        <v>354.08407507308925</v>
      </c>
      <c r="N35" s="357">
        <v>360.8770915253159</v>
      </c>
      <c r="O35" s="357">
        <v>360.8770915253159</v>
      </c>
      <c r="P35" s="357">
        <v>360.8770915253159</v>
      </c>
      <c r="Q35" s="357">
        <v>360.8770915253159</v>
      </c>
      <c r="R35" s="357">
        <v>360.8770915253159</v>
      </c>
      <c r="S35" s="357">
        <v>360.8770915253159</v>
      </c>
      <c r="T35" s="357">
        <v>360.8770915253159</v>
      </c>
      <c r="U35" s="357">
        <v>360.8770915253159</v>
      </c>
      <c r="V35" s="357">
        <v>360.8770915253159</v>
      </c>
      <c r="W35" s="357">
        <v>360.8770915253159</v>
      </c>
      <c r="X35" s="357">
        <v>360.8770915253159</v>
      </c>
      <c r="Y35" s="357">
        <v>360.8770915253159</v>
      </c>
      <c r="Z35" s="357">
        <v>360.8770915253159</v>
      </c>
      <c r="AA35" s="357">
        <v>360.8770915253159</v>
      </c>
      <c r="AB35" s="357">
        <v>360.8770915253159</v>
      </c>
      <c r="AC35" s="357">
        <v>360.8770915253159</v>
      </c>
      <c r="AD35" s="357">
        <v>360.8770915253159</v>
      </c>
      <c r="AE35" s="357">
        <v>360.8770915253159</v>
      </c>
      <c r="AF35" s="357">
        <v>360.8770915253159</v>
      </c>
      <c r="AG35" s="357">
        <v>360.8770915253159</v>
      </c>
      <c r="AH35" s="357">
        <v>360.8770915253159</v>
      </c>
      <c r="AI35" s="357">
        <v>360.8770915253159</v>
      </c>
      <c r="AJ35" s="357">
        <v>360.8770915253159</v>
      </c>
    </row>
    <row r="36" spans="1:36" x14ac:dyDescent="0.2">
      <c r="A36" s="371" t="s">
        <v>292</v>
      </c>
      <c r="B36" s="382" t="b">
        <v>0</v>
      </c>
      <c r="C36" s="383">
        <v>4000</v>
      </c>
      <c r="D36" s="371" t="s">
        <v>293</v>
      </c>
      <c r="E36" s="358">
        <v>5.0000000000000001E-3</v>
      </c>
      <c r="F36" s="358">
        <v>5.0000000000000001E-3</v>
      </c>
      <c r="G36" s="358">
        <v>5.0000000000000001E-3</v>
      </c>
      <c r="H36" s="358">
        <v>5.0000000000000001E-3</v>
      </c>
      <c r="I36" s="358">
        <v>5.0000000000000001E-4</v>
      </c>
      <c r="J36" s="358">
        <v>4.999999999999999E-4</v>
      </c>
      <c r="K36" s="358">
        <v>4.999999999999999E-4</v>
      </c>
      <c r="L36" s="358">
        <v>4.999999999999999E-4</v>
      </c>
      <c r="M36" s="358">
        <v>4.999999999999999E-4</v>
      </c>
      <c r="N36" s="358">
        <v>4.999999999999999E-4</v>
      </c>
      <c r="O36" s="358">
        <v>4.999999999999999E-4</v>
      </c>
      <c r="P36" s="358">
        <v>4.999999999999999E-4</v>
      </c>
      <c r="Q36" s="358">
        <v>4.999999999999999E-4</v>
      </c>
      <c r="R36" s="358">
        <v>4.999999999999999E-4</v>
      </c>
      <c r="S36" s="358">
        <v>4.999999999999999E-4</v>
      </c>
      <c r="T36" s="358">
        <v>4.999999999999999E-4</v>
      </c>
      <c r="U36" s="358">
        <v>4.999999999999999E-4</v>
      </c>
      <c r="V36" s="358">
        <v>4.999999999999999E-4</v>
      </c>
      <c r="W36" s="358">
        <v>4.999999999999999E-4</v>
      </c>
      <c r="X36" s="358">
        <v>4.999999999999999E-4</v>
      </c>
      <c r="Y36" s="358">
        <v>4.999999999999999E-4</v>
      </c>
      <c r="Z36" s="358">
        <v>4.999999999999999E-4</v>
      </c>
      <c r="AA36" s="358">
        <v>4.999999999999999E-4</v>
      </c>
      <c r="AB36" s="358">
        <v>4.999999999999999E-4</v>
      </c>
      <c r="AC36" s="358">
        <v>4.999999999999999E-4</v>
      </c>
      <c r="AD36" s="358">
        <v>4.999999999999999E-4</v>
      </c>
      <c r="AE36" s="358">
        <v>4.999999999999999E-4</v>
      </c>
      <c r="AF36" s="358">
        <v>4.999999999999999E-4</v>
      </c>
      <c r="AG36" s="358">
        <v>4.999999999999999E-4</v>
      </c>
      <c r="AH36" s="358">
        <v>4.999999999999999E-4</v>
      </c>
      <c r="AI36" s="358">
        <v>4.999999999999999E-4</v>
      </c>
      <c r="AJ36" s="358">
        <v>4.999999999999999E-4</v>
      </c>
    </row>
    <row r="37" spans="1:36" x14ac:dyDescent="0.2">
      <c r="A37" s="371" t="s">
        <v>294</v>
      </c>
      <c r="B37" s="382" t="b">
        <v>0</v>
      </c>
      <c r="C37" s="383">
        <v>650</v>
      </c>
      <c r="D37" s="371" t="s">
        <v>295</v>
      </c>
      <c r="E37" s="358">
        <v>5.0000000000000001E-3</v>
      </c>
      <c r="F37" s="358">
        <v>5.0000000000000001E-3</v>
      </c>
      <c r="G37" s="358">
        <v>5.0000000000000001E-3</v>
      </c>
      <c r="H37" s="358">
        <v>5.0000000000000001E-3</v>
      </c>
      <c r="I37" s="358">
        <v>4.999999999999999E-4</v>
      </c>
      <c r="J37" s="358">
        <v>4.999999999999999E-4</v>
      </c>
      <c r="K37" s="358">
        <v>4.999999999999999E-4</v>
      </c>
      <c r="L37" s="358">
        <v>4.999999999999999E-4</v>
      </c>
      <c r="M37" s="358">
        <v>4.999999999999999E-4</v>
      </c>
      <c r="N37" s="358">
        <v>4.999999999999999E-4</v>
      </c>
      <c r="O37" s="358">
        <v>4.999999999999999E-4</v>
      </c>
      <c r="P37" s="358">
        <v>4.999999999999999E-4</v>
      </c>
      <c r="Q37" s="358">
        <v>4.999999999999999E-4</v>
      </c>
      <c r="R37" s="358">
        <v>4.999999999999999E-4</v>
      </c>
      <c r="S37" s="358">
        <v>4.999999999999999E-4</v>
      </c>
      <c r="T37" s="358">
        <v>4.999999999999999E-4</v>
      </c>
      <c r="U37" s="358">
        <v>4.999999999999999E-4</v>
      </c>
      <c r="V37" s="358">
        <v>4.999999999999999E-4</v>
      </c>
      <c r="W37" s="358">
        <v>4.999999999999999E-4</v>
      </c>
      <c r="X37" s="358">
        <v>4.999999999999999E-4</v>
      </c>
      <c r="Y37" s="358">
        <v>4.999999999999999E-4</v>
      </c>
      <c r="Z37" s="358">
        <v>4.999999999999999E-4</v>
      </c>
      <c r="AA37" s="358">
        <v>4.999999999999999E-4</v>
      </c>
      <c r="AB37" s="358">
        <v>4.999999999999999E-4</v>
      </c>
      <c r="AC37" s="358">
        <v>4.999999999999999E-4</v>
      </c>
      <c r="AD37" s="358">
        <v>4.999999999999999E-4</v>
      </c>
      <c r="AE37" s="358">
        <v>4.999999999999999E-4</v>
      </c>
      <c r="AF37" s="358">
        <v>4.999999999999999E-4</v>
      </c>
      <c r="AG37" s="358">
        <v>4.999999999999999E-4</v>
      </c>
      <c r="AH37" s="358">
        <v>4.999999999999999E-4</v>
      </c>
      <c r="AI37" s="358">
        <v>4.999999999999999E-4</v>
      </c>
      <c r="AJ37" s="358">
        <v>4.999999999999999E-4</v>
      </c>
    </row>
    <row r="38" spans="1:36" x14ac:dyDescent="0.2">
      <c r="A38" s="371" t="s">
        <v>296</v>
      </c>
      <c r="B38" s="384" t="b">
        <v>0</v>
      </c>
      <c r="C38" s="383">
        <v>300000</v>
      </c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</row>
    <row r="39" spans="1:36" x14ac:dyDescent="0.2">
      <c r="A39" s="371" t="s">
        <v>297</v>
      </c>
      <c r="B39" s="384" t="b">
        <v>0</v>
      </c>
      <c r="C39" s="383">
        <v>500000</v>
      </c>
      <c r="D39" s="371" t="s">
        <v>267</v>
      </c>
      <c r="E39" s="359">
        <v>111057.39114982818</v>
      </c>
      <c r="F39" s="359">
        <v>112236.91650679501</v>
      </c>
      <c r="G39" s="359">
        <v>114281.6026391963</v>
      </c>
      <c r="H39" s="359">
        <v>119111.85156529296</v>
      </c>
      <c r="I39" s="359">
        <v>12216.718412962617</v>
      </c>
      <c r="J39" s="359">
        <v>12315.066033449504</v>
      </c>
      <c r="K39" s="359">
        <v>12516.639266092723</v>
      </c>
      <c r="L39" s="359">
        <v>12985.55841994109</v>
      </c>
      <c r="M39" s="359">
        <v>13461.872956553601</v>
      </c>
      <c r="N39" s="359">
        <v>13615.893813390761</v>
      </c>
      <c r="O39" s="359">
        <v>13615.893813390761</v>
      </c>
      <c r="P39" s="359">
        <v>13615.893813390761</v>
      </c>
      <c r="Q39" s="359">
        <v>13615.893813390761</v>
      </c>
      <c r="R39" s="359">
        <v>13615.893813390761</v>
      </c>
      <c r="S39" s="359">
        <v>13615.893813390761</v>
      </c>
      <c r="T39" s="359">
        <v>13615.893813390761</v>
      </c>
      <c r="U39" s="359">
        <v>13615.893813390761</v>
      </c>
      <c r="V39" s="359">
        <v>13615.893813390761</v>
      </c>
      <c r="W39" s="359">
        <v>13615.893813390761</v>
      </c>
      <c r="X39" s="359">
        <v>13615.893813390761</v>
      </c>
      <c r="Y39" s="359">
        <v>13615.893813390761</v>
      </c>
      <c r="Z39" s="359">
        <v>13615.893813390761</v>
      </c>
      <c r="AA39" s="359">
        <v>13615.893813390761</v>
      </c>
      <c r="AB39" s="359">
        <v>13615.893813390761</v>
      </c>
      <c r="AC39" s="359">
        <v>13615.893813390761</v>
      </c>
      <c r="AD39" s="359">
        <v>13615.893813390761</v>
      </c>
      <c r="AE39" s="359">
        <v>13615.893813390761</v>
      </c>
      <c r="AF39" s="359">
        <v>13615.893813390761</v>
      </c>
      <c r="AG39" s="359">
        <v>13615.893813390761</v>
      </c>
      <c r="AH39" s="359">
        <v>13615.893813390761</v>
      </c>
      <c r="AI39" s="359">
        <v>13615.893813390761</v>
      </c>
      <c r="AJ39" s="359">
        <v>13615.893813390761</v>
      </c>
    </row>
    <row r="40" spans="1:36" x14ac:dyDescent="0.2">
      <c r="A40" s="371" t="s">
        <v>298</v>
      </c>
      <c r="B40" s="382" t="b">
        <v>0</v>
      </c>
      <c r="C40" s="383">
        <v>3291895.9627659572</v>
      </c>
      <c r="D40" s="371" t="s">
        <v>258</v>
      </c>
      <c r="E40" s="343">
        <v>354.95644170000008</v>
      </c>
      <c r="F40" s="343">
        <v>354.95644170000008</v>
      </c>
      <c r="G40" s="343">
        <v>354.95644170000008</v>
      </c>
      <c r="H40" s="343">
        <v>354.95644170000008</v>
      </c>
      <c r="I40" s="343">
        <v>35.495644170000006</v>
      </c>
      <c r="J40" s="343">
        <v>35.495644169999998</v>
      </c>
      <c r="K40" s="343">
        <v>35.495644169999998</v>
      </c>
      <c r="L40" s="343">
        <v>35.495644169999998</v>
      </c>
      <c r="M40" s="343">
        <v>35.495644169999998</v>
      </c>
      <c r="N40" s="343">
        <v>35.495644169999998</v>
      </c>
      <c r="O40" s="343">
        <v>35.495644169999998</v>
      </c>
      <c r="P40" s="343">
        <v>35.495644169999998</v>
      </c>
      <c r="Q40" s="343">
        <v>35.495644169999998</v>
      </c>
      <c r="R40" s="343">
        <v>35.495644169999998</v>
      </c>
      <c r="S40" s="343">
        <v>35.495644169999998</v>
      </c>
      <c r="T40" s="343">
        <v>35.495644169999998</v>
      </c>
      <c r="U40" s="343">
        <v>35.495644169999998</v>
      </c>
      <c r="V40" s="343">
        <v>35.495644169999998</v>
      </c>
      <c r="W40" s="343">
        <v>35.495644169999998</v>
      </c>
      <c r="X40" s="343">
        <v>35.495644169999998</v>
      </c>
      <c r="Y40" s="343">
        <v>35.495644169999998</v>
      </c>
      <c r="Z40" s="343">
        <v>35.495644169999998</v>
      </c>
      <c r="AA40" s="343">
        <v>35.495644169999998</v>
      </c>
      <c r="AB40" s="343">
        <v>35.495644169999998</v>
      </c>
      <c r="AC40" s="343">
        <v>35.495644169999998</v>
      </c>
      <c r="AD40" s="343">
        <v>35.495644169999998</v>
      </c>
      <c r="AE40" s="343">
        <v>35.495644169999998</v>
      </c>
      <c r="AF40" s="343">
        <v>35.495644169999998</v>
      </c>
      <c r="AG40" s="343">
        <v>35.495644169999998</v>
      </c>
      <c r="AH40" s="343">
        <v>35.495644169999998</v>
      </c>
      <c r="AI40" s="343">
        <v>35.495644169999998</v>
      </c>
      <c r="AJ40" s="343">
        <v>35.495644169999998</v>
      </c>
    </row>
    <row r="41" spans="1:36" x14ac:dyDescent="0.2">
      <c r="A41" s="371" t="s">
        <v>299</v>
      </c>
      <c r="B41" s="382" t="b">
        <v>1</v>
      </c>
      <c r="C41" s="383">
        <v>6583791.9255319145</v>
      </c>
      <c r="D41" s="371" t="s">
        <v>259</v>
      </c>
      <c r="E41" s="343">
        <v>19751.375776595745</v>
      </c>
      <c r="F41" s="343">
        <v>19751.375776595745</v>
      </c>
      <c r="G41" s="343">
        <v>19751.375776595745</v>
      </c>
      <c r="H41" s="343">
        <v>19751.375776595745</v>
      </c>
      <c r="I41" s="343">
        <v>1975.1375776595744</v>
      </c>
      <c r="J41" s="343">
        <v>1975.1375776595739</v>
      </c>
      <c r="K41" s="343">
        <v>1975.1375776595739</v>
      </c>
      <c r="L41" s="343">
        <v>1975.1375776595739</v>
      </c>
      <c r="M41" s="343">
        <v>1975.1375776595739</v>
      </c>
      <c r="N41" s="343">
        <v>1975.1375776595739</v>
      </c>
      <c r="O41" s="343">
        <v>1975.1375776595739</v>
      </c>
      <c r="P41" s="343">
        <v>1975.1375776595739</v>
      </c>
      <c r="Q41" s="343">
        <v>1975.1375776595739</v>
      </c>
      <c r="R41" s="343">
        <v>1975.1375776595739</v>
      </c>
      <c r="S41" s="343">
        <v>1975.1375776595739</v>
      </c>
      <c r="T41" s="343">
        <v>1975.1375776595739</v>
      </c>
      <c r="U41" s="343">
        <v>1975.1375776595739</v>
      </c>
      <c r="V41" s="343">
        <v>1975.1375776595739</v>
      </c>
      <c r="W41" s="343">
        <v>1975.1375776595739</v>
      </c>
      <c r="X41" s="343">
        <v>1975.1375776595739</v>
      </c>
      <c r="Y41" s="343">
        <v>1975.1375776595739</v>
      </c>
      <c r="Z41" s="343">
        <v>1975.1375776595739</v>
      </c>
      <c r="AA41" s="343">
        <v>1975.1375776595739</v>
      </c>
      <c r="AB41" s="343">
        <v>1975.1375776595739</v>
      </c>
      <c r="AC41" s="343">
        <v>1975.1375776595739</v>
      </c>
      <c r="AD41" s="343">
        <v>1975.1375776595739</v>
      </c>
      <c r="AE41" s="343">
        <v>1975.1375776595739</v>
      </c>
      <c r="AF41" s="343">
        <v>1975.1375776595739</v>
      </c>
      <c r="AG41" s="343">
        <v>1975.1375776595739</v>
      </c>
      <c r="AH41" s="343">
        <v>1975.1375776595739</v>
      </c>
      <c r="AI41" s="343">
        <v>1975.1375776595739</v>
      </c>
      <c r="AJ41" s="343">
        <v>1975.1375776595739</v>
      </c>
    </row>
    <row r="42" spans="1:36" x14ac:dyDescent="0.2">
      <c r="A42" s="371" t="s">
        <v>300</v>
      </c>
      <c r="B42" s="382" t="b">
        <v>0</v>
      </c>
      <c r="C42" s="383">
        <v>0</v>
      </c>
      <c r="D42" s="371" t="s">
        <v>260</v>
      </c>
      <c r="E42" s="343">
        <v>508</v>
      </c>
      <c r="F42" s="343">
        <v>508</v>
      </c>
      <c r="G42" s="343">
        <v>508</v>
      </c>
      <c r="H42" s="343">
        <v>508</v>
      </c>
      <c r="I42" s="343">
        <v>50.79999999999999</v>
      </c>
      <c r="J42" s="343">
        <v>50.79999999999999</v>
      </c>
      <c r="K42" s="343">
        <v>50.79999999999999</v>
      </c>
      <c r="L42" s="343">
        <v>50.79999999999999</v>
      </c>
      <c r="M42" s="343">
        <v>50.79999999999999</v>
      </c>
      <c r="N42" s="343">
        <v>50.79999999999999</v>
      </c>
      <c r="O42" s="343">
        <v>50.79999999999999</v>
      </c>
      <c r="P42" s="343">
        <v>50.79999999999999</v>
      </c>
      <c r="Q42" s="343">
        <v>50.79999999999999</v>
      </c>
      <c r="R42" s="343">
        <v>50.79999999999999</v>
      </c>
      <c r="S42" s="343">
        <v>50.79999999999999</v>
      </c>
      <c r="T42" s="343">
        <v>50.79999999999999</v>
      </c>
      <c r="U42" s="343">
        <v>50.79999999999999</v>
      </c>
      <c r="V42" s="343">
        <v>50.79999999999999</v>
      </c>
      <c r="W42" s="343">
        <v>50.79999999999999</v>
      </c>
      <c r="X42" s="343">
        <v>50.79999999999999</v>
      </c>
      <c r="Y42" s="343">
        <v>50.79999999999999</v>
      </c>
      <c r="Z42" s="343">
        <v>50.79999999999999</v>
      </c>
      <c r="AA42" s="343">
        <v>50.79999999999999</v>
      </c>
      <c r="AB42" s="343">
        <v>50.79999999999999</v>
      </c>
      <c r="AC42" s="343">
        <v>50.79999999999999</v>
      </c>
      <c r="AD42" s="343">
        <v>50.79999999999999</v>
      </c>
      <c r="AE42" s="343">
        <v>50.79999999999999</v>
      </c>
      <c r="AF42" s="343">
        <v>50.79999999999999</v>
      </c>
      <c r="AG42" s="343">
        <v>50.79999999999999</v>
      </c>
      <c r="AH42" s="343">
        <v>50.79999999999999</v>
      </c>
      <c r="AI42" s="343">
        <v>50.79999999999999</v>
      </c>
      <c r="AJ42" s="343">
        <v>50.79999999999999</v>
      </c>
    </row>
    <row r="43" spans="1:36" x14ac:dyDescent="0.2">
      <c r="A43" s="371" t="s">
        <v>301</v>
      </c>
      <c r="B43" s="382" t="b">
        <v>0</v>
      </c>
      <c r="C43" s="383" t="s">
        <v>136</v>
      </c>
      <c r="D43" s="371" t="s">
        <v>302</v>
      </c>
      <c r="E43" s="360">
        <v>0</v>
      </c>
      <c r="F43" s="360">
        <v>0</v>
      </c>
      <c r="G43" s="360">
        <v>0</v>
      </c>
      <c r="H43" s="360">
        <v>0</v>
      </c>
      <c r="I43" s="360">
        <v>0</v>
      </c>
      <c r="J43" s="360">
        <v>0</v>
      </c>
      <c r="K43" s="360">
        <v>0</v>
      </c>
      <c r="L43" s="360">
        <v>0</v>
      </c>
      <c r="M43" s="360">
        <v>0</v>
      </c>
      <c r="N43" s="360">
        <v>0</v>
      </c>
      <c r="O43" s="360">
        <v>0</v>
      </c>
      <c r="P43" s="360">
        <v>0</v>
      </c>
      <c r="Q43" s="360">
        <v>0</v>
      </c>
      <c r="R43" s="360">
        <v>0</v>
      </c>
      <c r="S43" s="360">
        <v>0</v>
      </c>
      <c r="T43" s="360">
        <v>0</v>
      </c>
      <c r="U43" s="360">
        <v>0</v>
      </c>
      <c r="V43" s="360">
        <v>0</v>
      </c>
      <c r="W43" s="360">
        <v>0</v>
      </c>
      <c r="X43" s="360">
        <v>0</v>
      </c>
      <c r="Y43" s="360">
        <v>0</v>
      </c>
      <c r="Z43" s="360">
        <v>0</v>
      </c>
      <c r="AA43" s="360">
        <v>0</v>
      </c>
      <c r="AB43" s="360">
        <v>0</v>
      </c>
      <c r="AC43" s="360">
        <v>0</v>
      </c>
      <c r="AD43" s="360">
        <v>0</v>
      </c>
      <c r="AE43" s="360">
        <v>0</v>
      </c>
      <c r="AF43" s="360">
        <v>0</v>
      </c>
      <c r="AG43" s="360">
        <v>0</v>
      </c>
      <c r="AH43" s="360">
        <v>0</v>
      </c>
      <c r="AI43" s="360">
        <v>0</v>
      </c>
      <c r="AJ43" s="360">
        <v>0</v>
      </c>
    </row>
    <row r="44" spans="1:36" x14ac:dyDescent="0.2">
      <c r="A44" s="371" t="s">
        <v>303</v>
      </c>
      <c r="B44" s="382" t="b">
        <v>1</v>
      </c>
      <c r="C44" s="383">
        <v>0</v>
      </c>
      <c r="D44" s="371" t="s">
        <v>304</v>
      </c>
      <c r="E44" s="360">
        <v>0</v>
      </c>
      <c r="F44" s="360">
        <v>0</v>
      </c>
      <c r="G44" s="360">
        <v>0</v>
      </c>
      <c r="H44" s="360">
        <v>0</v>
      </c>
      <c r="I44" s="360">
        <v>0</v>
      </c>
      <c r="J44" s="360">
        <v>0</v>
      </c>
      <c r="K44" s="360">
        <v>0</v>
      </c>
      <c r="L44" s="360">
        <v>0</v>
      </c>
      <c r="M44" s="360">
        <v>0</v>
      </c>
      <c r="N44" s="360">
        <v>0</v>
      </c>
      <c r="O44" s="360">
        <v>0</v>
      </c>
      <c r="P44" s="360">
        <v>0</v>
      </c>
      <c r="Q44" s="360">
        <v>0</v>
      </c>
      <c r="R44" s="360">
        <v>0</v>
      </c>
      <c r="S44" s="360">
        <v>0</v>
      </c>
      <c r="T44" s="360">
        <v>0</v>
      </c>
      <c r="U44" s="360">
        <v>0</v>
      </c>
      <c r="V44" s="360">
        <v>0</v>
      </c>
      <c r="W44" s="360">
        <v>0</v>
      </c>
      <c r="X44" s="360">
        <v>0</v>
      </c>
      <c r="Y44" s="360">
        <v>0</v>
      </c>
      <c r="Z44" s="360">
        <v>0</v>
      </c>
      <c r="AA44" s="360">
        <v>0</v>
      </c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360">
        <v>0</v>
      </c>
      <c r="AI44" s="360">
        <v>0</v>
      </c>
      <c r="AJ44" s="360">
        <v>0</v>
      </c>
    </row>
    <row r="45" spans="1:36" x14ac:dyDescent="0.2">
      <c r="A45" s="371" t="s">
        <v>305</v>
      </c>
      <c r="B45" s="384">
        <v>0</v>
      </c>
      <c r="C45" s="383">
        <v>0</v>
      </c>
      <c r="D45" s="371" t="s">
        <v>18</v>
      </c>
      <c r="E45" s="360">
        <v>0</v>
      </c>
      <c r="F45" s="360">
        <v>0</v>
      </c>
      <c r="G45" s="360">
        <v>0</v>
      </c>
      <c r="H45" s="360">
        <v>0</v>
      </c>
      <c r="I45" s="360">
        <v>0</v>
      </c>
      <c r="J45" s="360">
        <v>0</v>
      </c>
      <c r="K45" s="360">
        <v>0</v>
      </c>
      <c r="L45" s="360">
        <v>0</v>
      </c>
      <c r="M45" s="360">
        <v>0</v>
      </c>
      <c r="N45" s="360">
        <v>0</v>
      </c>
      <c r="O45" s="360">
        <v>0</v>
      </c>
      <c r="P45" s="360">
        <v>0</v>
      </c>
      <c r="Q45" s="360">
        <v>0</v>
      </c>
      <c r="R45" s="360">
        <v>0</v>
      </c>
      <c r="S45" s="360">
        <v>0</v>
      </c>
      <c r="T45" s="360">
        <v>0</v>
      </c>
      <c r="U45" s="360">
        <v>0</v>
      </c>
      <c r="V45" s="360">
        <v>0</v>
      </c>
      <c r="W45" s="360">
        <v>0</v>
      </c>
      <c r="X45" s="360">
        <v>0</v>
      </c>
      <c r="Y45" s="360">
        <v>0</v>
      </c>
      <c r="Z45" s="360">
        <v>0</v>
      </c>
      <c r="AA45" s="360">
        <v>0</v>
      </c>
      <c r="AB45" s="360">
        <v>0</v>
      </c>
      <c r="AC45" s="360">
        <v>0</v>
      </c>
      <c r="AD45" s="360">
        <v>0</v>
      </c>
      <c r="AE45" s="360">
        <v>0</v>
      </c>
      <c r="AF45" s="360">
        <v>0</v>
      </c>
      <c r="AG45" s="360">
        <v>0</v>
      </c>
      <c r="AH45" s="360">
        <v>0</v>
      </c>
      <c r="AI45" s="360">
        <v>0</v>
      </c>
      <c r="AJ45" s="360">
        <v>0</v>
      </c>
    </row>
    <row r="46" spans="1:36" x14ac:dyDescent="0.2">
      <c r="A46" s="385"/>
      <c r="B46" s="385"/>
      <c r="C46" s="383">
        <v>0</v>
      </c>
      <c r="D46" s="386" t="s">
        <v>306</v>
      </c>
      <c r="E46" s="387">
        <v>0</v>
      </c>
      <c r="F46" s="387">
        <v>0</v>
      </c>
      <c r="G46" s="387">
        <v>0</v>
      </c>
      <c r="H46" s="387">
        <v>0</v>
      </c>
      <c r="I46" s="387">
        <v>280691.47279971134</v>
      </c>
      <c r="J46" s="387">
        <v>280691.47279971134</v>
      </c>
      <c r="K46" s="387">
        <v>280691.47279971134</v>
      </c>
      <c r="L46" s="387">
        <v>280691.47279971134</v>
      </c>
      <c r="M46" s="387">
        <v>280691.47279971134</v>
      </c>
      <c r="N46" s="387">
        <v>280691.47279971134</v>
      </c>
      <c r="O46" s="387">
        <v>280691.47279971134</v>
      </c>
      <c r="P46" s="387">
        <v>280691.47279971134</v>
      </c>
      <c r="Q46" s="387">
        <v>280691.47279971134</v>
      </c>
      <c r="R46" s="387">
        <v>280691.47279971134</v>
      </c>
      <c r="S46" s="387">
        <v>280691.47279971134</v>
      </c>
      <c r="T46" s="387">
        <v>280691.47279971134</v>
      </c>
      <c r="U46" s="387">
        <v>280691.47279971134</v>
      </c>
      <c r="V46" s="387">
        <v>280691.47279971134</v>
      </c>
      <c r="W46" s="387">
        <v>280691.47279971134</v>
      </c>
      <c r="X46" s="387">
        <v>280691.47279971134</v>
      </c>
      <c r="Y46" s="387">
        <v>280691.47279971134</v>
      </c>
      <c r="Z46" s="387">
        <v>280691.47279971134</v>
      </c>
      <c r="AA46" s="387">
        <v>280691.47279971134</v>
      </c>
      <c r="AB46" s="387">
        <v>280691.47279971134</v>
      </c>
      <c r="AC46" s="387">
        <v>280691.47279971134</v>
      </c>
      <c r="AD46" s="387">
        <v>280691.47279971134</v>
      </c>
      <c r="AE46" s="387">
        <v>280691.47279971134</v>
      </c>
      <c r="AF46" s="387">
        <v>280691.47279971134</v>
      </c>
      <c r="AG46" s="387">
        <v>280691.47279971134</v>
      </c>
      <c r="AH46" s="387">
        <v>280691.47279971134</v>
      </c>
      <c r="AI46" s="387">
        <v>280691.47279971134</v>
      </c>
      <c r="AJ46" s="387">
        <v>280691.47279971134</v>
      </c>
    </row>
    <row r="47" spans="1:36" x14ac:dyDescent="0.2">
      <c r="A47" s="388"/>
      <c r="B47" s="388"/>
      <c r="C47" s="388"/>
      <c r="D47" s="389" t="s">
        <v>307</v>
      </c>
      <c r="E47" s="390">
        <v>131671.72336812393</v>
      </c>
      <c r="F47" s="390">
        <v>132851.24872509076</v>
      </c>
      <c r="G47" s="390">
        <v>134895.93485749204</v>
      </c>
      <c r="H47" s="390">
        <v>139726.1837835887</v>
      </c>
      <c r="I47" s="390">
        <v>294969.62443450355</v>
      </c>
      <c r="J47" s="390">
        <v>295067.97205499042</v>
      </c>
      <c r="K47" s="390">
        <v>295269.54528763361</v>
      </c>
      <c r="L47" s="390">
        <v>295738.46444148198</v>
      </c>
      <c r="M47" s="390">
        <v>296214.77897809452</v>
      </c>
      <c r="N47" s="390">
        <v>296368.79983493168</v>
      </c>
      <c r="O47" s="390">
        <v>296368.79983493168</v>
      </c>
      <c r="P47" s="390">
        <v>296368.79983493168</v>
      </c>
      <c r="Q47" s="390">
        <v>296368.79983493168</v>
      </c>
      <c r="R47" s="390">
        <v>296368.79983493168</v>
      </c>
      <c r="S47" s="390">
        <v>296368.79983493168</v>
      </c>
      <c r="T47" s="390">
        <v>296368.79983493168</v>
      </c>
      <c r="U47" s="390">
        <v>296368.79983493168</v>
      </c>
      <c r="V47" s="390">
        <v>296368.79983493168</v>
      </c>
      <c r="W47" s="390">
        <v>296368.79983493168</v>
      </c>
      <c r="X47" s="390">
        <v>296368.79983493168</v>
      </c>
      <c r="Y47" s="390">
        <v>296368.79983493168</v>
      </c>
      <c r="Z47" s="390">
        <v>296368.79983493168</v>
      </c>
      <c r="AA47" s="390">
        <v>296368.79983493168</v>
      </c>
      <c r="AB47" s="390">
        <v>296368.79983493168</v>
      </c>
      <c r="AC47" s="390">
        <v>296368.79983493168</v>
      </c>
      <c r="AD47" s="390">
        <v>296368.79983493168</v>
      </c>
      <c r="AE47" s="390">
        <v>296368.79983493168</v>
      </c>
      <c r="AF47" s="390">
        <v>296368.79983493168</v>
      </c>
      <c r="AG47" s="390">
        <v>296368.79983493168</v>
      </c>
      <c r="AH47" s="390">
        <v>296368.79983493168</v>
      </c>
      <c r="AI47" s="390">
        <v>296368.79983493168</v>
      </c>
      <c r="AJ47" s="390">
        <v>296368.79983493168</v>
      </c>
    </row>
    <row r="48" spans="1:36" x14ac:dyDescent="0.2">
      <c r="A48" s="363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</row>
    <row r="49" spans="1:36" x14ac:dyDescent="0.2">
      <c r="A49" s="366" t="s">
        <v>268</v>
      </c>
      <c r="B49" s="366"/>
      <c r="C49" s="367" t="s">
        <v>269</v>
      </c>
      <c r="D49" s="367"/>
      <c r="E49" s="363"/>
      <c r="F49" s="369" t="s">
        <v>270</v>
      </c>
      <c r="G49" s="370" t="s">
        <v>271</v>
      </c>
      <c r="H49" s="367" t="s">
        <v>272</v>
      </c>
      <c r="I49" s="367" t="s">
        <v>273</v>
      </c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</row>
    <row r="50" spans="1:36" x14ac:dyDescent="0.2">
      <c r="A50" s="371" t="s">
        <v>274</v>
      </c>
      <c r="B50" s="372" t="s">
        <v>318</v>
      </c>
      <c r="C50" s="373" t="s">
        <v>275</v>
      </c>
      <c r="D50" s="354"/>
      <c r="E50" s="363"/>
      <c r="F50" s="373" t="s">
        <v>276</v>
      </c>
      <c r="G50" s="374">
        <v>2.5000000000000001E-3</v>
      </c>
      <c r="H50" s="370">
        <v>1</v>
      </c>
      <c r="I50" s="375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</row>
    <row r="51" spans="1:36" x14ac:dyDescent="0.2">
      <c r="A51" s="371" t="s">
        <v>277</v>
      </c>
      <c r="B51" s="372" t="s">
        <v>278</v>
      </c>
      <c r="C51" s="373" t="s">
        <v>279</v>
      </c>
      <c r="D51" s="354"/>
      <c r="E51" s="363"/>
      <c r="F51" s="373" t="s">
        <v>280</v>
      </c>
      <c r="G51" s="374">
        <v>2.5000000000000001E-3</v>
      </c>
      <c r="H51" s="370">
        <v>1</v>
      </c>
      <c r="I51" s="375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</row>
    <row r="52" spans="1:36" x14ac:dyDescent="0.2">
      <c r="A52" s="376" t="s">
        <v>8</v>
      </c>
      <c r="B52" s="355">
        <v>34.344000000000001</v>
      </c>
      <c r="C52" s="376" t="s">
        <v>281</v>
      </c>
      <c r="D52" s="377">
        <v>3950275.1553191487</v>
      </c>
      <c r="E52" s="363"/>
      <c r="F52" s="373" t="s">
        <v>282</v>
      </c>
      <c r="G52" s="374" t="b">
        <v>1</v>
      </c>
      <c r="H52" s="370">
        <v>1</v>
      </c>
      <c r="I52" s="375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</row>
    <row r="53" spans="1:36" x14ac:dyDescent="0.2">
      <c r="A53" s="376" t="s">
        <v>283</v>
      </c>
      <c r="B53" s="391">
        <v>0.5</v>
      </c>
      <c r="C53" s="376" t="s">
        <v>284</v>
      </c>
      <c r="D53" s="377">
        <v>101600</v>
      </c>
      <c r="E53" s="363"/>
      <c r="F53" s="373" t="s">
        <v>285</v>
      </c>
      <c r="G53" s="378">
        <v>0</v>
      </c>
      <c r="H53" s="370">
        <v>1</v>
      </c>
      <c r="I53" s="375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</row>
    <row r="54" spans="1:36" x14ac:dyDescent="0.2">
      <c r="A54" s="379" t="s">
        <v>322</v>
      </c>
      <c r="B54" s="380" t="s">
        <v>286</v>
      </c>
      <c r="C54" s="367" t="s">
        <v>287</v>
      </c>
      <c r="D54" s="366" t="s">
        <v>288</v>
      </c>
      <c r="E54" s="367">
        <v>2025</v>
      </c>
      <c r="F54" s="367">
        <v>2026</v>
      </c>
      <c r="G54" s="367">
        <v>2027</v>
      </c>
      <c r="H54" s="367">
        <v>2028</v>
      </c>
      <c r="I54" s="367">
        <v>2029</v>
      </c>
      <c r="J54" s="367">
        <v>2030</v>
      </c>
      <c r="K54" s="367">
        <v>2031</v>
      </c>
      <c r="L54" s="367">
        <v>2032</v>
      </c>
      <c r="M54" s="367">
        <v>2033</v>
      </c>
      <c r="N54" s="367">
        <v>2034</v>
      </c>
      <c r="O54" s="367">
        <v>2035</v>
      </c>
      <c r="P54" s="367">
        <v>2036</v>
      </c>
      <c r="Q54" s="367">
        <v>2037</v>
      </c>
      <c r="R54" s="367">
        <v>2038</v>
      </c>
      <c r="S54" s="367">
        <v>2039</v>
      </c>
      <c r="T54" s="367">
        <v>2040</v>
      </c>
      <c r="U54" s="367">
        <v>2041</v>
      </c>
      <c r="V54" s="367">
        <v>2042</v>
      </c>
      <c r="W54" s="367">
        <v>2043</v>
      </c>
      <c r="X54" s="367">
        <v>2044</v>
      </c>
      <c r="Y54" s="367">
        <v>2045</v>
      </c>
      <c r="Z54" s="367">
        <v>2046</v>
      </c>
      <c r="AA54" s="367">
        <v>2047</v>
      </c>
      <c r="AB54" s="381">
        <v>2048</v>
      </c>
      <c r="AC54" s="381">
        <v>2049</v>
      </c>
      <c r="AD54" s="381">
        <v>2050</v>
      </c>
      <c r="AE54" s="381">
        <v>2051</v>
      </c>
      <c r="AF54" s="381">
        <v>2052</v>
      </c>
      <c r="AG54" s="381">
        <v>2053</v>
      </c>
      <c r="AH54" s="381">
        <v>2054</v>
      </c>
      <c r="AI54" s="381">
        <v>2055</v>
      </c>
      <c r="AJ54" s="381">
        <v>2056</v>
      </c>
    </row>
    <row r="55" spans="1:36" x14ac:dyDescent="0.2">
      <c r="A55" s="371" t="s">
        <v>289</v>
      </c>
      <c r="B55" s="382" t="b">
        <v>0</v>
      </c>
      <c r="C55" s="383">
        <v>0</v>
      </c>
      <c r="D55" s="371" t="s">
        <v>23</v>
      </c>
      <c r="E55" s="356">
        <v>2929.283227156152</v>
      </c>
      <c r="F55" s="356">
        <v>2968.040208205442</v>
      </c>
      <c r="G55" s="356">
        <v>3006.4260243232247</v>
      </c>
      <c r="H55" s="356">
        <v>3131.3580501812635</v>
      </c>
      <c r="I55" s="356">
        <v>3251.6322722332411</v>
      </c>
      <c r="J55" s="356">
        <v>3269.458161489199</v>
      </c>
      <c r="K55" s="356">
        <v>3321.8223344625521</v>
      </c>
      <c r="L55" s="356">
        <v>3459.3656983732267</v>
      </c>
      <c r="M55" s="356">
        <v>3563.0335730870565</v>
      </c>
      <c r="N55" s="356">
        <v>360.87709152531602</v>
      </c>
      <c r="O55" s="356">
        <v>360.8770915253159</v>
      </c>
      <c r="P55" s="356">
        <v>360.8770915253159</v>
      </c>
      <c r="Q55" s="356">
        <v>360.8770915253159</v>
      </c>
      <c r="R55" s="356">
        <v>360.8770915253159</v>
      </c>
      <c r="S55" s="356">
        <v>360.8770915253159</v>
      </c>
      <c r="T55" s="356">
        <v>360.8770915253159</v>
      </c>
      <c r="U55" s="356">
        <v>360.8770915253159</v>
      </c>
      <c r="V55" s="356">
        <v>360.8770915253159</v>
      </c>
      <c r="W55" s="356">
        <v>360.8770915253159</v>
      </c>
      <c r="X55" s="356">
        <v>360.8770915253159</v>
      </c>
      <c r="Y55" s="356">
        <v>360.8770915253159</v>
      </c>
      <c r="Z55" s="356">
        <v>360.8770915253159</v>
      </c>
      <c r="AA55" s="356">
        <v>360.8770915253159</v>
      </c>
      <c r="AB55" s="356">
        <v>360.8770915253159</v>
      </c>
      <c r="AC55" s="356">
        <v>360.8770915253159</v>
      </c>
      <c r="AD55" s="356">
        <v>360.8770915253159</v>
      </c>
      <c r="AE55" s="356">
        <v>360.8770915253159</v>
      </c>
      <c r="AF55" s="356">
        <v>360.8770915253159</v>
      </c>
      <c r="AG55" s="356">
        <v>360.8770915253159</v>
      </c>
      <c r="AH55" s="356">
        <v>360.8770915253159</v>
      </c>
      <c r="AI55" s="356">
        <v>360.8770915253159</v>
      </c>
      <c r="AJ55" s="356">
        <v>360.8770915253159</v>
      </c>
    </row>
    <row r="56" spans="1:36" x14ac:dyDescent="0.2">
      <c r="A56" s="371" t="s">
        <v>290</v>
      </c>
      <c r="B56" s="382" t="b">
        <v>0</v>
      </c>
      <c r="C56" s="383">
        <v>0</v>
      </c>
      <c r="D56" s="371" t="s">
        <v>23</v>
      </c>
      <c r="E56" s="357">
        <v>3943.9279973612638</v>
      </c>
      <c r="F56" s="357">
        <v>3967.9764994729426</v>
      </c>
      <c r="G56" s="357">
        <v>4076.8611570819271</v>
      </c>
      <c r="H56" s="357">
        <v>4254.1636532820148</v>
      </c>
      <c r="I56" s="357">
        <v>4344.7299570227315</v>
      </c>
      <c r="J56" s="357">
        <v>4399.250019376751</v>
      </c>
      <c r="K56" s="357">
        <v>4474.0591101634764</v>
      </c>
      <c r="L56" s="357">
        <v>4611.3739124180174</v>
      </c>
      <c r="M56" s="357">
        <v>4834.9528942748757</v>
      </c>
      <c r="N56" s="357">
        <v>479.47432171062849</v>
      </c>
      <c r="O56" s="357">
        <v>479.47432171062837</v>
      </c>
      <c r="P56" s="357">
        <v>479.47432171062837</v>
      </c>
      <c r="Q56" s="357">
        <v>479.47432171062837</v>
      </c>
      <c r="R56" s="357">
        <v>479.47432171062837</v>
      </c>
      <c r="S56" s="357">
        <v>479.47432171062837</v>
      </c>
      <c r="T56" s="357">
        <v>479.47432171062837</v>
      </c>
      <c r="U56" s="357">
        <v>479.47432171062837</v>
      </c>
      <c r="V56" s="357">
        <v>479.47432171062837</v>
      </c>
      <c r="W56" s="357">
        <v>479.47432171062837</v>
      </c>
      <c r="X56" s="357">
        <v>479.47432171062837</v>
      </c>
      <c r="Y56" s="357">
        <v>479.47432171062837</v>
      </c>
      <c r="Z56" s="357">
        <v>479.47432171062837</v>
      </c>
      <c r="AA56" s="357">
        <v>479.47432171062837</v>
      </c>
      <c r="AB56" s="357">
        <v>479.47432171062837</v>
      </c>
      <c r="AC56" s="357">
        <v>479.47432171062837</v>
      </c>
      <c r="AD56" s="357">
        <v>479.47432171062837</v>
      </c>
      <c r="AE56" s="357">
        <v>479.47432171062837</v>
      </c>
      <c r="AF56" s="357">
        <v>479.47432171062837</v>
      </c>
      <c r="AG56" s="357">
        <v>479.47432171062837</v>
      </c>
      <c r="AH56" s="357">
        <v>479.47432171062837</v>
      </c>
      <c r="AI56" s="357">
        <v>479.47432171062837</v>
      </c>
      <c r="AJ56" s="357">
        <v>479.47432171062837</v>
      </c>
    </row>
    <row r="57" spans="1:36" x14ac:dyDescent="0.2">
      <c r="A57" s="371" t="s">
        <v>291</v>
      </c>
      <c r="B57" s="382" t="b">
        <v>0</v>
      </c>
      <c r="C57" s="383">
        <v>300000</v>
      </c>
      <c r="D57" s="371" t="s">
        <v>23</v>
      </c>
      <c r="E57" s="357">
        <v>2929.283227156152</v>
      </c>
      <c r="F57" s="357">
        <v>2968.040208205442</v>
      </c>
      <c r="G57" s="357">
        <v>3006.4260243232247</v>
      </c>
      <c r="H57" s="357">
        <v>3131.3580501812635</v>
      </c>
      <c r="I57" s="357">
        <v>3251.6322722332411</v>
      </c>
      <c r="J57" s="357">
        <v>3269.458161489199</v>
      </c>
      <c r="K57" s="357">
        <v>3321.8223344625521</v>
      </c>
      <c r="L57" s="357">
        <v>3459.3656983732267</v>
      </c>
      <c r="M57" s="357">
        <v>3563.0335730870565</v>
      </c>
      <c r="N57" s="357">
        <v>360.87709152531602</v>
      </c>
      <c r="O57" s="357">
        <v>360.8770915253159</v>
      </c>
      <c r="P57" s="357">
        <v>360.8770915253159</v>
      </c>
      <c r="Q57" s="357">
        <v>360.8770915253159</v>
      </c>
      <c r="R57" s="357">
        <v>360.8770915253159</v>
      </c>
      <c r="S57" s="357">
        <v>360.8770915253159</v>
      </c>
      <c r="T57" s="357">
        <v>360.8770915253159</v>
      </c>
      <c r="U57" s="357">
        <v>360.8770915253159</v>
      </c>
      <c r="V57" s="357">
        <v>360.8770915253159</v>
      </c>
      <c r="W57" s="357">
        <v>360.8770915253159</v>
      </c>
      <c r="X57" s="357">
        <v>360.8770915253159</v>
      </c>
      <c r="Y57" s="357">
        <v>360.8770915253159</v>
      </c>
      <c r="Z57" s="357">
        <v>360.8770915253159</v>
      </c>
      <c r="AA57" s="357">
        <v>360.8770915253159</v>
      </c>
      <c r="AB57" s="357">
        <v>360.8770915253159</v>
      </c>
      <c r="AC57" s="357">
        <v>360.8770915253159</v>
      </c>
      <c r="AD57" s="357">
        <v>360.8770915253159</v>
      </c>
      <c r="AE57" s="357">
        <v>360.8770915253159</v>
      </c>
      <c r="AF57" s="357">
        <v>360.8770915253159</v>
      </c>
      <c r="AG57" s="357">
        <v>360.8770915253159</v>
      </c>
      <c r="AH57" s="357">
        <v>360.8770915253159</v>
      </c>
      <c r="AI57" s="357">
        <v>360.8770915253159</v>
      </c>
      <c r="AJ57" s="357">
        <v>360.8770915253159</v>
      </c>
    </row>
    <row r="58" spans="1:36" x14ac:dyDescent="0.2">
      <c r="A58" s="371" t="s">
        <v>292</v>
      </c>
      <c r="B58" s="382" t="b">
        <v>0</v>
      </c>
      <c r="C58" s="383">
        <v>4000</v>
      </c>
      <c r="D58" s="371" t="s">
        <v>293</v>
      </c>
      <c r="E58" s="358">
        <v>5.0000000000000001E-3</v>
      </c>
      <c r="F58" s="358">
        <v>5.0000000000000001E-3</v>
      </c>
      <c r="G58" s="358">
        <v>5.0000000000000001E-3</v>
      </c>
      <c r="H58" s="358">
        <v>5.0000000000000001E-3</v>
      </c>
      <c r="I58" s="358">
        <v>5.0000000000000001E-3</v>
      </c>
      <c r="J58" s="358">
        <v>5.0000000000000001E-3</v>
      </c>
      <c r="K58" s="358">
        <v>5.0000000000000001E-3</v>
      </c>
      <c r="L58" s="358">
        <v>5.0000000000000001E-3</v>
      </c>
      <c r="M58" s="358">
        <v>5.0000000000000001E-3</v>
      </c>
      <c r="N58" s="358">
        <v>5.0000000000000001E-4</v>
      </c>
      <c r="O58" s="358">
        <v>4.999999999999999E-4</v>
      </c>
      <c r="P58" s="358">
        <v>4.999999999999999E-4</v>
      </c>
      <c r="Q58" s="358">
        <v>4.999999999999999E-4</v>
      </c>
      <c r="R58" s="358">
        <v>4.999999999999999E-4</v>
      </c>
      <c r="S58" s="358">
        <v>4.999999999999999E-4</v>
      </c>
      <c r="T58" s="358">
        <v>4.999999999999999E-4</v>
      </c>
      <c r="U58" s="358">
        <v>4.999999999999999E-4</v>
      </c>
      <c r="V58" s="358">
        <v>4.999999999999999E-4</v>
      </c>
      <c r="W58" s="358">
        <v>4.999999999999999E-4</v>
      </c>
      <c r="X58" s="358">
        <v>4.999999999999999E-4</v>
      </c>
      <c r="Y58" s="358">
        <v>4.999999999999999E-4</v>
      </c>
      <c r="Z58" s="358">
        <v>4.999999999999999E-4</v>
      </c>
      <c r="AA58" s="358">
        <v>4.999999999999999E-4</v>
      </c>
      <c r="AB58" s="358">
        <v>4.999999999999999E-4</v>
      </c>
      <c r="AC58" s="358">
        <v>4.999999999999999E-4</v>
      </c>
      <c r="AD58" s="358">
        <v>4.999999999999999E-4</v>
      </c>
      <c r="AE58" s="358">
        <v>4.999999999999999E-4</v>
      </c>
      <c r="AF58" s="358">
        <v>4.999999999999999E-4</v>
      </c>
      <c r="AG58" s="358">
        <v>4.999999999999999E-4</v>
      </c>
      <c r="AH58" s="358">
        <v>4.999999999999999E-4</v>
      </c>
      <c r="AI58" s="358">
        <v>4.999999999999999E-4</v>
      </c>
      <c r="AJ58" s="358">
        <v>4.999999999999999E-4</v>
      </c>
    </row>
    <row r="59" spans="1:36" x14ac:dyDescent="0.2">
      <c r="A59" s="371" t="s">
        <v>294</v>
      </c>
      <c r="B59" s="382" t="b">
        <v>0</v>
      </c>
      <c r="C59" s="383">
        <v>650</v>
      </c>
      <c r="D59" s="371" t="s">
        <v>295</v>
      </c>
      <c r="E59" s="358">
        <v>5.0000000000000001E-3</v>
      </c>
      <c r="F59" s="358">
        <v>5.0000000000000001E-3</v>
      </c>
      <c r="G59" s="358">
        <v>5.0000000000000001E-3</v>
      </c>
      <c r="H59" s="358">
        <v>5.0000000000000001E-3</v>
      </c>
      <c r="I59" s="358">
        <v>5.0000000000000001E-3</v>
      </c>
      <c r="J59" s="358">
        <v>5.0000000000000001E-3</v>
      </c>
      <c r="K59" s="358">
        <v>5.0000000000000001E-3</v>
      </c>
      <c r="L59" s="358">
        <v>5.0000000000000001E-3</v>
      </c>
      <c r="M59" s="358">
        <v>5.0000000000000001E-3</v>
      </c>
      <c r="N59" s="358">
        <v>4.999999999999999E-4</v>
      </c>
      <c r="O59" s="358">
        <v>4.999999999999999E-4</v>
      </c>
      <c r="P59" s="358">
        <v>4.999999999999999E-4</v>
      </c>
      <c r="Q59" s="358">
        <v>4.999999999999999E-4</v>
      </c>
      <c r="R59" s="358">
        <v>4.999999999999999E-4</v>
      </c>
      <c r="S59" s="358">
        <v>4.999999999999999E-4</v>
      </c>
      <c r="T59" s="358">
        <v>4.999999999999999E-4</v>
      </c>
      <c r="U59" s="358">
        <v>4.999999999999999E-4</v>
      </c>
      <c r="V59" s="358">
        <v>4.999999999999999E-4</v>
      </c>
      <c r="W59" s="358">
        <v>4.999999999999999E-4</v>
      </c>
      <c r="X59" s="358">
        <v>4.999999999999999E-4</v>
      </c>
      <c r="Y59" s="358">
        <v>4.999999999999999E-4</v>
      </c>
      <c r="Z59" s="358">
        <v>4.999999999999999E-4</v>
      </c>
      <c r="AA59" s="358">
        <v>4.999999999999999E-4</v>
      </c>
      <c r="AB59" s="358">
        <v>4.999999999999999E-4</v>
      </c>
      <c r="AC59" s="358">
        <v>4.999999999999999E-4</v>
      </c>
      <c r="AD59" s="358">
        <v>4.999999999999999E-4</v>
      </c>
      <c r="AE59" s="358">
        <v>4.999999999999999E-4</v>
      </c>
      <c r="AF59" s="358">
        <v>4.999999999999999E-4</v>
      </c>
      <c r="AG59" s="358">
        <v>4.999999999999999E-4</v>
      </c>
      <c r="AH59" s="358">
        <v>4.999999999999999E-4</v>
      </c>
      <c r="AI59" s="358">
        <v>4.999999999999999E-4</v>
      </c>
      <c r="AJ59" s="358">
        <v>4.999999999999999E-4</v>
      </c>
    </row>
    <row r="60" spans="1:36" x14ac:dyDescent="0.2">
      <c r="A60" s="371" t="s">
        <v>296</v>
      </c>
      <c r="B60" s="384" t="b">
        <v>0</v>
      </c>
      <c r="C60" s="383">
        <v>300000</v>
      </c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</row>
    <row r="61" spans="1:36" x14ac:dyDescent="0.2">
      <c r="A61" s="371" t="s">
        <v>297</v>
      </c>
      <c r="B61" s="384" t="b">
        <v>0</v>
      </c>
      <c r="C61" s="383">
        <v>500000</v>
      </c>
      <c r="D61" s="371" t="s">
        <v>267</v>
      </c>
      <c r="E61" s="359">
        <v>111057.39114982818</v>
      </c>
      <c r="F61" s="359">
        <v>112236.91650679501</v>
      </c>
      <c r="G61" s="359">
        <v>114281.6026391963</v>
      </c>
      <c r="H61" s="359">
        <v>119111.85156529296</v>
      </c>
      <c r="I61" s="359">
        <v>122936.4628235015</v>
      </c>
      <c r="J61" s="359">
        <v>123926.74256837206</v>
      </c>
      <c r="K61" s="359">
        <v>125956.39220218366</v>
      </c>
      <c r="L61" s="359">
        <v>130677.82657587637</v>
      </c>
      <c r="M61" s="359">
        <v>135473.6641841642</v>
      </c>
      <c r="N61" s="359">
        <v>13615.893813390763</v>
      </c>
      <c r="O61" s="359">
        <v>13615.893813390761</v>
      </c>
      <c r="P61" s="359">
        <v>13615.893813390761</v>
      </c>
      <c r="Q61" s="359">
        <v>13615.893813390761</v>
      </c>
      <c r="R61" s="359">
        <v>13615.893813390761</v>
      </c>
      <c r="S61" s="359">
        <v>13615.893813390761</v>
      </c>
      <c r="T61" s="359">
        <v>13615.893813390761</v>
      </c>
      <c r="U61" s="359">
        <v>13615.893813390761</v>
      </c>
      <c r="V61" s="359">
        <v>13615.893813390761</v>
      </c>
      <c r="W61" s="359">
        <v>13615.893813390761</v>
      </c>
      <c r="X61" s="359">
        <v>13615.893813390761</v>
      </c>
      <c r="Y61" s="359">
        <v>13615.893813390761</v>
      </c>
      <c r="Z61" s="359">
        <v>13615.893813390761</v>
      </c>
      <c r="AA61" s="359">
        <v>13615.893813390761</v>
      </c>
      <c r="AB61" s="359">
        <v>13615.893813390761</v>
      </c>
      <c r="AC61" s="359">
        <v>13615.893813390761</v>
      </c>
      <c r="AD61" s="359">
        <v>13615.893813390761</v>
      </c>
      <c r="AE61" s="359">
        <v>13615.893813390761</v>
      </c>
      <c r="AF61" s="359">
        <v>13615.893813390761</v>
      </c>
      <c r="AG61" s="359">
        <v>13615.893813390761</v>
      </c>
      <c r="AH61" s="359">
        <v>13615.893813390761</v>
      </c>
      <c r="AI61" s="359">
        <v>13615.893813390761</v>
      </c>
      <c r="AJ61" s="359">
        <v>13615.893813390761</v>
      </c>
    </row>
    <row r="62" spans="1:36" x14ac:dyDescent="0.2">
      <c r="A62" s="371" t="s">
        <v>298</v>
      </c>
      <c r="B62" s="382" t="b">
        <v>0</v>
      </c>
      <c r="C62" s="383">
        <v>3291895.9627659572</v>
      </c>
      <c r="D62" s="371" t="s">
        <v>258</v>
      </c>
      <c r="E62" s="343">
        <v>354.95644170000008</v>
      </c>
      <c r="F62" s="343">
        <v>354.95644170000008</v>
      </c>
      <c r="G62" s="343">
        <v>354.95644170000008</v>
      </c>
      <c r="H62" s="343">
        <v>354.95644170000008</v>
      </c>
      <c r="I62" s="343">
        <v>354.95644170000008</v>
      </c>
      <c r="J62" s="343">
        <v>354.95644170000008</v>
      </c>
      <c r="K62" s="343">
        <v>354.95644170000008</v>
      </c>
      <c r="L62" s="343">
        <v>354.95644170000008</v>
      </c>
      <c r="M62" s="343">
        <v>354.95644170000008</v>
      </c>
      <c r="N62" s="343">
        <v>35.495644170000006</v>
      </c>
      <c r="O62" s="343">
        <v>35.495644169999998</v>
      </c>
      <c r="P62" s="343">
        <v>35.495644169999998</v>
      </c>
      <c r="Q62" s="343">
        <v>35.495644169999998</v>
      </c>
      <c r="R62" s="343">
        <v>35.495644169999998</v>
      </c>
      <c r="S62" s="343">
        <v>35.495644169999998</v>
      </c>
      <c r="T62" s="343">
        <v>35.495644169999998</v>
      </c>
      <c r="U62" s="343">
        <v>35.495644169999998</v>
      </c>
      <c r="V62" s="343">
        <v>35.495644169999998</v>
      </c>
      <c r="W62" s="343">
        <v>35.495644169999998</v>
      </c>
      <c r="X62" s="343">
        <v>35.495644169999998</v>
      </c>
      <c r="Y62" s="343">
        <v>35.495644169999998</v>
      </c>
      <c r="Z62" s="343">
        <v>35.495644169999998</v>
      </c>
      <c r="AA62" s="343">
        <v>35.495644169999998</v>
      </c>
      <c r="AB62" s="343">
        <v>35.495644169999998</v>
      </c>
      <c r="AC62" s="343">
        <v>35.495644169999998</v>
      </c>
      <c r="AD62" s="343">
        <v>35.495644169999998</v>
      </c>
      <c r="AE62" s="343">
        <v>35.495644169999998</v>
      </c>
      <c r="AF62" s="343">
        <v>35.495644169999998</v>
      </c>
      <c r="AG62" s="343">
        <v>35.495644169999998</v>
      </c>
      <c r="AH62" s="343">
        <v>35.495644169999998</v>
      </c>
      <c r="AI62" s="343">
        <v>35.495644169999998</v>
      </c>
      <c r="AJ62" s="343">
        <v>35.495644169999998</v>
      </c>
    </row>
    <row r="63" spans="1:36" x14ac:dyDescent="0.2">
      <c r="A63" s="371" t="s">
        <v>299</v>
      </c>
      <c r="B63" s="382" t="b">
        <v>1</v>
      </c>
      <c r="C63" s="383">
        <v>6583791.9255319145</v>
      </c>
      <c r="D63" s="371" t="s">
        <v>259</v>
      </c>
      <c r="E63" s="343">
        <v>19751.375776595745</v>
      </c>
      <c r="F63" s="343">
        <v>19751.375776595745</v>
      </c>
      <c r="G63" s="343">
        <v>19751.375776595745</v>
      </c>
      <c r="H63" s="343">
        <v>19751.375776595745</v>
      </c>
      <c r="I63" s="343">
        <v>19751.375776595745</v>
      </c>
      <c r="J63" s="343">
        <v>19751.375776595745</v>
      </c>
      <c r="K63" s="343">
        <v>19751.375776595745</v>
      </c>
      <c r="L63" s="343">
        <v>19751.375776595745</v>
      </c>
      <c r="M63" s="343">
        <v>19751.375776595745</v>
      </c>
      <c r="N63" s="343">
        <v>1975.1375776595744</v>
      </c>
      <c r="O63" s="343">
        <v>1975.1375776595739</v>
      </c>
      <c r="P63" s="343">
        <v>1975.1375776595739</v>
      </c>
      <c r="Q63" s="343">
        <v>1975.1375776595739</v>
      </c>
      <c r="R63" s="343">
        <v>1975.1375776595739</v>
      </c>
      <c r="S63" s="343">
        <v>1975.1375776595739</v>
      </c>
      <c r="T63" s="343">
        <v>1975.1375776595739</v>
      </c>
      <c r="U63" s="343">
        <v>1975.1375776595739</v>
      </c>
      <c r="V63" s="343">
        <v>1975.1375776595739</v>
      </c>
      <c r="W63" s="343">
        <v>1975.1375776595739</v>
      </c>
      <c r="X63" s="343">
        <v>1975.1375776595739</v>
      </c>
      <c r="Y63" s="343">
        <v>1975.1375776595739</v>
      </c>
      <c r="Z63" s="343">
        <v>1975.1375776595739</v>
      </c>
      <c r="AA63" s="343">
        <v>1975.1375776595739</v>
      </c>
      <c r="AB63" s="343">
        <v>1975.1375776595739</v>
      </c>
      <c r="AC63" s="343">
        <v>1975.1375776595739</v>
      </c>
      <c r="AD63" s="343">
        <v>1975.1375776595739</v>
      </c>
      <c r="AE63" s="343">
        <v>1975.1375776595739</v>
      </c>
      <c r="AF63" s="343">
        <v>1975.1375776595739</v>
      </c>
      <c r="AG63" s="343">
        <v>1975.1375776595739</v>
      </c>
      <c r="AH63" s="343">
        <v>1975.1375776595739</v>
      </c>
      <c r="AI63" s="343">
        <v>1975.1375776595739</v>
      </c>
      <c r="AJ63" s="343">
        <v>1975.1375776595739</v>
      </c>
    </row>
    <row r="64" spans="1:36" x14ac:dyDescent="0.2">
      <c r="A64" s="371" t="s">
        <v>300</v>
      </c>
      <c r="B64" s="382" t="b">
        <v>0</v>
      </c>
      <c r="C64" s="383">
        <v>0</v>
      </c>
      <c r="D64" s="371" t="s">
        <v>260</v>
      </c>
      <c r="E64" s="343">
        <v>508</v>
      </c>
      <c r="F64" s="343">
        <v>508</v>
      </c>
      <c r="G64" s="343">
        <v>508</v>
      </c>
      <c r="H64" s="343">
        <v>508</v>
      </c>
      <c r="I64" s="343">
        <v>508</v>
      </c>
      <c r="J64" s="343">
        <v>508</v>
      </c>
      <c r="K64" s="343">
        <v>508</v>
      </c>
      <c r="L64" s="343">
        <v>508</v>
      </c>
      <c r="M64" s="343">
        <v>508</v>
      </c>
      <c r="N64" s="343">
        <v>50.79999999999999</v>
      </c>
      <c r="O64" s="343">
        <v>50.79999999999999</v>
      </c>
      <c r="P64" s="343">
        <v>50.79999999999999</v>
      </c>
      <c r="Q64" s="343">
        <v>50.79999999999999</v>
      </c>
      <c r="R64" s="343">
        <v>50.79999999999999</v>
      </c>
      <c r="S64" s="343">
        <v>50.79999999999999</v>
      </c>
      <c r="T64" s="343">
        <v>50.79999999999999</v>
      </c>
      <c r="U64" s="343">
        <v>50.79999999999999</v>
      </c>
      <c r="V64" s="343">
        <v>50.79999999999999</v>
      </c>
      <c r="W64" s="343">
        <v>50.79999999999999</v>
      </c>
      <c r="X64" s="343">
        <v>50.79999999999999</v>
      </c>
      <c r="Y64" s="343">
        <v>50.79999999999999</v>
      </c>
      <c r="Z64" s="343">
        <v>50.79999999999999</v>
      </c>
      <c r="AA64" s="343">
        <v>50.79999999999999</v>
      </c>
      <c r="AB64" s="343">
        <v>50.79999999999999</v>
      </c>
      <c r="AC64" s="343">
        <v>50.79999999999999</v>
      </c>
      <c r="AD64" s="343">
        <v>50.79999999999999</v>
      </c>
      <c r="AE64" s="343">
        <v>50.79999999999999</v>
      </c>
      <c r="AF64" s="343">
        <v>50.79999999999999</v>
      </c>
      <c r="AG64" s="343">
        <v>50.79999999999999</v>
      </c>
      <c r="AH64" s="343">
        <v>50.79999999999999</v>
      </c>
      <c r="AI64" s="343">
        <v>50.79999999999999</v>
      </c>
      <c r="AJ64" s="343">
        <v>50.79999999999999</v>
      </c>
    </row>
    <row r="65" spans="1:36" x14ac:dyDescent="0.2">
      <c r="A65" s="371" t="s">
        <v>301</v>
      </c>
      <c r="B65" s="382" t="b">
        <v>0</v>
      </c>
      <c r="C65" s="383" t="s">
        <v>136</v>
      </c>
      <c r="D65" s="371" t="s">
        <v>302</v>
      </c>
      <c r="E65" s="360">
        <v>0</v>
      </c>
      <c r="F65" s="360">
        <v>0</v>
      </c>
      <c r="G65" s="360">
        <v>0</v>
      </c>
      <c r="H65" s="360">
        <v>0</v>
      </c>
      <c r="I65" s="360">
        <v>0</v>
      </c>
      <c r="J65" s="360">
        <v>0</v>
      </c>
      <c r="K65" s="360">
        <v>0</v>
      </c>
      <c r="L65" s="360">
        <v>0</v>
      </c>
      <c r="M65" s="360">
        <v>0</v>
      </c>
      <c r="N65" s="360">
        <v>0</v>
      </c>
      <c r="O65" s="360">
        <v>0</v>
      </c>
      <c r="P65" s="360">
        <v>0</v>
      </c>
      <c r="Q65" s="360">
        <v>0</v>
      </c>
      <c r="R65" s="360">
        <v>0</v>
      </c>
      <c r="S65" s="360">
        <v>0</v>
      </c>
      <c r="T65" s="360">
        <v>0</v>
      </c>
      <c r="U65" s="360">
        <v>0</v>
      </c>
      <c r="V65" s="360">
        <v>0</v>
      </c>
      <c r="W65" s="360">
        <v>0</v>
      </c>
      <c r="X65" s="360">
        <v>0</v>
      </c>
      <c r="Y65" s="360">
        <v>0</v>
      </c>
      <c r="Z65" s="360">
        <v>0</v>
      </c>
      <c r="AA65" s="360">
        <v>0</v>
      </c>
      <c r="AB65" s="360">
        <v>0</v>
      </c>
      <c r="AC65" s="360">
        <v>0</v>
      </c>
      <c r="AD65" s="360">
        <v>0</v>
      </c>
      <c r="AE65" s="360">
        <v>0</v>
      </c>
      <c r="AF65" s="360">
        <v>0</v>
      </c>
      <c r="AG65" s="360">
        <v>0</v>
      </c>
      <c r="AH65" s="360">
        <v>0</v>
      </c>
      <c r="AI65" s="360">
        <v>0</v>
      </c>
      <c r="AJ65" s="360">
        <v>0</v>
      </c>
    </row>
    <row r="66" spans="1:36" x14ac:dyDescent="0.2">
      <c r="A66" s="371" t="s">
        <v>303</v>
      </c>
      <c r="B66" s="382" t="b">
        <v>1</v>
      </c>
      <c r="C66" s="383">
        <v>0</v>
      </c>
      <c r="D66" s="371" t="s">
        <v>304</v>
      </c>
      <c r="E66" s="360">
        <v>0</v>
      </c>
      <c r="F66" s="360">
        <v>0</v>
      </c>
      <c r="G66" s="360">
        <v>0</v>
      </c>
      <c r="H66" s="360">
        <v>0</v>
      </c>
      <c r="I66" s="360">
        <v>0</v>
      </c>
      <c r="J66" s="360">
        <v>0</v>
      </c>
      <c r="K66" s="360">
        <v>0</v>
      </c>
      <c r="L66" s="360">
        <v>0</v>
      </c>
      <c r="M66" s="360">
        <v>0</v>
      </c>
      <c r="N66" s="360">
        <v>0</v>
      </c>
      <c r="O66" s="360">
        <v>0</v>
      </c>
      <c r="P66" s="360">
        <v>0</v>
      </c>
      <c r="Q66" s="360">
        <v>0</v>
      </c>
      <c r="R66" s="360">
        <v>0</v>
      </c>
      <c r="S66" s="360">
        <v>0</v>
      </c>
      <c r="T66" s="360">
        <v>0</v>
      </c>
      <c r="U66" s="360">
        <v>0</v>
      </c>
      <c r="V66" s="360">
        <v>0</v>
      </c>
      <c r="W66" s="360">
        <v>0</v>
      </c>
      <c r="X66" s="360">
        <v>0</v>
      </c>
      <c r="Y66" s="360">
        <v>0</v>
      </c>
      <c r="Z66" s="360">
        <v>0</v>
      </c>
      <c r="AA66" s="360">
        <v>0</v>
      </c>
      <c r="AB66" s="360">
        <v>0</v>
      </c>
      <c r="AC66" s="360">
        <v>0</v>
      </c>
      <c r="AD66" s="360">
        <v>0</v>
      </c>
      <c r="AE66" s="360">
        <v>0</v>
      </c>
      <c r="AF66" s="360">
        <v>0</v>
      </c>
      <c r="AG66" s="360">
        <v>0</v>
      </c>
      <c r="AH66" s="360">
        <v>0</v>
      </c>
      <c r="AI66" s="360">
        <v>0</v>
      </c>
      <c r="AJ66" s="360">
        <v>0</v>
      </c>
    </row>
    <row r="67" spans="1:36" x14ac:dyDescent="0.2">
      <c r="A67" s="371" t="s">
        <v>305</v>
      </c>
      <c r="B67" s="384">
        <v>0</v>
      </c>
      <c r="C67" s="383">
        <v>0</v>
      </c>
      <c r="D67" s="371" t="s">
        <v>18</v>
      </c>
      <c r="E67" s="360">
        <v>0</v>
      </c>
      <c r="F67" s="360">
        <v>0</v>
      </c>
      <c r="G67" s="360">
        <v>0</v>
      </c>
      <c r="H67" s="360">
        <v>0</v>
      </c>
      <c r="I67" s="360">
        <v>0</v>
      </c>
      <c r="J67" s="360">
        <v>0</v>
      </c>
      <c r="K67" s="360">
        <v>0</v>
      </c>
      <c r="L67" s="360">
        <v>0</v>
      </c>
      <c r="M67" s="360">
        <v>0</v>
      </c>
      <c r="N67" s="360">
        <v>0</v>
      </c>
      <c r="O67" s="360">
        <v>0</v>
      </c>
      <c r="P67" s="360">
        <v>0</v>
      </c>
      <c r="Q67" s="360">
        <v>0</v>
      </c>
      <c r="R67" s="360">
        <v>0</v>
      </c>
      <c r="S67" s="360">
        <v>0</v>
      </c>
      <c r="T67" s="360">
        <v>0</v>
      </c>
      <c r="U67" s="360">
        <v>0</v>
      </c>
      <c r="V67" s="360">
        <v>0</v>
      </c>
      <c r="W67" s="360">
        <v>0</v>
      </c>
      <c r="X67" s="360">
        <v>0</v>
      </c>
      <c r="Y67" s="360">
        <v>0</v>
      </c>
      <c r="Z67" s="360">
        <v>0</v>
      </c>
      <c r="AA67" s="360">
        <v>0</v>
      </c>
      <c r="AB67" s="360">
        <v>0</v>
      </c>
      <c r="AC67" s="360">
        <v>0</v>
      </c>
      <c r="AD67" s="360">
        <v>0</v>
      </c>
      <c r="AE67" s="360">
        <v>0</v>
      </c>
      <c r="AF67" s="360">
        <v>0</v>
      </c>
      <c r="AG67" s="360">
        <v>0</v>
      </c>
      <c r="AH67" s="360">
        <v>0</v>
      </c>
      <c r="AI67" s="360">
        <v>0</v>
      </c>
      <c r="AJ67" s="360">
        <v>0</v>
      </c>
    </row>
    <row r="68" spans="1:36" x14ac:dyDescent="0.2">
      <c r="A68" s="385"/>
      <c r="B68" s="385"/>
      <c r="C68" s="383">
        <v>0</v>
      </c>
      <c r="D68" s="386" t="s">
        <v>306</v>
      </c>
      <c r="E68" s="387">
        <v>0</v>
      </c>
      <c r="F68" s="387">
        <v>0</v>
      </c>
      <c r="G68" s="387">
        <v>0</v>
      </c>
      <c r="H68" s="387">
        <v>0</v>
      </c>
      <c r="I68" s="387">
        <v>0</v>
      </c>
      <c r="J68" s="387">
        <v>0</v>
      </c>
      <c r="K68" s="387">
        <v>0</v>
      </c>
      <c r="L68" s="387">
        <v>0</v>
      </c>
      <c r="M68" s="387">
        <v>0</v>
      </c>
      <c r="N68" s="387">
        <v>280691.47279971134</v>
      </c>
      <c r="O68" s="387">
        <v>280691.47279971134</v>
      </c>
      <c r="P68" s="387">
        <v>280691.47279971134</v>
      </c>
      <c r="Q68" s="387">
        <v>280691.47279971134</v>
      </c>
      <c r="R68" s="387">
        <v>280691.47279971134</v>
      </c>
      <c r="S68" s="387">
        <v>280691.47279971134</v>
      </c>
      <c r="T68" s="387">
        <v>280691.47279971134</v>
      </c>
      <c r="U68" s="387">
        <v>280691.47279971134</v>
      </c>
      <c r="V68" s="387">
        <v>280691.47279971134</v>
      </c>
      <c r="W68" s="387">
        <v>280691.47279971134</v>
      </c>
      <c r="X68" s="387">
        <v>280691.47279971134</v>
      </c>
      <c r="Y68" s="387">
        <v>280691.47279971134</v>
      </c>
      <c r="Z68" s="387">
        <v>280691.47279971134</v>
      </c>
      <c r="AA68" s="387">
        <v>280691.47279971134</v>
      </c>
      <c r="AB68" s="387">
        <v>280691.47279971134</v>
      </c>
      <c r="AC68" s="387">
        <v>280691.47279971134</v>
      </c>
      <c r="AD68" s="387">
        <v>280691.47279971134</v>
      </c>
      <c r="AE68" s="387">
        <v>280691.47279971134</v>
      </c>
      <c r="AF68" s="387">
        <v>280691.47279971134</v>
      </c>
      <c r="AG68" s="387">
        <v>280691.47279971134</v>
      </c>
      <c r="AH68" s="387">
        <v>280691.47279971134</v>
      </c>
      <c r="AI68" s="387">
        <v>280691.47279971134</v>
      </c>
      <c r="AJ68" s="387">
        <v>280691.47279971134</v>
      </c>
    </row>
    <row r="69" spans="1:36" x14ac:dyDescent="0.2">
      <c r="A69" s="388"/>
      <c r="B69" s="388"/>
      <c r="C69" s="388"/>
      <c r="D69" s="389" t="s">
        <v>307</v>
      </c>
      <c r="E69" s="390">
        <v>131671.72336812393</v>
      </c>
      <c r="F69" s="390">
        <v>132851.24872509076</v>
      </c>
      <c r="G69" s="390">
        <v>134895.93485749204</v>
      </c>
      <c r="H69" s="390">
        <v>139726.1837835887</v>
      </c>
      <c r="I69" s="390">
        <v>143550.79504179725</v>
      </c>
      <c r="J69" s="390">
        <v>144541.0747866678</v>
      </c>
      <c r="K69" s="390">
        <v>146570.72442047941</v>
      </c>
      <c r="L69" s="390">
        <v>151292.15879417211</v>
      </c>
      <c r="M69" s="390">
        <v>156087.99640245995</v>
      </c>
      <c r="N69" s="390">
        <v>296368.79983493168</v>
      </c>
      <c r="O69" s="390">
        <v>296368.79983493168</v>
      </c>
      <c r="P69" s="390">
        <v>296368.79983493168</v>
      </c>
      <c r="Q69" s="390">
        <v>296368.79983493168</v>
      </c>
      <c r="R69" s="390">
        <v>296368.79983493168</v>
      </c>
      <c r="S69" s="390">
        <v>296368.79983493168</v>
      </c>
      <c r="T69" s="390">
        <v>296368.79983493168</v>
      </c>
      <c r="U69" s="390">
        <v>296368.79983493168</v>
      </c>
      <c r="V69" s="390">
        <v>296368.79983493168</v>
      </c>
      <c r="W69" s="390">
        <v>296368.79983493168</v>
      </c>
      <c r="X69" s="390">
        <v>296368.79983493168</v>
      </c>
      <c r="Y69" s="390">
        <v>296368.79983493168</v>
      </c>
      <c r="Z69" s="390">
        <v>296368.79983493168</v>
      </c>
      <c r="AA69" s="390">
        <v>296368.79983493168</v>
      </c>
      <c r="AB69" s="390">
        <v>296368.79983493168</v>
      </c>
      <c r="AC69" s="390">
        <v>296368.79983493168</v>
      </c>
      <c r="AD69" s="390">
        <v>296368.79983493168</v>
      </c>
      <c r="AE69" s="390">
        <v>296368.79983493168</v>
      </c>
      <c r="AF69" s="390">
        <v>296368.79983493168</v>
      </c>
      <c r="AG69" s="390">
        <v>296368.79983493168</v>
      </c>
      <c r="AH69" s="390">
        <v>296368.79983493168</v>
      </c>
      <c r="AI69" s="390">
        <v>296368.79983493168</v>
      </c>
      <c r="AJ69" s="390">
        <v>296368.79983493168</v>
      </c>
    </row>
    <row r="70" spans="1:36" x14ac:dyDescent="0.2">
      <c r="A70" s="368"/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</row>
    <row r="71" spans="1:36" x14ac:dyDescent="0.2">
      <c r="A71" s="368"/>
      <c r="B71" s="368"/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68"/>
    </row>
    <row r="72" spans="1:36" x14ac:dyDescent="0.2">
      <c r="A72" s="368"/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</row>
    <row r="73" spans="1:36" x14ac:dyDescent="0.2">
      <c r="A73" s="368"/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</row>
    <row r="74" spans="1:36" x14ac:dyDescent="0.2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68"/>
    </row>
    <row r="75" spans="1:36" x14ac:dyDescent="0.2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</row>
    <row r="76" spans="1:36" x14ac:dyDescent="0.2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  <c r="AJ76" s="368"/>
    </row>
    <row r="77" spans="1:36" x14ac:dyDescent="0.2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</row>
    <row r="78" spans="1:3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customFormat="1" x14ac:dyDescent="0.2"/>
    <row r="86" spans="1:32" customFormat="1" x14ac:dyDescent="0.2"/>
    <row r="87" spans="1:32" customFormat="1" x14ac:dyDescent="0.2"/>
    <row r="88" spans="1:32" customFormat="1" x14ac:dyDescent="0.2"/>
    <row r="89" spans="1:32" customFormat="1" x14ac:dyDescent="0.2"/>
    <row r="90" spans="1:32" customFormat="1" x14ac:dyDescent="0.2"/>
    <row r="91" spans="1:32" customForma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2" sqref="A2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3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</row>
    <row r="2" spans="1:33" ht="18.75" x14ac:dyDescent="0.3">
      <c r="A2" s="56" t="str">
        <f>proj</f>
        <v>RD switchboard and relay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</row>
    <row r="3" spans="1:33" ht="15.75" x14ac:dyDescent="0.25">
      <c r="A3" s="5"/>
    </row>
    <row r="4" spans="1:3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33" s="1" customFormat="1" x14ac:dyDescent="0.2"/>
    <row r="6" spans="1:3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3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3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33" s="1" customFormat="1" x14ac:dyDescent="0.2">
      <c r="D9" s="12"/>
      <c r="O9"/>
      <c r="P9"/>
      <c r="Q9"/>
      <c r="R9"/>
      <c r="S9"/>
      <c r="T9"/>
      <c r="U9"/>
      <c r="V9"/>
      <c r="W9"/>
    </row>
    <row r="10" spans="1:3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3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3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3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3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3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3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193</v>
      </c>
      <c r="D31" s="193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0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0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0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193</v>
      </c>
      <c r="C38" s="194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8" t="s">
        <v>211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G323"/>
  <sheetViews>
    <sheetView showGridLines="0" zoomScale="80" zoomScaleNormal="80" workbookViewId="0">
      <selection activeCell="A2" sqref="A2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33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 s="405"/>
      <c r="U1" s="406"/>
      <c r="V1" s="405"/>
      <c r="W1" s="405"/>
      <c r="X1" s="407"/>
      <c r="Y1" s="407"/>
      <c r="Z1" s="407"/>
      <c r="AA1" s="407"/>
      <c r="AB1" s="407"/>
      <c r="AC1" s="407"/>
      <c r="AD1" s="407"/>
      <c r="AE1" s="407"/>
      <c r="AF1" s="407"/>
      <c r="AG1" s="407"/>
    </row>
    <row r="2" spans="1:33" ht="18.75" x14ac:dyDescent="0.3">
      <c r="A2" s="56" t="str">
        <f>proj</f>
        <v>RD switchboard and relay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 s="405"/>
      <c r="U2" s="405"/>
      <c r="V2" s="405"/>
      <c r="W2" s="405"/>
      <c r="X2" s="407"/>
      <c r="Y2" s="407"/>
      <c r="Z2" s="407"/>
      <c r="AA2" s="407"/>
      <c r="AB2" s="407"/>
      <c r="AC2" s="407"/>
      <c r="AD2" s="407"/>
      <c r="AE2" s="407"/>
      <c r="AF2" s="407"/>
      <c r="AG2" s="407"/>
    </row>
    <row r="3" spans="1:33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33" x14ac:dyDescent="0.2">
      <c r="T4"/>
      <c r="U4"/>
      <c r="V4"/>
    </row>
    <row r="5" spans="1:33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33" x14ac:dyDescent="0.2">
      <c r="T6"/>
      <c r="U6"/>
      <c r="V6"/>
    </row>
    <row r="7" spans="1:33" x14ac:dyDescent="0.2">
      <c r="A7" s="14" t="s">
        <v>80</v>
      </c>
      <c r="T7"/>
      <c r="U7"/>
      <c r="V7"/>
    </row>
    <row r="8" spans="1:33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33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33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33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33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33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33" x14ac:dyDescent="0.2">
      <c r="T14"/>
      <c r="U14"/>
      <c r="V14"/>
      <c r="W14"/>
      <c r="Z14"/>
      <c r="AA14"/>
    </row>
    <row r="15" spans="1:33" x14ac:dyDescent="0.2">
      <c r="T15"/>
      <c r="U15"/>
      <c r="V15"/>
      <c r="W15"/>
      <c r="Z15"/>
      <c r="AA15"/>
    </row>
    <row r="16" spans="1:33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SWBD 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2025-01-27T13:37:39Z</dcterms:modified>
</cp:coreProperties>
</file>